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DEKEMVRI_2024/"/>
    </mc:Choice>
  </mc:AlternateContent>
  <xr:revisionPtr revIDLastSave="569" documentId="8_{692423DA-6C26-444F-83CF-E5EDB8B1BDA5}" xr6:coauthVersionLast="47" xr6:coauthVersionMax="47" xr10:uidLastSave="{56E2094D-BA98-4A7E-AB00-055A7F3D7C5B}"/>
  <bookViews>
    <workbookView xWindow="-120" yWindow="-120" windowWidth="29040" windowHeight="15840" tabRatio="806" firstSheet="21" activeTab="24" xr2:uid="{00000000-000D-0000-FFFF-FFFF00000000}"/>
  </bookViews>
  <sheets>
    <sheet name="Цени" sheetId="5" r:id="rId1"/>
    <sheet name="Цени капацитети" sheetId="21" r:id="rId2"/>
    <sheet name="Плевен" sheetId="9" r:id="rId3"/>
    <sheet name="Бургас" sheetId="10" r:id="rId4"/>
    <sheet name="Враца 1" sheetId="11" r:id="rId5"/>
    <sheet name="Враца 2" sheetId="12" r:id="rId6"/>
    <sheet name="Перник" sheetId="13" r:id="rId7"/>
    <sheet name="Русе" sheetId="19" r:id="rId8"/>
    <sheet name="Велико Търново" sheetId="25" r:id="rId9"/>
    <sheet name="Димитровград" sheetId="36" r:id="rId10"/>
    <sheet name="Русе Кемикълс" sheetId="20" r:id="rId11"/>
    <sheet name="Труд" sheetId="24" r:id="rId12"/>
    <sheet name="Берус" sheetId="28" r:id="rId13"/>
    <sheet name="Бултекс 1" sheetId="34" r:id="rId14"/>
    <sheet name="Доминекс про" sheetId="23" r:id="rId15"/>
    <sheet name="РВД" sheetId="26" r:id="rId16"/>
    <sheet name="ЛКМК" sheetId="22" r:id="rId17"/>
    <sheet name="Булмаш" sheetId="37" r:id="rId18"/>
    <sheet name="PPC Гърция" sheetId="39" r:id="rId19"/>
    <sheet name="HERON" sheetId="38" r:id="rId20"/>
    <sheet name="МЕТ ВИТОЛ ДХТ" sheetId="48" r:id="rId21"/>
    <sheet name="Борса и балансиране" sheetId="14" r:id="rId22"/>
    <sheet name="Цени борса" sheetId="15" r:id="rId23"/>
    <sheet name="Общо" sheetId="17" r:id="rId24"/>
    <sheet name="ОБЩО NEW за печат" sheetId="44" r:id="rId25"/>
    <sheet name="Рамка Декември" sheetId="45" r:id="rId26"/>
    <sheet name="баланс 2024" sheetId="47" r:id="rId27"/>
    <sheet name="за печат" sheetId="43" r:id="rId28"/>
    <sheet name="Алуком" sheetId="27" r:id="rId29"/>
    <sheet name="Илинден" sheetId="31" r:id="rId30"/>
    <sheet name="Ваптех АМ" sheetId="32" r:id="rId31"/>
  </sheets>
  <definedNames>
    <definedName name="_xlnm._FilterDatabase" localSheetId="22" hidden="1">'Цени борса'!$A$4:$I$20</definedName>
    <definedName name="_xlnm.Print_Area" localSheetId="26">'баланс 2024'!$B$1:$V$38</definedName>
    <definedName name="_xlnm.Print_Area" localSheetId="24">'ОБЩО NEW за печат'!$B$2:$AS$40,'ОБЩО NEW за печат'!$AU$2:$BW$34,'ОБЩО NEW за печат'!$CJ$2:$DD$34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5" i="17" l="1"/>
  <c r="AJ6" i="17"/>
  <c r="AJ7" i="17"/>
  <c r="AJ8" i="17"/>
  <c r="AJ9" i="17"/>
  <c r="AJ10" i="17"/>
  <c r="AJ11" i="17"/>
  <c r="AJ12" i="17"/>
  <c r="AJ13" i="17"/>
  <c r="AJ14" i="17"/>
  <c r="AJ15" i="17"/>
  <c r="AJ16" i="17"/>
  <c r="AJ17" i="17"/>
  <c r="AJ18" i="17"/>
  <c r="AJ19" i="17"/>
  <c r="AJ20" i="17"/>
  <c r="AJ21" i="17"/>
  <c r="AJ22" i="17"/>
  <c r="AJ23" i="17"/>
  <c r="AJ24" i="17"/>
  <c r="AJ25" i="17"/>
  <c r="AJ26" i="17"/>
  <c r="AJ27" i="17"/>
  <c r="AJ28" i="17"/>
  <c r="AJ29" i="17"/>
  <c r="AJ30" i="17"/>
  <c r="AJ31" i="17"/>
  <c r="AJ32" i="17"/>
  <c r="AJ33" i="17"/>
  <c r="AJ34" i="17"/>
  <c r="B19" i="48" l="1"/>
  <c r="F19" i="48"/>
  <c r="H19" i="48"/>
  <c r="L19" i="48"/>
  <c r="N19" i="48"/>
  <c r="R19" i="48"/>
  <c r="T19" i="48"/>
  <c r="X19" i="48"/>
  <c r="Z19" i="48"/>
  <c r="AD19" i="48"/>
  <c r="AF19" i="48"/>
  <c r="AJ19" i="48"/>
  <c r="AL19" i="48"/>
  <c r="AP19" i="48"/>
  <c r="AR19" i="48"/>
  <c r="AV19" i="48"/>
  <c r="AX19" i="48"/>
  <c r="AZ19" i="48"/>
  <c r="BB19" i="48"/>
  <c r="BA19" i="48" s="1"/>
  <c r="BE19" i="17"/>
  <c r="AV19" i="17"/>
  <c r="G35" i="14"/>
  <c r="N113" i="39"/>
  <c r="N114" i="39"/>
  <c r="N115" i="39"/>
  <c r="N116" i="39"/>
  <c r="AV18" i="17" l="1"/>
  <c r="AV17" i="17"/>
  <c r="BE18" i="17"/>
  <c r="B18" i="48"/>
  <c r="F18" i="48"/>
  <c r="H18" i="48"/>
  <c r="L18" i="48"/>
  <c r="N18" i="48"/>
  <c r="R18" i="48"/>
  <c r="T18" i="48"/>
  <c r="X18" i="48"/>
  <c r="Z18" i="48"/>
  <c r="AD18" i="48"/>
  <c r="AF18" i="48"/>
  <c r="AJ18" i="48"/>
  <c r="AL18" i="48"/>
  <c r="AP18" i="48"/>
  <c r="AR18" i="48"/>
  <c r="AV18" i="48"/>
  <c r="AX18" i="48"/>
  <c r="AZ18" i="48"/>
  <c r="BB18" i="48"/>
  <c r="BA18" i="48" s="1"/>
  <c r="BD4" i="48" l="1"/>
  <c r="BE4" i="48"/>
  <c r="BC4" i="48"/>
  <c r="BA5" i="48"/>
  <c r="BA6" i="48"/>
  <c r="BA7" i="48"/>
  <c r="BA8" i="48"/>
  <c r="BA9" i="48"/>
  <c r="BA10" i="48"/>
  <c r="BA11" i="48"/>
  <c r="BA12" i="48"/>
  <c r="BA13" i="48"/>
  <c r="BA14" i="48"/>
  <c r="BA15" i="48"/>
  <c r="BA16" i="48"/>
  <c r="BA17" i="48"/>
  <c r="BA20" i="48"/>
  <c r="BA21" i="48"/>
  <c r="BA22" i="48"/>
  <c r="BA23" i="48"/>
  <c r="BA24" i="48"/>
  <c r="BA25" i="48"/>
  <c r="BA26" i="48"/>
  <c r="BA27" i="48"/>
  <c r="BA28" i="48"/>
  <c r="BA29" i="48"/>
  <c r="BA30" i="48"/>
  <c r="BA31" i="48"/>
  <c r="BA32" i="48"/>
  <c r="BA33" i="48"/>
  <c r="BA34" i="48"/>
  <c r="BA4" i="48"/>
  <c r="BB5" i="48"/>
  <c r="BB6" i="48"/>
  <c r="BB7" i="48"/>
  <c r="BB8" i="48"/>
  <c r="BB9" i="48"/>
  <c r="BB10" i="48"/>
  <c r="BB11" i="48"/>
  <c r="BB12" i="48"/>
  <c r="BB13" i="48"/>
  <c r="BB14" i="48"/>
  <c r="BB15" i="48"/>
  <c r="BB16" i="48"/>
  <c r="BB17" i="48"/>
  <c r="BB20" i="48"/>
  <c r="BB21" i="48"/>
  <c r="BB22" i="48"/>
  <c r="BB23" i="48"/>
  <c r="BB24" i="48"/>
  <c r="BB25" i="48"/>
  <c r="BB26" i="48"/>
  <c r="BB27" i="48"/>
  <c r="BB28" i="48"/>
  <c r="BB29" i="48"/>
  <c r="BB30" i="48"/>
  <c r="BB31" i="48"/>
  <c r="BB32" i="48"/>
  <c r="BB33" i="48"/>
  <c r="BB34" i="48"/>
  <c r="AZ5" i="48"/>
  <c r="AZ6" i="48"/>
  <c r="AZ7" i="48"/>
  <c r="AZ8" i="48"/>
  <c r="AZ9" i="48"/>
  <c r="AZ10" i="48"/>
  <c r="AZ11" i="48"/>
  <c r="AZ12" i="48"/>
  <c r="AZ13" i="48"/>
  <c r="AZ14" i="48"/>
  <c r="AZ15" i="48"/>
  <c r="AZ16" i="48"/>
  <c r="AZ17" i="48"/>
  <c r="AZ20" i="48"/>
  <c r="AZ21" i="48"/>
  <c r="AZ22" i="48"/>
  <c r="AZ23" i="48"/>
  <c r="AZ24" i="48"/>
  <c r="AZ25" i="48"/>
  <c r="AZ26" i="48"/>
  <c r="AZ27" i="48"/>
  <c r="AZ28" i="48"/>
  <c r="AZ29" i="48"/>
  <c r="AZ30" i="48"/>
  <c r="AZ31" i="48"/>
  <c r="AZ32" i="48"/>
  <c r="AZ33" i="48"/>
  <c r="AZ34" i="48"/>
  <c r="BB4" i="48"/>
  <c r="AZ4" i="48"/>
  <c r="AZ37" i="48" s="1"/>
  <c r="BA37" i="48"/>
  <c r="AY35" i="48"/>
  <c r="AX5" i="48"/>
  <c r="AX6" i="48" s="1"/>
  <c r="AX7" i="48" s="1"/>
  <c r="AX8" i="48" s="1"/>
  <c r="AX9" i="48" s="1"/>
  <c r="AX10" i="48" s="1"/>
  <c r="AX11" i="48" s="1"/>
  <c r="AX12" i="48" s="1"/>
  <c r="AX13" i="48" s="1"/>
  <c r="AX14" i="48" s="1"/>
  <c r="AX15" i="48" s="1"/>
  <c r="AX16" i="48" s="1"/>
  <c r="AX17" i="48" s="1"/>
  <c r="AX20" i="48" s="1"/>
  <c r="AX21" i="48" s="1"/>
  <c r="AX22" i="48" s="1"/>
  <c r="AX23" i="48" s="1"/>
  <c r="AX24" i="48" s="1"/>
  <c r="AX25" i="48" s="1"/>
  <c r="AX26" i="48" s="1"/>
  <c r="AX27" i="48" s="1"/>
  <c r="AX28" i="48" s="1"/>
  <c r="AX29" i="48" s="1"/>
  <c r="AX30" i="48" s="1"/>
  <c r="AX31" i="48" s="1"/>
  <c r="AX32" i="48" s="1"/>
  <c r="AX33" i="48" s="1"/>
  <c r="AX34" i="48" s="1"/>
  <c r="B17" i="48"/>
  <c r="F17" i="48"/>
  <c r="H17" i="48"/>
  <c r="L17" i="48"/>
  <c r="N17" i="48"/>
  <c r="R17" i="48"/>
  <c r="T17" i="48"/>
  <c r="X17" i="48"/>
  <c r="Z17" i="48"/>
  <c r="AD17" i="48"/>
  <c r="AF17" i="48"/>
  <c r="AJ17" i="48"/>
  <c r="AL17" i="48"/>
  <c r="AP17" i="48"/>
  <c r="AR17" i="48"/>
  <c r="AV17" i="48"/>
  <c r="BE17" i="17"/>
  <c r="B16" i="48"/>
  <c r="F16" i="48"/>
  <c r="H16" i="48"/>
  <c r="L16" i="48"/>
  <c r="N16" i="48"/>
  <c r="R16" i="48"/>
  <c r="T16" i="48"/>
  <c r="X16" i="48"/>
  <c r="Z16" i="48"/>
  <c r="AD16" i="48"/>
  <c r="AF16" i="48"/>
  <c r="AJ16" i="48"/>
  <c r="AL16" i="48"/>
  <c r="AP16" i="48"/>
  <c r="AR16" i="48"/>
  <c r="AV16" i="48"/>
  <c r="AV16" i="17"/>
  <c r="BE16" i="17"/>
  <c r="B15" i="48"/>
  <c r="F15" i="48"/>
  <c r="H15" i="48"/>
  <c r="L15" i="48"/>
  <c r="N15" i="48"/>
  <c r="R15" i="48"/>
  <c r="T15" i="48"/>
  <c r="X15" i="48"/>
  <c r="Z15" i="48"/>
  <c r="AD15" i="48"/>
  <c r="AF15" i="48"/>
  <c r="AJ15" i="48"/>
  <c r="AL15" i="48"/>
  <c r="AP15" i="48"/>
  <c r="AR15" i="48"/>
  <c r="AV15" i="48"/>
  <c r="AV15" i="17"/>
  <c r="BE15" i="17"/>
  <c r="BB37" i="48" l="1"/>
  <c r="BB35" i="48"/>
  <c r="AZ35" i="48"/>
  <c r="AV14" i="17"/>
  <c r="BE14" i="17"/>
  <c r="B14" i="48"/>
  <c r="F14" i="48"/>
  <c r="H14" i="48"/>
  <c r="L14" i="48"/>
  <c r="N14" i="48"/>
  <c r="R14" i="48"/>
  <c r="T14" i="48"/>
  <c r="X14" i="48"/>
  <c r="Z14" i="48"/>
  <c r="AD14" i="48"/>
  <c r="AF14" i="48"/>
  <c r="AJ14" i="48"/>
  <c r="AL14" i="48"/>
  <c r="AP14" i="48"/>
  <c r="AR14" i="48"/>
  <c r="AV14" i="48"/>
  <c r="R38" i="48"/>
  <c r="X38" i="48"/>
  <c r="AU37" i="48"/>
  <c r="AT37" i="48"/>
  <c r="AV37" i="48" s="1"/>
  <c r="AO37" i="48"/>
  <c r="AN37" i="48"/>
  <c r="AP37" i="48" s="1"/>
  <c r="AI37" i="48"/>
  <c r="AJ37" i="48" s="1"/>
  <c r="AH37" i="48"/>
  <c r="AC37" i="48"/>
  <c r="AB37" i="48"/>
  <c r="AD37" i="48" s="1"/>
  <c r="W37" i="48"/>
  <c r="V37" i="48"/>
  <c r="X37" i="48" s="1"/>
  <c r="Q37" i="48"/>
  <c r="P37" i="48"/>
  <c r="R37" i="48" s="1"/>
  <c r="L37" i="48"/>
  <c r="K37" i="48"/>
  <c r="J37" i="48"/>
  <c r="F37" i="48"/>
  <c r="E37" i="48"/>
  <c r="D37" i="48"/>
  <c r="AV13" i="17"/>
  <c r="BE13" i="17"/>
  <c r="B13" i="48"/>
  <c r="F13" i="48"/>
  <c r="H13" i="48"/>
  <c r="L13" i="48"/>
  <c r="N13" i="48"/>
  <c r="R13" i="48"/>
  <c r="T13" i="48"/>
  <c r="X13" i="48"/>
  <c r="Z13" i="48"/>
  <c r="AD13" i="48"/>
  <c r="AF13" i="48"/>
  <c r="AJ13" i="48"/>
  <c r="AL13" i="48"/>
  <c r="AP13" i="48"/>
  <c r="AR13" i="48"/>
  <c r="AV13" i="48"/>
  <c r="M90" i="15"/>
  <c r="M88" i="15"/>
  <c r="M87" i="15"/>
  <c r="M86" i="15"/>
  <c r="B12" i="48"/>
  <c r="F12" i="48"/>
  <c r="H12" i="48"/>
  <c r="L12" i="48"/>
  <c r="N12" i="48"/>
  <c r="R12" i="48"/>
  <c r="T12" i="48"/>
  <c r="X12" i="48"/>
  <c r="Z12" i="48"/>
  <c r="AD12" i="48"/>
  <c r="AF12" i="48"/>
  <c r="AJ12" i="48"/>
  <c r="AL12" i="48"/>
  <c r="AP12" i="48"/>
  <c r="AR12" i="48"/>
  <c r="AV12" i="48"/>
  <c r="BA35" i="48" l="1"/>
  <c r="AV12" i="17"/>
  <c r="AV11" i="17"/>
  <c r="AV10" i="17"/>
  <c r="BE12" i="17"/>
  <c r="B11" i="48" l="1"/>
  <c r="F11" i="48"/>
  <c r="H11" i="48"/>
  <c r="L11" i="48"/>
  <c r="N11" i="48"/>
  <c r="R11" i="48"/>
  <c r="T11" i="48"/>
  <c r="X11" i="48"/>
  <c r="Z11" i="48"/>
  <c r="AD11" i="48"/>
  <c r="AF11" i="48"/>
  <c r="AJ11" i="48"/>
  <c r="AL11" i="48"/>
  <c r="AP11" i="48"/>
  <c r="AR11" i="48"/>
  <c r="AV11" i="48"/>
  <c r="BE11" i="17" l="1"/>
  <c r="F10" i="48"/>
  <c r="L10" i="48"/>
  <c r="R10" i="48"/>
  <c r="X10" i="48"/>
  <c r="AD10" i="48"/>
  <c r="AJ10" i="48"/>
  <c r="AP10" i="48"/>
  <c r="AV10" i="48"/>
  <c r="F9" i="48" l="1"/>
  <c r="L9" i="48"/>
  <c r="R9" i="48"/>
  <c r="X9" i="48"/>
  <c r="AD9" i="48"/>
  <c r="AJ9" i="48"/>
  <c r="AP9" i="48"/>
  <c r="AV9" i="48"/>
  <c r="AV9" i="17"/>
  <c r="AV8" i="17" l="1"/>
  <c r="AV8" i="48" l="1"/>
  <c r="AP8" i="48"/>
  <c r="AJ8" i="48"/>
  <c r="AD8" i="48"/>
  <c r="X8" i="48"/>
  <c r="R8" i="48"/>
  <c r="L8" i="48"/>
  <c r="F8" i="48"/>
  <c r="AV7" i="17" l="1"/>
  <c r="AV7" i="48"/>
  <c r="AP7" i="48"/>
  <c r="AJ7" i="48"/>
  <c r="AD7" i="48"/>
  <c r="X7" i="48"/>
  <c r="R7" i="48"/>
  <c r="L7" i="48"/>
  <c r="F7" i="48"/>
  <c r="L44" i="15"/>
  <c r="L45" i="15"/>
  <c r="L46" i="15"/>
  <c r="L47" i="15"/>
  <c r="L48" i="15"/>
  <c r="AV6" i="17" l="1"/>
  <c r="AV5" i="17"/>
  <c r="AV4" i="17"/>
  <c r="C5" i="17"/>
  <c r="D5" i="17"/>
  <c r="E5" i="17"/>
  <c r="F5" i="17"/>
  <c r="G5" i="17"/>
  <c r="H5" i="17"/>
  <c r="I5" i="17"/>
  <c r="J5" i="17"/>
  <c r="K5" i="17"/>
  <c r="L5" i="17"/>
  <c r="M5" i="17"/>
  <c r="N5" i="17"/>
  <c r="R5" i="17"/>
  <c r="S5" i="17"/>
  <c r="T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R6" i="17"/>
  <c r="S6" i="17"/>
  <c r="T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R7" i="17"/>
  <c r="S7" i="17"/>
  <c r="T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R8" i="17"/>
  <c r="S8" i="17"/>
  <c r="T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R9" i="17"/>
  <c r="S9" i="17"/>
  <c r="T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R10" i="17"/>
  <c r="S10" i="17"/>
  <c r="T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R11" i="17"/>
  <c r="S11" i="17"/>
  <c r="T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R12" i="17"/>
  <c r="S12" i="17"/>
  <c r="T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R13" i="17"/>
  <c r="S13" i="17"/>
  <c r="T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R14" i="17"/>
  <c r="S14" i="17"/>
  <c r="T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R15" i="17"/>
  <c r="S15" i="17"/>
  <c r="T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R16" i="17"/>
  <c r="S16" i="17"/>
  <c r="T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R17" i="17"/>
  <c r="S17" i="17"/>
  <c r="T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R18" i="17"/>
  <c r="S18" i="17"/>
  <c r="T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R19" i="17"/>
  <c r="S19" i="17"/>
  <c r="T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R20" i="17"/>
  <c r="S20" i="17"/>
  <c r="T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R21" i="17"/>
  <c r="S21" i="17"/>
  <c r="T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R22" i="17"/>
  <c r="S22" i="17"/>
  <c r="T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R23" i="17"/>
  <c r="S23" i="17"/>
  <c r="T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R24" i="17"/>
  <c r="S24" i="17"/>
  <c r="T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R25" i="17"/>
  <c r="S25" i="17"/>
  <c r="T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R26" i="17"/>
  <c r="S26" i="17"/>
  <c r="T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R27" i="17"/>
  <c r="S27" i="17"/>
  <c r="T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R28" i="17"/>
  <c r="S28" i="17"/>
  <c r="T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R29" i="17"/>
  <c r="S29" i="17"/>
  <c r="T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R30" i="17"/>
  <c r="S30" i="17"/>
  <c r="T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R31" i="17"/>
  <c r="S31" i="17"/>
  <c r="T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R32" i="17"/>
  <c r="S32" i="17"/>
  <c r="T32" i="17"/>
  <c r="W32" i="17"/>
  <c r="X32" i="17"/>
  <c r="Y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R33" i="17"/>
  <c r="S33" i="17"/>
  <c r="T33" i="17"/>
  <c r="W33" i="17"/>
  <c r="X33" i="17"/>
  <c r="Y33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R34" i="17"/>
  <c r="S34" i="17"/>
  <c r="T34" i="17"/>
  <c r="W34" i="17"/>
  <c r="X34" i="17"/>
  <c r="Y34" i="17"/>
  <c r="L5" i="44"/>
  <c r="L6" i="44"/>
  <c r="L7" i="44"/>
  <c r="L8" i="44"/>
  <c r="L9" i="44"/>
  <c r="L10" i="44"/>
  <c r="L11" i="44"/>
  <c r="L12" i="44"/>
  <c r="L13" i="44"/>
  <c r="L14" i="44"/>
  <c r="L15" i="44"/>
  <c r="L16" i="44"/>
  <c r="L17" i="44"/>
  <c r="L18" i="44"/>
  <c r="L19" i="44"/>
  <c r="L20" i="44"/>
  <c r="L21" i="44"/>
  <c r="L22" i="44"/>
  <c r="L23" i="44"/>
  <c r="L24" i="44"/>
  <c r="L25" i="44"/>
  <c r="L26" i="44"/>
  <c r="L27" i="44"/>
  <c r="L28" i="44"/>
  <c r="L29" i="44"/>
  <c r="L30" i="44"/>
  <c r="L31" i="44"/>
  <c r="C32" i="44"/>
  <c r="L32" i="44"/>
  <c r="L33" i="44"/>
  <c r="L34" i="44"/>
  <c r="L31" i="15"/>
  <c r="L30" i="15"/>
  <c r="L29" i="15"/>
  <c r="L28" i="15"/>
  <c r="L27" i="15"/>
  <c r="AU5" i="48"/>
  <c r="AO5" i="48"/>
  <c r="AI5" i="48"/>
  <c r="AC5" i="48"/>
  <c r="W5" i="48"/>
  <c r="Q5" i="48"/>
  <c r="K5" i="48"/>
  <c r="E5" i="48"/>
  <c r="AO14" i="44" l="1"/>
  <c r="C28" i="44"/>
  <c r="C31" i="44"/>
  <c r="C7" i="44"/>
  <c r="C27" i="44"/>
  <c r="C20" i="44"/>
  <c r="C24" i="44"/>
  <c r="C9" i="44"/>
  <c r="C19" i="44"/>
  <c r="C33" i="44"/>
  <c r="C11" i="44"/>
  <c r="C15" i="44"/>
  <c r="C23" i="44"/>
  <c r="C34" i="44"/>
  <c r="C29" i="44"/>
  <c r="C26" i="44"/>
  <c r="C21" i="44"/>
  <c r="C18" i="44"/>
  <c r="C16" i="44"/>
  <c r="C13" i="44"/>
  <c r="C10" i="44"/>
  <c r="C8" i="44"/>
  <c r="C5" i="44"/>
  <c r="C30" i="44"/>
  <c r="C25" i="44"/>
  <c r="C22" i="44"/>
  <c r="C17" i="44"/>
  <c r="C14" i="44"/>
  <c r="C12" i="44"/>
  <c r="C6" i="44"/>
  <c r="W4" i="17"/>
  <c r="AU4" i="48" l="1"/>
  <c r="AO4" i="48"/>
  <c r="AP4" i="48" s="1"/>
  <c r="AI4" i="48"/>
  <c r="AT35" i="48"/>
  <c r="AS35" i="48"/>
  <c r="AV34" i="48"/>
  <c r="AV33" i="48"/>
  <c r="AV32" i="48"/>
  <c r="AV31" i="48"/>
  <c r="AV30" i="48"/>
  <c r="AV29" i="48"/>
  <c r="AV28" i="48"/>
  <c r="AV27" i="48"/>
  <c r="AV26" i="48"/>
  <c r="AV25" i="48"/>
  <c r="AV24" i="48"/>
  <c r="AV23" i="48"/>
  <c r="AV22" i="48"/>
  <c r="AV21" i="48"/>
  <c r="AV20" i="48"/>
  <c r="AV6" i="48"/>
  <c r="AV5" i="48"/>
  <c r="AR5" i="48"/>
  <c r="AR6" i="48" s="1"/>
  <c r="AV4" i="48"/>
  <c r="AN35" i="48"/>
  <c r="AM35" i="48"/>
  <c r="AP34" i="48"/>
  <c r="AP33" i="48"/>
  <c r="AP32" i="48"/>
  <c r="AP31" i="48"/>
  <c r="AP30" i="48"/>
  <c r="AP29" i="48"/>
  <c r="AP28" i="48"/>
  <c r="AP27" i="48"/>
  <c r="AP26" i="48"/>
  <c r="AP25" i="48"/>
  <c r="AP24" i="48"/>
  <c r="AP23" i="48"/>
  <c r="AP22" i="48"/>
  <c r="AP21" i="48"/>
  <c r="AP20" i="48"/>
  <c r="AP6" i="48"/>
  <c r="AP5" i="48"/>
  <c r="AL5" i="48"/>
  <c r="AL6" i="48" s="1"/>
  <c r="AQ4" i="44"/>
  <c r="U34" i="45"/>
  <c r="S34" i="45"/>
  <c r="L34" i="45"/>
  <c r="K36" i="45"/>
  <c r="J36" i="45"/>
  <c r="I36" i="45"/>
  <c r="H36" i="45"/>
  <c r="G36" i="45"/>
  <c r="F36" i="45"/>
  <c r="E36" i="45"/>
  <c r="D36" i="45"/>
  <c r="C36" i="45"/>
  <c r="AR7" i="48" l="1"/>
  <c r="AR8" i="48" s="1"/>
  <c r="AR9" i="48" s="1"/>
  <c r="AR10" i="48" s="1"/>
  <c r="AR20" i="48" s="1"/>
  <c r="AR21" i="48" s="1"/>
  <c r="AR22" i="48" s="1"/>
  <c r="AR23" i="48" s="1"/>
  <c r="AR24" i="48" s="1"/>
  <c r="AR25" i="48" s="1"/>
  <c r="AR26" i="48" s="1"/>
  <c r="AR27" i="48" s="1"/>
  <c r="AR28" i="48" s="1"/>
  <c r="AR29" i="48" s="1"/>
  <c r="AR30" i="48" s="1"/>
  <c r="AR31" i="48" s="1"/>
  <c r="AR32" i="48" s="1"/>
  <c r="AR33" i="48" s="1"/>
  <c r="AR34" i="48" s="1"/>
  <c r="AL7" i="48"/>
  <c r="AL8" i="48" s="1"/>
  <c r="AL9" i="48" s="1"/>
  <c r="AL10" i="48" s="1"/>
  <c r="AL20" i="48" s="1"/>
  <c r="AL21" i="48" s="1"/>
  <c r="AL22" i="48" s="1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P35" i="48"/>
  <c r="AO35" i="48" s="1"/>
  <c r="AV35" i="48"/>
  <c r="AU35" i="48" s="1"/>
  <c r="W35" i="17" l="1"/>
  <c r="AC4" i="48" l="1"/>
  <c r="W4" i="48"/>
  <c r="Q4" i="48"/>
  <c r="K4" i="48" l="1"/>
  <c r="X4" i="48"/>
  <c r="E4" i="48"/>
  <c r="AH35" i="48"/>
  <c r="AG35" i="48"/>
  <c r="AJ34" i="48"/>
  <c r="AJ33" i="48"/>
  <c r="AJ32" i="48"/>
  <c r="AJ31" i="48"/>
  <c r="AJ30" i="48"/>
  <c r="AJ29" i="48"/>
  <c r="AJ28" i="48"/>
  <c r="AJ27" i="48"/>
  <c r="AJ26" i="48"/>
  <c r="AJ25" i="48"/>
  <c r="AJ24" i="48"/>
  <c r="AJ23" i="48"/>
  <c r="AJ22" i="48"/>
  <c r="AJ21" i="48"/>
  <c r="AJ20" i="48"/>
  <c r="AJ6" i="48"/>
  <c r="AJ5" i="48"/>
  <c r="AF5" i="48"/>
  <c r="AF6" i="48" s="1"/>
  <c r="AJ4" i="48"/>
  <c r="AB35" i="48"/>
  <c r="AA35" i="48"/>
  <c r="AD34" i="48"/>
  <c r="AD33" i="48"/>
  <c r="AD32" i="48"/>
  <c r="AD31" i="48"/>
  <c r="AD30" i="48"/>
  <c r="AD29" i="48"/>
  <c r="AD28" i="48"/>
  <c r="AD27" i="48"/>
  <c r="AD26" i="48"/>
  <c r="AD25" i="48"/>
  <c r="AD24" i="48"/>
  <c r="AD23" i="48"/>
  <c r="AD22" i="48"/>
  <c r="AD21" i="48"/>
  <c r="AD20" i="48"/>
  <c r="AD6" i="48"/>
  <c r="AD5" i="48"/>
  <c r="Z5" i="48"/>
  <c r="Z6" i="48" s="1"/>
  <c r="AD4" i="48"/>
  <c r="V35" i="48"/>
  <c r="U35" i="48"/>
  <c r="X34" i="48"/>
  <c r="X33" i="48"/>
  <c r="X32" i="48"/>
  <c r="X31" i="48"/>
  <c r="X30" i="48"/>
  <c r="X29" i="48"/>
  <c r="X28" i="48"/>
  <c r="X27" i="48"/>
  <c r="X26" i="48"/>
  <c r="X25" i="48"/>
  <c r="X24" i="48"/>
  <c r="X23" i="48"/>
  <c r="X22" i="48"/>
  <c r="X21" i="48"/>
  <c r="X20" i="48"/>
  <c r="X6" i="48"/>
  <c r="X5" i="48"/>
  <c r="T5" i="48"/>
  <c r="T6" i="48" s="1"/>
  <c r="P35" i="48"/>
  <c r="O35" i="48"/>
  <c r="R34" i="48"/>
  <c r="R33" i="48"/>
  <c r="R32" i="48"/>
  <c r="R31" i="48"/>
  <c r="R30" i="48"/>
  <c r="R29" i="48"/>
  <c r="R28" i="48"/>
  <c r="R27" i="48"/>
  <c r="R26" i="48"/>
  <c r="R25" i="48"/>
  <c r="R24" i="48"/>
  <c r="R23" i="48"/>
  <c r="R22" i="48"/>
  <c r="R21" i="48"/>
  <c r="R20" i="48"/>
  <c r="R6" i="48"/>
  <c r="R5" i="48"/>
  <c r="N5" i="48"/>
  <c r="N6" i="48" s="1"/>
  <c r="R4" i="48"/>
  <c r="J35" i="48"/>
  <c r="I35" i="48"/>
  <c r="L34" i="48"/>
  <c r="L33" i="48"/>
  <c r="L32" i="48"/>
  <c r="L31" i="48"/>
  <c r="L30" i="48"/>
  <c r="L29" i="48"/>
  <c r="L28" i="48"/>
  <c r="L27" i="48"/>
  <c r="L26" i="48"/>
  <c r="L25" i="48"/>
  <c r="L24" i="48"/>
  <c r="L23" i="48"/>
  <c r="L22" i="48"/>
  <c r="L21" i="48"/>
  <c r="L20" i="48"/>
  <c r="L6" i="48"/>
  <c r="L5" i="48"/>
  <c r="H5" i="48"/>
  <c r="H6" i="48" s="1"/>
  <c r="L4" i="48"/>
  <c r="F5" i="48"/>
  <c r="F6" i="48"/>
  <c r="F20" i="48"/>
  <c r="F21" i="48"/>
  <c r="F22" i="48"/>
  <c r="F23" i="48"/>
  <c r="F24" i="48"/>
  <c r="F25" i="48"/>
  <c r="F26" i="48"/>
  <c r="F27" i="48"/>
  <c r="F28" i="48"/>
  <c r="F29" i="48"/>
  <c r="F30" i="48"/>
  <c r="F31" i="48"/>
  <c r="F32" i="48"/>
  <c r="F33" i="48"/>
  <c r="F34" i="48"/>
  <c r="C35" i="48"/>
  <c r="B5" i="48"/>
  <c r="B6" i="48" s="1"/>
  <c r="D35" i="48"/>
  <c r="CV27" i="44"/>
  <c r="CW27" i="44"/>
  <c r="CX27" i="44"/>
  <c r="CY27" i="44"/>
  <c r="CZ27" i="44"/>
  <c r="DA27" i="44"/>
  <c r="DB27" i="44"/>
  <c r="DC27" i="44"/>
  <c r="CV28" i="44"/>
  <c r="CW28" i="44"/>
  <c r="CX28" i="44"/>
  <c r="CY28" i="44"/>
  <c r="CZ28" i="44"/>
  <c r="DA28" i="44"/>
  <c r="DB28" i="44"/>
  <c r="DC28" i="44"/>
  <c r="CV29" i="44"/>
  <c r="CW29" i="44"/>
  <c r="CX29" i="44"/>
  <c r="CY29" i="44"/>
  <c r="CZ29" i="44"/>
  <c r="DA29" i="44"/>
  <c r="DB29" i="44"/>
  <c r="DC29" i="44"/>
  <c r="CV30" i="44"/>
  <c r="CW30" i="44"/>
  <c r="CX30" i="44"/>
  <c r="CY30" i="44"/>
  <c r="CZ30" i="44"/>
  <c r="DA30" i="44"/>
  <c r="DB30" i="44"/>
  <c r="DC30" i="44"/>
  <c r="CV31" i="44"/>
  <c r="CW31" i="44"/>
  <c r="CX31" i="44"/>
  <c r="CY31" i="44"/>
  <c r="CZ31" i="44"/>
  <c r="DA31" i="44"/>
  <c r="DB31" i="44"/>
  <c r="DC31" i="44"/>
  <c r="CV32" i="44"/>
  <c r="CW32" i="44"/>
  <c r="CX32" i="44"/>
  <c r="CY32" i="44"/>
  <c r="CZ32" i="44"/>
  <c r="DA32" i="44"/>
  <c r="DB32" i="44"/>
  <c r="DC32" i="44"/>
  <c r="CV33" i="44"/>
  <c r="CW33" i="44"/>
  <c r="CX33" i="44"/>
  <c r="CY33" i="44"/>
  <c r="CZ33" i="44"/>
  <c r="DA33" i="44"/>
  <c r="DB33" i="44"/>
  <c r="DC33" i="44"/>
  <c r="CV34" i="44"/>
  <c r="CW34" i="44"/>
  <c r="CX34" i="44"/>
  <c r="CY34" i="44"/>
  <c r="CZ34" i="44"/>
  <c r="DA34" i="44"/>
  <c r="DB34" i="44"/>
  <c r="DC34" i="44"/>
  <c r="DD34" i="44"/>
  <c r="BZ28" i="44"/>
  <c r="CA28" i="44"/>
  <c r="CB28" i="44"/>
  <c r="CC28" i="44"/>
  <c r="CD28" i="44"/>
  <c r="CE28" i="44"/>
  <c r="CF28" i="44"/>
  <c r="CG28" i="44"/>
  <c r="BZ29" i="44"/>
  <c r="CA29" i="44"/>
  <c r="CB29" i="44"/>
  <c r="CC29" i="44"/>
  <c r="CD29" i="44"/>
  <c r="CE29" i="44"/>
  <c r="CF29" i="44"/>
  <c r="CG29" i="44"/>
  <c r="BZ30" i="44"/>
  <c r="CA30" i="44"/>
  <c r="CB30" i="44"/>
  <c r="CC30" i="44"/>
  <c r="CD30" i="44"/>
  <c r="CE30" i="44"/>
  <c r="CF30" i="44"/>
  <c r="CG30" i="44"/>
  <c r="BZ31" i="44"/>
  <c r="CA31" i="44"/>
  <c r="CB31" i="44"/>
  <c r="CC31" i="44"/>
  <c r="CD31" i="44"/>
  <c r="CE31" i="44"/>
  <c r="CF31" i="44"/>
  <c r="CG31" i="44"/>
  <c r="BZ32" i="44"/>
  <c r="CA32" i="44"/>
  <c r="CB32" i="44"/>
  <c r="CC32" i="44"/>
  <c r="CD32" i="44"/>
  <c r="CE32" i="44"/>
  <c r="CF32" i="44"/>
  <c r="CG32" i="44"/>
  <c r="BZ33" i="44"/>
  <c r="CA33" i="44"/>
  <c r="CB33" i="44"/>
  <c r="CC33" i="44"/>
  <c r="CD33" i="44"/>
  <c r="CE33" i="44"/>
  <c r="CF33" i="44"/>
  <c r="CG33" i="44"/>
  <c r="BZ34" i="44"/>
  <c r="CA34" i="44"/>
  <c r="CB34" i="44"/>
  <c r="CC34" i="44"/>
  <c r="CD34" i="44"/>
  <c r="CE34" i="44"/>
  <c r="CF34" i="44"/>
  <c r="CG34" i="44"/>
  <c r="BU28" i="44"/>
  <c r="BV28" i="44"/>
  <c r="BW28" i="44"/>
  <c r="BU29" i="44"/>
  <c r="BV29" i="44"/>
  <c r="BW29" i="44"/>
  <c r="BU30" i="44"/>
  <c r="BV30" i="44"/>
  <c r="BW30" i="44"/>
  <c r="BU31" i="44"/>
  <c r="BV31" i="44"/>
  <c r="BW31" i="44"/>
  <c r="BU32" i="44"/>
  <c r="BV32" i="44"/>
  <c r="BW32" i="44"/>
  <c r="BU33" i="44"/>
  <c r="BV33" i="44"/>
  <c r="BW33" i="44"/>
  <c r="BU34" i="44"/>
  <c r="BV34" i="44"/>
  <c r="BW34" i="44"/>
  <c r="BM28" i="44"/>
  <c r="BM29" i="44"/>
  <c r="BM30" i="44"/>
  <c r="BM31" i="44"/>
  <c r="BM32" i="44"/>
  <c r="BM33" i="44"/>
  <c r="BM34" i="44"/>
  <c r="BH28" i="44"/>
  <c r="BH29" i="44"/>
  <c r="BH30" i="44"/>
  <c r="BH31" i="44"/>
  <c r="BH32" i="44"/>
  <c r="BH33" i="44"/>
  <c r="BH34" i="44"/>
  <c r="T32" i="44"/>
  <c r="V32" i="44"/>
  <c r="X32" i="44"/>
  <c r="Y32" i="44"/>
  <c r="BB32" i="44" s="1"/>
  <c r="Z32" i="44"/>
  <c r="AB32" i="44"/>
  <c r="T33" i="44"/>
  <c r="V33" i="44"/>
  <c r="X33" i="44"/>
  <c r="Y33" i="44"/>
  <c r="BB33" i="44" s="1"/>
  <c r="Z33" i="44"/>
  <c r="AB33" i="44"/>
  <c r="AD33" i="44"/>
  <c r="T34" i="44"/>
  <c r="V34" i="44"/>
  <c r="X34" i="44"/>
  <c r="Y34" i="44"/>
  <c r="Z34" i="44"/>
  <c r="AB34" i="44"/>
  <c r="AD34" i="44"/>
  <c r="AQ33" i="44"/>
  <c r="AQ34" i="44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27" i="13"/>
  <c r="E28" i="13"/>
  <c r="E29" i="13"/>
  <c r="E30" i="13"/>
  <c r="E31" i="13"/>
  <c r="E32" i="13"/>
  <c r="E33" i="13"/>
  <c r="E34" i="13"/>
  <c r="E23" i="12"/>
  <c r="E24" i="12"/>
  <c r="E25" i="12"/>
  <c r="E26" i="12"/>
  <c r="E27" i="12"/>
  <c r="E28" i="12"/>
  <c r="E29" i="12"/>
  <c r="E30" i="12"/>
  <c r="E31" i="12"/>
  <c r="E32" i="12"/>
  <c r="E33" i="12"/>
  <c r="E34" i="12"/>
  <c r="E29" i="11"/>
  <c r="E30" i="11"/>
  <c r="E31" i="11"/>
  <c r="E32" i="11"/>
  <c r="E33" i="11"/>
  <c r="E34" i="11"/>
  <c r="E32" i="10"/>
  <c r="E33" i="10"/>
  <c r="E34" i="10"/>
  <c r="H31" i="9"/>
  <c r="H32" i="9"/>
  <c r="H33" i="9"/>
  <c r="H34" i="9"/>
  <c r="L157" i="15"/>
  <c r="L186" i="15"/>
  <c r="H186" i="15"/>
  <c r="C34" i="14"/>
  <c r="F34" i="14"/>
  <c r="H33" i="14"/>
  <c r="I33" i="44" s="1"/>
  <c r="F33" i="14"/>
  <c r="E33" i="14"/>
  <c r="D33" i="14" s="1"/>
  <c r="C33" i="14"/>
  <c r="J543" i="15"/>
  <c r="F543" i="15"/>
  <c r="L542" i="15"/>
  <c r="H542" i="15"/>
  <c r="L541" i="15"/>
  <c r="H541" i="15"/>
  <c r="L540" i="15"/>
  <c r="H540" i="15"/>
  <c r="L539" i="15"/>
  <c r="H539" i="15"/>
  <c r="L538" i="15"/>
  <c r="H538" i="15"/>
  <c r="L537" i="15"/>
  <c r="H537" i="15"/>
  <c r="L536" i="15"/>
  <c r="H536" i="15"/>
  <c r="L535" i="15"/>
  <c r="H535" i="15"/>
  <c r="L534" i="15"/>
  <c r="H534" i="15"/>
  <c r="L533" i="15"/>
  <c r="H533" i="15"/>
  <c r="L532" i="15"/>
  <c r="H532" i="15"/>
  <c r="L531" i="15"/>
  <c r="H531" i="15"/>
  <c r="L530" i="15"/>
  <c r="H530" i="15"/>
  <c r="L529" i="15"/>
  <c r="H529" i="15"/>
  <c r="L528" i="15"/>
  <c r="H528" i="15"/>
  <c r="H34" i="44" l="1"/>
  <c r="Z34" i="17"/>
  <c r="B7" i="48"/>
  <c r="B8" i="48" s="1"/>
  <c r="B9" i="48" s="1"/>
  <c r="B10" i="48" s="1"/>
  <c r="B20" i="48" s="1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AE33" i="44"/>
  <c r="BG33" i="44" s="1"/>
  <c r="AF7" i="48"/>
  <c r="AF8" i="48" s="1"/>
  <c r="AF9" i="48" s="1"/>
  <c r="AF10" i="48" s="1"/>
  <c r="AF20" i="48" s="1"/>
  <c r="AF21" i="48" s="1"/>
  <c r="AF22" i="48" s="1"/>
  <c r="AF23" i="48" s="1"/>
  <c r="AF24" i="48" s="1"/>
  <c r="AF25" i="48" s="1"/>
  <c r="AF26" i="48" s="1"/>
  <c r="AF27" i="48" s="1"/>
  <c r="AF28" i="48" s="1"/>
  <c r="AF29" i="48" s="1"/>
  <c r="AF30" i="48" s="1"/>
  <c r="AF31" i="48" s="1"/>
  <c r="AF32" i="48" s="1"/>
  <c r="AF33" i="48" s="1"/>
  <c r="AF34" i="48" s="1"/>
  <c r="AX33" i="44"/>
  <c r="T7" i="48"/>
  <c r="T8" i="48" s="1"/>
  <c r="T9" i="48" s="1"/>
  <c r="T10" i="48" s="1"/>
  <c r="T20" i="48" s="1"/>
  <c r="T21" i="48" s="1"/>
  <c r="T22" i="48" s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H7" i="48"/>
  <c r="H8" i="48" s="1"/>
  <c r="H9" i="48" s="1"/>
  <c r="H10" i="48" s="1"/>
  <c r="H20" i="48" s="1"/>
  <c r="H21" i="48" s="1"/>
  <c r="H22" i="48" s="1"/>
  <c r="H23" i="48" s="1"/>
  <c r="H24" i="48" s="1"/>
  <c r="H25" i="48" s="1"/>
  <c r="H26" i="48" s="1"/>
  <c r="H27" i="48" s="1"/>
  <c r="H28" i="48" s="1"/>
  <c r="H29" i="48" s="1"/>
  <c r="H30" i="48" s="1"/>
  <c r="H31" i="48" s="1"/>
  <c r="H32" i="48" s="1"/>
  <c r="H33" i="48" s="1"/>
  <c r="H34" i="48" s="1"/>
  <c r="CH31" i="44"/>
  <c r="H543" i="15"/>
  <c r="G543" i="15" s="1"/>
  <c r="G33" i="14"/>
  <c r="H33" i="44"/>
  <c r="Z33" i="17"/>
  <c r="Z20" i="48"/>
  <c r="Z21" i="48" s="1"/>
  <c r="Z22" i="48" s="1"/>
  <c r="Z23" i="48" s="1"/>
  <c r="Z24" i="48" s="1"/>
  <c r="Z25" i="48" s="1"/>
  <c r="Z26" i="48" s="1"/>
  <c r="Z27" i="48" s="1"/>
  <c r="Z28" i="48" s="1"/>
  <c r="Z29" i="48" s="1"/>
  <c r="Z30" i="48" s="1"/>
  <c r="Z31" i="48" s="1"/>
  <c r="Z32" i="48" s="1"/>
  <c r="Z33" i="48" s="1"/>
  <c r="Z34" i="48" s="1"/>
  <c r="Z7" i="48"/>
  <c r="Z8" i="48" s="1"/>
  <c r="Z9" i="48" s="1"/>
  <c r="Z10" i="48" s="1"/>
  <c r="L543" i="15"/>
  <c r="K543" i="15" s="1"/>
  <c r="BB34" i="44"/>
  <c r="DD30" i="44"/>
  <c r="N7" i="48"/>
  <c r="N8" i="48" s="1"/>
  <c r="N9" i="48" s="1"/>
  <c r="N10" i="48" s="1"/>
  <c r="N20" i="48" s="1"/>
  <c r="N21" i="48" s="1"/>
  <c r="N22" i="48" s="1"/>
  <c r="N23" i="48" s="1"/>
  <c r="N24" i="48" s="1"/>
  <c r="N25" i="48" s="1"/>
  <c r="N26" i="48" s="1"/>
  <c r="N27" i="48" s="1"/>
  <c r="N28" i="48" s="1"/>
  <c r="N29" i="48" s="1"/>
  <c r="N30" i="48" s="1"/>
  <c r="N31" i="48" s="1"/>
  <c r="N32" i="48" s="1"/>
  <c r="N33" i="48" s="1"/>
  <c r="N34" i="48" s="1"/>
  <c r="AD35" i="48"/>
  <c r="AC35" i="48" s="1"/>
  <c r="AJ35" i="48"/>
  <c r="AI35" i="48" s="1"/>
  <c r="X35" i="48"/>
  <c r="W35" i="48" s="1"/>
  <c r="R35" i="48"/>
  <c r="Q35" i="48" s="1"/>
  <c r="L35" i="48"/>
  <c r="K35" i="48" s="1"/>
  <c r="CH32" i="44"/>
  <c r="DD29" i="44"/>
  <c r="CH34" i="44"/>
  <c r="CH33" i="44"/>
  <c r="CH28" i="44"/>
  <c r="CH30" i="44"/>
  <c r="CH29" i="44"/>
  <c r="DD32" i="44"/>
  <c r="DD27" i="44"/>
  <c r="DD33" i="44"/>
  <c r="DD31" i="44"/>
  <c r="DD28" i="44"/>
  <c r="G61" i="45" l="1"/>
  <c r="J61" i="45"/>
  <c r="G62" i="45"/>
  <c r="J62" i="45"/>
  <c r="G63" i="45"/>
  <c r="J63" i="45"/>
  <c r="G64" i="45"/>
  <c r="J64" i="45"/>
  <c r="G65" i="45"/>
  <c r="J65" i="45"/>
  <c r="G66" i="45"/>
  <c r="J66" i="45"/>
  <c r="G67" i="45"/>
  <c r="J67" i="45"/>
  <c r="G68" i="45"/>
  <c r="J68" i="45"/>
  <c r="G69" i="45"/>
  <c r="J69" i="45"/>
  <c r="G70" i="45"/>
  <c r="J70" i="45"/>
  <c r="G71" i="45"/>
  <c r="J71" i="45"/>
  <c r="G72" i="45"/>
  <c r="H72" i="45"/>
  <c r="J72" i="45"/>
  <c r="G73" i="45"/>
  <c r="J73" i="45"/>
  <c r="P71" i="45"/>
  <c r="Q71" i="45"/>
  <c r="Q73" i="45"/>
  <c r="P73" i="45"/>
  <c r="Q72" i="45"/>
  <c r="P72" i="45"/>
  <c r="K207" i="38"/>
  <c r="D34" i="38" s="1"/>
  <c r="U34" i="17" s="1"/>
  <c r="N206" i="38"/>
  <c r="N205" i="38"/>
  <c r="N204" i="38"/>
  <c r="N203" i="38"/>
  <c r="N202" i="38"/>
  <c r="N207" i="38" s="1"/>
  <c r="L207" i="38" s="1"/>
  <c r="K220" i="39"/>
  <c r="D34" i="39" s="1"/>
  <c r="V34" i="17" s="1"/>
  <c r="N219" i="39"/>
  <c r="N218" i="39"/>
  <c r="N217" i="39"/>
  <c r="N216" i="39"/>
  <c r="N215" i="39"/>
  <c r="E5" i="32"/>
  <c r="Q5" i="17" s="1"/>
  <c r="E6" i="32"/>
  <c r="Q6" i="17" s="1"/>
  <c r="E7" i="32"/>
  <c r="Q7" i="17" s="1"/>
  <c r="E8" i="32"/>
  <c r="Q8" i="17" s="1"/>
  <c r="E9" i="32"/>
  <c r="Q9" i="17" s="1"/>
  <c r="E10" i="32"/>
  <c r="Q10" i="17" s="1"/>
  <c r="E11" i="32"/>
  <c r="Q11" i="17" s="1"/>
  <c r="E12" i="32"/>
  <c r="Q12" i="17" s="1"/>
  <c r="E13" i="32"/>
  <c r="Q13" i="17" s="1"/>
  <c r="E14" i="32"/>
  <c r="Q14" i="17" s="1"/>
  <c r="E15" i="32"/>
  <c r="Q15" i="17" s="1"/>
  <c r="E16" i="32"/>
  <c r="Q16" i="17" s="1"/>
  <c r="E17" i="32"/>
  <c r="Q17" i="17" s="1"/>
  <c r="E18" i="32"/>
  <c r="Q18" i="17" s="1"/>
  <c r="E19" i="32"/>
  <c r="Q19" i="17" s="1"/>
  <c r="E20" i="32"/>
  <c r="Q20" i="17" s="1"/>
  <c r="E21" i="32"/>
  <c r="Q21" i="17" s="1"/>
  <c r="E22" i="32"/>
  <c r="Q22" i="17" s="1"/>
  <c r="E23" i="32"/>
  <c r="Q23" i="17" s="1"/>
  <c r="E24" i="32"/>
  <c r="Q24" i="17" s="1"/>
  <c r="E25" i="32"/>
  <c r="Q25" i="17" s="1"/>
  <c r="E26" i="32"/>
  <c r="Q26" i="17" s="1"/>
  <c r="E27" i="32"/>
  <c r="Q27" i="17" s="1"/>
  <c r="E28" i="32"/>
  <c r="Q28" i="17" s="1"/>
  <c r="E29" i="32"/>
  <c r="Q29" i="17" s="1"/>
  <c r="E30" i="32"/>
  <c r="Q30" i="17" s="1"/>
  <c r="E31" i="32"/>
  <c r="Q31" i="17" s="1"/>
  <c r="E32" i="32"/>
  <c r="Q32" i="17" s="1"/>
  <c r="E33" i="32"/>
  <c r="Q33" i="17" s="1"/>
  <c r="E34" i="32"/>
  <c r="Q34" i="17" s="1"/>
  <c r="E5" i="31"/>
  <c r="P5" i="17" s="1"/>
  <c r="E6" i="31"/>
  <c r="P6" i="17" s="1"/>
  <c r="E7" i="31"/>
  <c r="P7" i="17" s="1"/>
  <c r="E8" i="31"/>
  <c r="P8" i="17" s="1"/>
  <c r="E9" i="31"/>
  <c r="P9" i="17" s="1"/>
  <c r="E10" i="31"/>
  <c r="P10" i="17" s="1"/>
  <c r="E11" i="31"/>
  <c r="P11" i="17" s="1"/>
  <c r="E12" i="31"/>
  <c r="P12" i="17" s="1"/>
  <c r="E13" i="31"/>
  <c r="P13" i="17" s="1"/>
  <c r="E14" i="31"/>
  <c r="P14" i="17" s="1"/>
  <c r="E15" i="31"/>
  <c r="P15" i="17" s="1"/>
  <c r="E16" i="31"/>
  <c r="P16" i="17" s="1"/>
  <c r="E17" i="31"/>
  <c r="P17" i="17" s="1"/>
  <c r="E18" i="31"/>
  <c r="P18" i="17" s="1"/>
  <c r="E19" i="31"/>
  <c r="P19" i="17" s="1"/>
  <c r="E20" i="31"/>
  <c r="P20" i="17" s="1"/>
  <c r="E21" i="31"/>
  <c r="P21" i="17" s="1"/>
  <c r="E22" i="31"/>
  <c r="P22" i="17" s="1"/>
  <c r="E23" i="31"/>
  <c r="P23" i="17" s="1"/>
  <c r="E24" i="31"/>
  <c r="P24" i="17" s="1"/>
  <c r="E25" i="31"/>
  <c r="P25" i="17" s="1"/>
  <c r="E26" i="31"/>
  <c r="P26" i="17" s="1"/>
  <c r="E27" i="31"/>
  <c r="P27" i="17" s="1"/>
  <c r="E28" i="31"/>
  <c r="P28" i="17" s="1"/>
  <c r="E29" i="31"/>
  <c r="P29" i="17" s="1"/>
  <c r="E30" i="31"/>
  <c r="P30" i="17" s="1"/>
  <c r="E31" i="31"/>
  <c r="P31" i="17" s="1"/>
  <c r="E32" i="31"/>
  <c r="P32" i="17" s="1"/>
  <c r="E33" i="31"/>
  <c r="P33" i="17" s="1"/>
  <c r="E34" i="31"/>
  <c r="P34" i="17" s="1"/>
  <c r="E5" i="27"/>
  <c r="O5" i="17" s="1"/>
  <c r="E6" i="27"/>
  <c r="E7" i="27"/>
  <c r="E8" i="27"/>
  <c r="E9" i="27"/>
  <c r="O9" i="17" s="1"/>
  <c r="E10" i="27"/>
  <c r="O10" i="17" s="1"/>
  <c r="E11" i="27"/>
  <c r="O11" i="17" s="1"/>
  <c r="E12" i="27"/>
  <c r="O12" i="17" s="1"/>
  <c r="E13" i="27"/>
  <c r="O13" i="17" s="1"/>
  <c r="E14" i="27"/>
  <c r="O14" i="17" s="1"/>
  <c r="E15" i="27"/>
  <c r="O15" i="17" s="1"/>
  <c r="E16" i="27"/>
  <c r="O16" i="17" s="1"/>
  <c r="E17" i="27"/>
  <c r="O17" i="17" s="1"/>
  <c r="E18" i="27"/>
  <c r="O18" i="17" s="1"/>
  <c r="E19" i="27"/>
  <c r="O19" i="17" s="1"/>
  <c r="E20" i="27"/>
  <c r="O20" i="17" s="1"/>
  <c r="E21" i="27"/>
  <c r="O21" i="17" s="1"/>
  <c r="E22" i="27"/>
  <c r="O22" i="17" s="1"/>
  <c r="E23" i="27"/>
  <c r="O23" i="17" s="1"/>
  <c r="E24" i="27"/>
  <c r="O24" i="17" s="1"/>
  <c r="E25" i="27"/>
  <c r="O25" i="17" s="1"/>
  <c r="E26" i="27"/>
  <c r="O26" i="17" s="1"/>
  <c r="E27" i="27"/>
  <c r="O27" i="17" s="1"/>
  <c r="E28" i="27"/>
  <c r="O28" i="17" s="1"/>
  <c r="E29" i="27"/>
  <c r="O29" i="17" s="1"/>
  <c r="E30" i="27"/>
  <c r="O30" i="17" s="1"/>
  <c r="E31" i="27"/>
  <c r="O31" i="17" s="1"/>
  <c r="E32" i="27"/>
  <c r="O32" i="17" s="1"/>
  <c r="E33" i="27"/>
  <c r="O33" i="17" s="1"/>
  <c r="E34" i="27"/>
  <c r="O34" i="17" s="1"/>
  <c r="CN34" i="17"/>
  <c r="CB34" i="17"/>
  <c r="CR34" i="44" s="1"/>
  <c r="CA34" i="17"/>
  <c r="CQ34" i="44" s="1"/>
  <c r="BZ34" i="17"/>
  <c r="CP34" i="44" s="1"/>
  <c r="BY34" i="17"/>
  <c r="CO34" i="44" s="1"/>
  <c r="BX34" i="17"/>
  <c r="CN34" i="44" s="1"/>
  <c r="BW34" i="17"/>
  <c r="CM34" i="44" s="1"/>
  <c r="BV34" i="17"/>
  <c r="CL34" i="44" s="1"/>
  <c r="BU34" i="17"/>
  <c r="BR34" i="17"/>
  <c r="AI34" i="17"/>
  <c r="AH34" i="17"/>
  <c r="AG34" i="17"/>
  <c r="AF34" i="17"/>
  <c r="AE34" i="17"/>
  <c r="AD34" i="17"/>
  <c r="CN33" i="17"/>
  <c r="CB33" i="17"/>
  <c r="CR33" i="44" s="1"/>
  <c r="CA33" i="17"/>
  <c r="CQ33" i="44" s="1"/>
  <c r="BZ33" i="17"/>
  <c r="CP33" i="44" s="1"/>
  <c r="BY33" i="17"/>
  <c r="CO33" i="44" s="1"/>
  <c r="BX33" i="17"/>
  <c r="CN33" i="44" s="1"/>
  <c r="BW33" i="17"/>
  <c r="CM33" i="44" s="1"/>
  <c r="BV33" i="17"/>
  <c r="CL33" i="44" s="1"/>
  <c r="BU33" i="17"/>
  <c r="BR33" i="17"/>
  <c r="AI33" i="17"/>
  <c r="AH33" i="17"/>
  <c r="AG33" i="17"/>
  <c r="AF33" i="17"/>
  <c r="AE33" i="17"/>
  <c r="AD33" i="17"/>
  <c r="I72" i="45"/>
  <c r="I73" i="45"/>
  <c r="H73" i="45"/>
  <c r="F72" i="45"/>
  <c r="F73" i="45"/>
  <c r="E72" i="45"/>
  <c r="E73" i="45"/>
  <c r="D72" i="45"/>
  <c r="D73" i="45"/>
  <c r="C72" i="45"/>
  <c r="O73" i="45"/>
  <c r="R33" i="44"/>
  <c r="R34" i="44"/>
  <c r="L312" i="15"/>
  <c r="H312" i="15"/>
  <c r="F34" i="38" l="1"/>
  <c r="N220" i="39"/>
  <c r="O8" i="17"/>
  <c r="O7" i="17"/>
  <c r="O6" i="17"/>
  <c r="CC33" i="17"/>
  <c r="CK33" i="44"/>
  <c r="CC34" i="17"/>
  <c r="CK34" i="44"/>
  <c r="CS34" i="44" s="1"/>
  <c r="C73" i="45"/>
  <c r="O72" i="45"/>
  <c r="Y72" i="45" s="1"/>
  <c r="Y73" i="45"/>
  <c r="R73" i="45"/>
  <c r="E34" i="38"/>
  <c r="N127" i="39"/>
  <c r="L220" i="39" l="1"/>
  <c r="F34" i="39"/>
  <c r="E34" i="39" s="1"/>
  <c r="R72" i="45"/>
  <c r="L296" i="15"/>
  <c r="H296" i="15"/>
  <c r="L278" i="15" l="1"/>
  <c r="H278" i="15"/>
  <c r="L277" i="15"/>
  <c r="H277" i="15"/>
  <c r="L237" i="15" l="1"/>
  <c r="L238" i="15"/>
  <c r="L239" i="15"/>
  <c r="L240" i="15"/>
  <c r="L241" i="15"/>
  <c r="H237" i="15"/>
  <c r="H238" i="15"/>
  <c r="H239" i="15"/>
  <c r="H240" i="15"/>
  <c r="H241" i="15"/>
  <c r="L185" i="15" l="1"/>
  <c r="H185" i="15"/>
  <c r="L184" i="15"/>
  <c r="H184" i="15"/>
  <c r="L183" i="15"/>
  <c r="H183" i="15"/>
  <c r="B12" i="21" l="1"/>
  <c r="C12" i="21"/>
  <c r="C5" i="21"/>
  <c r="B5" i="21"/>
  <c r="L166" i="15" l="1"/>
  <c r="H166" i="15"/>
  <c r="H157" i="15" l="1"/>
  <c r="L137" i="15" l="1"/>
  <c r="H137" i="15"/>
  <c r="BP36" i="17" l="1"/>
  <c r="L119" i="15" l="1"/>
  <c r="H119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N50" i="39"/>
  <c r="N51" i="39"/>
  <c r="N52" i="39"/>
  <c r="L95" i="15" l="1"/>
  <c r="H95" i="15"/>
  <c r="L77" i="15" l="1"/>
  <c r="H77" i="15"/>
  <c r="L65" i="15"/>
  <c r="L66" i="15"/>
  <c r="L67" i="15"/>
  <c r="L68" i="15"/>
  <c r="L69" i="15"/>
  <c r="L70" i="15"/>
  <c r="L71" i="15"/>
  <c r="L72" i="15"/>
  <c r="H65" i="15"/>
  <c r="H66" i="15"/>
  <c r="H67" i="15"/>
  <c r="H68" i="15"/>
  <c r="H69" i="15"/>
  <c r="H70" i="15"/>
  <c r="H71" i="15"/>
  <c r="H72" i="15"/>
  <c r="F81" i="15"/>
  <c r="N15" i="39" l="1"/>
  <c r="N16" i="39"/>
  <c r="N17" i="39"/>
  <c r="N18" i="39"/>
  <c r="N7" i="39" l="1"/>
  <c r="N8" i="39"/>
  <c r="M35" i="37" l="1"/>
  <c r="M34" i="22"/>
  <c r="T45" i="5"/>
  <c r="P44" i="45" l="1"/>
  <c r="Q44" i="45"/>
  <c r="P45" i="45"/>
  <c r="Q45" i="45"/>
  <c r="P46" i="45"/>
  <c r="Q46" i="45"/>
  <c r="P47" i="45"/>
  <c r="Q47" i="45"/>
  <c r="P48" i="45"/>
  <c r="Q48" i="45"/>
  <c r="P49" i="45"/>
  <c r="Q49" i="45"/>
  <c r="P50" i="45"/>
  <c r="Q50" i="45"/>
  <c r="P51" i="45"/>
  <c r="Q51" i="45"/>
  <c r="P52" i="45"/>
  <c r="Q52" i="45"/>
  <c r="P53" i="45"/>
  <c r="Q53" i="45"/>
  <c r="P54" i="45"/>
  <c r="Q54" i="45"/>
  <c r="P55" i="45"/>
  <c r="Q55" i="45"/>
  <c r="P56" i="45"/>
  <c r="Q56" i="45"/>
  <c r="P57" i="45"/>
  <c r="Q57" i="45"/>
  <c r="P58" i="45"/>
  <c r="Q58" i="45"/>
  <c r="P59" i="45"/>
  <c r="Q59" i="45"/>
  <c r="P60" i="45"/>
  <c r="Q60" i="45"/>
  <c r="P61" i="45"/>
  <c r="Q61" i="45"/>
  <c r="P62" i="45"/>
  <c r="Q62" i="45"/>
  <c r="P63" i="45"/>
  <c r="Q63" i="45"/>
  <c r="P64" i="45"/>
  <c r="Q64" i="45"/>
  <c r="P65" i="45"/>
  <c r="Q65" i="45"/>
  <c r="P66" i="45"/>
  <c r="Q66" i="45"/>
  <c r="P67" i="45"/>
  <c r="Q67" i="45"/>
  <c r="P68" i="45"/>
  <c r="Q68" i="45"/>
  <c r="P69" i="45"/>
  <c r="Q69" i="45"/>
  <c r="P70" i="45"/>
  <c r="Q70" i="45"/>
  <c r="Q43" i="45"/>
  <c r="P43" i="45"/>
  <c r="T5" i="44"/>
  <c r="T6" i="44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4" i="44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H20" i="17"/>
  <c r="AH21" i="17"/>
  <c r="AH22" i="17"/>
  <c r="AH23" i="17"/>
  <c r="AH24" i="17"/>
  <c r="AH25" i="17"/>
  <c r="AH26" i="17"/>
  <c r="AH27" i="17"/>
  <c r="AH28" i="17"/>
  <c r="AH29" i="17"/>
  <c r="AH30" i="17"/>
  <c r="AH31" i="17"/>
  <c r="AH32" i="17"/>
  <c r="AH4" i="17"/>
  <c r="AH3" i="17"/>
  <c r="D36" i="5"/>
  <c r="U10" i="44" s="1"/>
  <c r="U26" i="44" l="1"/>
  <c r="U8" i="44"/>
  <c r="U32" i="44"/>
  <c r="BD32" i="44" s="1"/>
  <c r="AR34" i="44"/>
  <c r="U34" i="44"/>
  <c r="U33" i="44"/>
  <c r="BD33" i="44" s="1"/>
  <c r="AR33" i="44"/>
  <c r="U4" i="44"/>
  <c r="U20" i="44"/>
  <c r="U28" i="44"/>
  <c r="BD28" i="44" s="1"/>
  <c r="U12" i="44"/>
  <c r="U18" i="44"/>
  <c r="U30" i="44"/>
  <c r="BD30" i="44" s="1"/>
  <c r="U22" i="44"/>
  <c r="U14" i="44"/>
  <c r="U6" i="44"/>
  <c r="U24" i="44"/>
  <c r="U16" i="44"/>
  <c r="AR31" i="44"/>
  <c r="AR27" i="44"/>
  <c r="AR23" i="44"/>
  <c r="AR19" i="44"/>
  <c r="AR15" i="44"/>
  <c r="AR11" i="44"/>
  <c r="AR7" i="44"/>
  <c r="AR30" i="44"/>
  <c r="AR26" i="44"/>
  <c r="AR22" i="44"/>
  <c r="AR18" i="44"/>
  <c r="AR14" i="44"/>
  <c r="AR10" i="44"/>
  <c r="AR6" i="44"/>
  <c r="AR29" i="44"/>
  <c r="AR25" i="44"/>
  <c r="AR21" i="44"/>
  <c r="AR17" i="44"/>
  <c r="AR13" i="44"/>
  <c r="AR9" i="44"/>
  <c r="AR5" i="44"/>
  <c r="AR32" i="44"/>
  <c r="AR28" i="44"/>
  <c r="AR24" i="44"/>
  <c r="AR20" i="44"/>
  <c r="AR16" i="44"/>
  <c r="AR12" i="44"/>
  <c r="AR8" i="44"/>
  <c r="AR4" i="44"/>
  <c r="U31" i="44"/>
  <c r="BD31" i="44" s="1"/>
  <c r="U29" i="44"/>
  <c r="BD29" i="44" s="1"/>
  <c r="U27" i="44"/>
  <c r="U25" i="44"/>
  <c r="U23" i="44"/>
  <c r="U21" i="44"/>
  <c r="U19" i="44"/>
  <c r="U17" i="44"/>
  <c r="U15" i="44"/>
  <c r="U13" i="44"/>
  <c r="U11" i="44"/>
  <c r="U9" i="44"/>
  <c r="U7" i="44"/>
  <c r="U5" i="44"/>
  <c r="K200" i="38"/>
  <c r="D33" i="38" s="1"/>
  <c r="U33" i="17" s="1"/>
  <c r="N199" i="38"/>
  <c r="N198" i="38"/>
  <c r="N197" i="38"/>
  <c r="N196" i="38"/>
  <c r="N195" i="38"/>
  <c r="K193" i="38"/>
  <c r="D32" i="38" s="1"/>
  <c r="U32" i="17" s="1"/>
  <c r="N192" i="38"/>
  <c r="N191" i="38"/>
  <c r="N190" i="38"/>
  <c r="N189" i="38"/>
  <c r="N188" i="38"/>
  <c r="N187" i="38"/>
  <c r="K185" i="38"/>
  <c r="D31" i="38" s="1"/>
  <c r="U31" i="17" s="1"/>
  <c r="N184" i="38"/>
  <c r="N183" i="38"/>
  <c r="N182" i="38"/>
  <c r="N181" i="38"/>
  <c r="N180" i="38"/>
  <c r="K178" i="38"/>
  <c r="D30" i="38" s="1"/>
  <c r="U30" i="17" s="1"/>
  <c r="N177" i="38"/>
  <c r="N176" i="38"/>
  <c r="N175" i="38"/>
  <c r="N174" i="38"/>
  <c r="N173" i="38"/>
  <c r="K171" i="38"/>
  <c r="D29" i="38" s="1"/>
  <c r="U29" i="17" s="1"/>
  <c r="N170" i="38"/>
  <c r="N169" i="38"/>
  <c r="N168" i="38"/>
  <c r="N167" i="38"/>
  <c r="N166" i="38"/>
  <c r="K164" i="38"/>
  <c r="D28" i="38" s="1"/>
  <c r="U28" i="17" s="1"/>
  <c r="N163" i="38"/>
  <c r="N162" i="38"/>
  <c r="N161" i="38"/>
  <c r="N160" i="38"/>
  <c r="N159" i="38"/>
  <c r="N158" i="38"/>
  <c r="K156" i="38"/>
  <c r="D27" i="38" s="1"/>
  <c r="U27" i="17" s="1"/>
  <c r="N155" i="38"/>
  <c r="N154" i="38"/>
  <c r="N153" i="38"/>
  <c r="N152" i="38"/>
  <c r="K150" i="38"/>
  <c r="D26" i="38" s="1"/>
  <c r="U26" i="17" s="1"/>
  <c r="N149" i="38"/>
  <c r="N148" i="38"/>
  <c r="N147" i="38"/>
  <c r="K145" i="38"/>
  <c r="D25" i="38" s="1"/>
  <c r="U25" i="17" s="1"/>
  <c r="N144" i="38"/>
  <c r="N143" i="38"/>
  <c r="N142" i="38"/>
  <c r="K140" i="38"/>
  <c r="D24" i="38" s="1"/>
  <c r="U24" i="17" s="1"/>
  <c r="N139" i="38"/>
  <c r="N138" i="38"/>
  <c r="N137" i="38"/>
  <c r="K135" i="38"/>
  <c r="D23" i="38" s="1"/>
  <c r="U23" i="17" s="1"/>
  <c r="N134" i="38"/>
  <c r="N133" i="38"/>
  <c r="N132" i="38"/>
  <c r="N131" i="38"/>
  <c r="N130" i="38"/>
  <c r="K128" i="38"/>
  <c r="D22" i="38" s="1"/>
  <c r="U22" i="17" s="1"/>
  <c r="N127" i="38"/>
  <c r="N126" i="38"/>
  <c r="N125" i="38"/>
  <c r="N124" i="38"/>
  <c r="N123" i="38"/>
  <c r="K121" i="38"/>
  <c r="D21" i="38" s="1"/>
  <c r="U21" i="17" s="1"/>
  <c r="N120" i="38"/>
  <c r="N119" i="38"/>
  <c r="N118" i="38"/>
  <c r="K116" i="38"/>
  <c r="D20" i="38" s="1"/>
  <c r="U20" i="17" s="1"/>
  <c r="N115" i="38"/>
  <c r="N114" i="38"/>
  <c r="N113" i="38"/>
  <c r="K111" i="38"/>
  <c r="D19" i="38" s="1"/>
  <c r="U19" i="17" s="1"/>
  <c r="N110" i="38"/>
  <c r="N109" i="38"/>
  <c r="N108" i="38"/>
  <c r="K106" i="38"/>
  <c r="D18" i="38" s="1"/>
  <c r="U18" i="17" s="1"/>
  <c r="N105" i="38"/>
  <c r="N104" i="38"/>
  <c r="N103" i="38"/>
  <c r="K101" i="38"/>
  <c r="D17" i="38" s="1"/>
  <c r="U17" i="17" s="1"/>
  <c r="N100" i="38"/>
  <c r="N99" i="38"/>
  <c r="N98" i="38"/>
  <c r="N97" i="38"/>
  <c r="N96" i="38"/>
  <c r="N95" i="38"/>
  <c r="K93" i="38"/>
  <c r="D16" i="38" s="1"/>
  <c r="U16" i="17" s="1"/>
  <c r="N92" i="38"/>
  <c r="N91" i="38"/>
  <c r="N90" i="38"/>
  <c r="N89" i="38"/>
  <c r="N88" i="38"/>
  <c r="N87" i="38"/>
  <c r="K85" i="38"/>
  <c r="D15" i="38" s="1"/>
  <c r="U15" i="17" s="1"/>
  <c r="N84" i="38"/>
  <c r="N83" i="38"/>
  <c r="N82" i="38"/>
  <c r="N81" i="38"/>
  <c r="K79" i="38"/>
  <c r="D14" i="38" s="1"/>
  <c r="U14" i="17" s="1"/>
  <c r="N78" i="38"/>
  <c r="N77" i="38"/>
  <c r="N76" i="38"/>
  <c r="N75" i="38"/>
  <c r="K73" i="38"/>
  <c r="D13" i="38" s="1"/>
  <c r="U13" i="17" s="1"/>
  <c r="N72" i="38"/>
  <c r="N71" i="38"/>
  <c r="N70" i="38"/>
  <c r="N69" i="38"/>
  <c r="N68" i="38"/>
  <c r="K66" i="38"/>
  <c r="D12" i="38" s="1"/>
  <c r="U12" i="17" s="1"/>
  <c r="N65" i="38"/>
  <c r="N64" i="38"/>
  <c r="N63" i="38"/>
  <c r="N62" i="38"/>
  <c r="N61" i="38"/>
  <c r="K59" i="38"/>
  <c r="D11" i="38" s="1"/>
  <c r="U11" i="17" s="1"/>
  <c r="N58" i="38"/>
  <c r="N57" i="38"/>
  <c r="N56" i="38"/>
  <c r="N55" i="38"/>
  <c r="N54" i="38"/>
  <c r="K52" i="38"/>
  <c r="D10" i="38" s="1"/>
  <c r="U10" i="17" s="1"/>
  <c r="N51" i="38"/>
  <c r="N50" i="38"/>
  <c r="N49" i="38"/>
  <c r="N48" i="38"/>
  <c r="K46" i="38"/>
  <c r="D9" i="38" s="1"/>
  <c r="U9" i="17" s="1"/>
  <c r="N45" i="38"/>
  <c r="N44" i="38"/>
  <c r="N43" i="38"/>
  <c r="N42" i="38"/>
  <c r="K40" i="38"/>
  <c r="D8" i="38" s="1"/>
  <c r="U8" i="17" s="1"/>
  <c r="N39" i="38"/>
  <c r="N38" i="38"/>
  <c r="N37" i="38"/>
  <c r="N36" i="38"/>
  <c r="N35" i="38"/>
  <c r="N34" i="38"/>
  <c r="K32" i="38"/>
  <c r="D7" i="38" s="1"/>
  <c r="U7" i="17" s="1"/>
  <c r="N31" i="38"/>
  <c r="N30" i="38"/>
  <c r="N29" i="38"/>
  <c r="N28" i="38"/>
  <c r="N27" i="38"/>
  <c r="N26" i="38"/>
  <c r="K24" i="38"/>
  <c r="D6" i="38" s="1"/>
  <c r="U6" i="17" s="1"/>
  <c r="N23" i="38"/>
  <c r="N22" i="38"/>
  <c r="N21" i="38"/>
  <c r="N20" i="38"/>
  <c r="N19" i="38"/>
  <c r="N18" i="38"/>
  <c r="N17" i="38"/>
  <c r="K15" i="38"/>
  <c r="D5" i="38" s="1"/>
  <c r="U5" i="17" s="1"/>
  <c r="N14" i="38"/>
  <c r="N13" i="38"/>
  <c r="N12" i="38"/>
  <c r="I12" i="38"/>
  <c r="I18" i="38" s="1"/>
  <c r="I27" i="38" s="1"/>
  <c r="I35" i="38" s="1"/>
  <c r="I43" i="38" s="1"/>
  <c r="I49" i="38" s="1"/>
  <c r="I55" i="38" s="1"/>
  <c r="I62" i="38" s="1"/>
  <c r="I69" i="38" s="1"/>
  <c r="I76" i="38" s="1"/>
  <c r="I82" i="38" s="1"/>
  <c r="I88" i="38" s="1"/>
  <c r="I96" i="38" s="1"/>
  <c r="I104" i="38" s="1"/>
  <c r="I109" i="38" s="1"/>
  <c r="I114" i="38" s="1"/>
  <c r="I119" i="38" s="1"/>
  <c r="I124" i="38" s="1"/>
  <c r="I131" i="38" s="1"/>
  <c r="I138" i="38" s="1"/>
  <c r="I143" i="38" s="1"/>
  <c r="I148" i="38" s="1"/>
  <c r="I153" i="38" s="1"/>
  <c r="I159" i="38" s="1"/>
  <c r="I167" i="38" s="1"/>
  <c r="I174" i="38" s="1"/>
  <c r="I181" i="38" s="1"/>
  <c r="I188" i="38" s="1"/>
  <c r="I196" i="38" s="1"/>
  <c r="I203" i="38" s="1"/>
  <c r="N11" i="38"/>
  <c r="K9" i="38"/>
  <c r="D4" i="38" s="1"/>
  <c r="N8" i="38"/>
  <c r="N7" i="38"/>
  <c r="N6" i="38"/>
  <c r="N5" i="38"/>
  <c r="C35" i="39"/>
  <c r="L513" i="15"/>
  <c r="L514" i="15"/>
  <c r="L515" i="15"/>
  <c r="L516" i="15"/>
  <c r="L517" i="15"/>
  <c r="L518" i="15"/>
  <c r="L519" i="15"/>
  <c r="H513" i="15"/>
  <c r="H514" i="15"/>
  <c r="H515" i="15"/>
  <c r="H516" i="15"/>
  <c r="H517" i="15"/>
  <c r="H518" i="15"/>
  <c r="H519" i="15"/>
  <c r="N211" i="39"/>
  <c r="N212" i="39"/>
  <c r="H472" i="15"/>
  <c r="H473" i="15"/>
  <c r="H474" i="15"/>
  <c r="H475" i="15"/>
  <c r="H476" i="15"/>
  <c r="H477" i="15"/>
  <c r="H478" i="15"/>
  <c r="H479" i="15"/>
  <c r="H480" i="15"/>
  <c r="H481" i="15"/>
  <c r="H482" i="15"/>
  <c r="L472" i="15"/>
  <c r="L473" i="15"/>
  <c r="L474" i="15"/>
  <c r="L475" i="15"/>
  <c r="L476" i="15"/>
  <c r="L477" i="15"/>
  <c r="L478" i="15"/>
  <c r="L479" i="15"/>
  <c r="L480" i="15"/>
  <c r="L481" i="15"/>
  <c r="L482" i="15"/>
  <c r="L483" i="15"/>
  <c r="BD34" i="44" l="1"/>
  <c r="N111" i="38"/>
  <c r="L111" i="38" s="1"/>
  <c r="N116" i="38"/>
  <c r="L116" i="38" s="1"/>
  <c r="N140" i="38"/>
  <c r="L140" i="38" s="1"/>
  <c r="N200" i="38"/>
  <c r="N101" i="38"/>
  <c r="L101" i="38" s="1"/>
  <c r="N85" i="38"/>
  <c r="L85" i="38" s="1"/>
  <c r="N46" i="38"/>
  <c r="F9" i="38" s="1"/>
  <c r="E9" i="38" s="1"/>
  <c r="N59" i="38"/>
  <c r="N73" i="38"/>
  <c r="N135" i="38"/>
  <c r="N193" i="38"/>
  <c r="N40" i="38"/>
  <c r="L40" i="38" s="1"/>
  <c r="N66" i="38"/>
  <c r="N79" i="38"/>
  <c r="N106" i="38"/>
  <c r="N121" i="38"/>
  <c r="N128" i="38"/>
  <c r="N145" i="38"/>
  <c r="N150" i="38"/>
  <c r="N156" i="38"/>
  <c r="N171" i="38"/>
  <c r="N185" i="38"/>
  <c r="N164" i="38"/>
  <c r="N24" i="38"/>
  <c r="L24" i="38" s="1"/>
  <c r="N93" i="38"/>
  <c r="N178" i="38"/>
  <c r="F19" i="38"/>
  <c r="E19" i="38" s="1"/>
  <c r="N52" i="38"/>
  <c r="N32" i="38"/>
  <c r="N15" i="38"/>
  <c r="N9" i="38"/>
  <c r="L435" i="15"/>
  <c r="L436" i="15"/>
  <c r="L437" i="15"/>
  <c r="L438" i="15"/>
  <c r="L439" i="15"/>
  <c r="L440" i="15"/>
  <c r="H435" i="15"/>
  <c r="H436" i="15"/>
  <c r="H437" i="15"/>
  <c r="H438" i="15"/>
  <c r="H439" i="15"/>
  <c r="H440" i="15"/>
  <c r="L200" i="38" l="1"/>
  <c r="F33" i="38"/>
  <c r="E33" i="38" s="1"/>
  <c r="F6" i="38"/>
  <c r="E6" i="38" s="1"/>
  <c r="F24" i="38"/>
  <c r="E24" i="38" s="1"/>
  <c r="F20" i="38"/>
  <c r="E20" i="38" s="1"/>
  <c r="F15" i="38"/>
  <c r="E15" i="38" s="1"/>
  <c r="L46" i="38"/>
  <c r="F17" i="38"/>
  <c r="E17" i="38" s="1"/>
  <c r="L93" i="38"/>
  <c r="F16" i="38"/>
  <c r="E16" i="38" s="1"/>
  <c r="L171" i="38"/>
  <c r="F29" i="38"/>
  <c r="E29" i="38" s="1"/>
  <c r="L66" i="38"/>
  <c r="F12" i="38"/>
  <c r="E12" i="38" s="1"/>
  <c r="L156" i="38"/>
  <c r="F27" i="38"/>
  <c r="E27" i="38" s="1"/>
  <c r="L121" i="38"/>
  <c r="F21" i="38"/>
  <c r="E21" i="38" s="1"/>
  <c r="L59" i="38"/>
  <c r="F11" i="38"/>
  <c r="E11" i="38" s="1"/>
  <c r="F8" i="38"/>
  <c r="E8" i="38" s="1"/>
  <c r="L52" i="38"/>
  <c r="F10" i="38"/>
  <c r="E10" i="38" s="1"/>
  <c r="L150" i="38"/>
  <c r="F26" i="38"/>
  <c r="E26" i="38" s="1"/>
  <c r="L106" i="38"/>
  <c r="F18" i="38"/>
  <c r="E18" i="38" s="1"/>
  <c r="L193" i="38"/>
  <c r="F32" i="38"/>
  <c r="E32" i="38" s="1"/>
  <c r="L164" i="38"/>
  <c r="F28" i="38"/>
  <c r="E28" i="38" s="1"/>
  <c r="L128" i="38"/>
  <c r="F22" i="38"/>
  <c r="E22" i="38" s="1"/>
  <c r="L73" i="38"/>
  <c r="F13" i="38"/>
  <c r="E13" i="38" s="1"/>
  <c r="L178" i="38"/>
  <c r="F30" i="38"/>
  <c r="E30" i="38" s="1"/>
  <c r="L185" i="38"/>
  <c r="F31" i="38"/>
  <c r="E31" i="38" s="1"/>
  <c r="L145" i="38"/>
  <c r="F25" i="38"/>
  <c r="E25" i="38" s="1"/>
  <c r="L79" i="38"/>
  <c r="F14" i="38"/>
  <c r="E14" i="38" s="1"/>
  <c r="L135" i="38"/>
  <c r="F23" i="38"/>
  <c r="E23" i="38" s="1"/>
  <c r="L32" i="38"/>
  <c r="F7" i="38"/>
  <c r="E7" i="38" s="1"/>
  <c r="L15" i="38"/>
  <c r="F5" i="38"/>
  <c r="E5" i="38" s="1"/>
  <c r="L9" i="38"/>
  <c r="F4" i="38"/>
  <c r="E4" i="38" s="1"/>
  <c r="F35" i="38" l="1"/>
  <c r="D36" i="39"/>
  <c r="BV12" i="17" l="1"/>
  <c r="BV13" i="17"/>
  <c r="BV14" i="17"/>
  <c r="BV15" i="17"/>
  <c r="BV16" i="17"/>
  <c r="BV17" i="17"/>
  <c r="BV18" i="17"/>
  <c r="BV19" i="17"/>
  <c r="BV20" i="17"/>
  <c r="BV4" i="17"/>
  <c r="BV5" i="17"/>
  <c r="BV6" i="17"/>
  <c r="BV7" i="17"/>
  <c r="BV8" i="17"/>
  <c r="BV9" i="17"/>
  <c r="BV10" i="17"/>
  <c r="L149" i="15" l="1"/>
  <c r="L150" i="15"/>
  <c r="L151" i="15"/>
  <c r="L152" i="15"/>
  <c r="L153" i="15"/>
  <c r="L154" i="15"/>
  <c r="L155" i="15"/>
  <c r="H149" i="15"/>
  <c r="H150" i="15"/>
  <c r="H151" i="15"/>
  <c r="H152" i="15"/>
  <c r="H153" i="15"/>
  <c r="H154" i="15"/>
  <c r="H155" i="15"/>
  <c r="L132" i="15" l="1"/>
  <c r="L133" i="15"/>
  <c r="L134" i="15"/>
  <c r="L135" i="15"/>
  <c r="L136" i="15"/>
  <c r="H132" i="15"/>
  <c r="H133" i="15"/>
  <c r="H134" i="15"/>
  <c r="H135" i="15"/>
  <c r="H136" i="15"/>
  <c r="BY6" i="17" l="1"/>
  <c r="BY7" i="17"/>
  <c r="T44" i="5" l="1"/>
  <c r="N210" i="39" l="1"/>
  <c r="N209" i="39"/>
  <c r="N208" i="39"/>
  <c r="N205" i="39"/>
  <c r="N204" i="39"/>
  <c r="N203" i="39"/>
  <c r="N202" i="39"/>
  <c r="N201" i="39"/>
  <c r="N200" i="39"/>
  <c r="N197" i="39"/>
  <c r="N196" i="39"/>
  <c r="N195" i="39"/>
  <c r="N194" i="39"/>
  <c r="N193" i="39"/>
  <c r="N190" i="39"/>
  <c r="N189" i="39"/>
  <c r="N188" i="39"/>
  <c r="N187" i="39"/>
  <c r="N186" i="39"/>
  <c r="N183" i="39"/>
  <c r="N182" i="39"/>
  <c r="N181" i="39"/>
  <c r="N180" i="39"/>
  <c r="N179" i="39"/>
  <c r="N176" i="39"/>
  <c r="N175" i="39"/>
  <c r="N174" i="39"/>
  <c r="N173" i="39"/>
  <c r="N172" i="39"/>
  <c r="N171" i="39"/>
  <c r="N168" i="39"/>
  <c r="N167" i="39"/>
  <c r="N166" i="39"/>
  <c r="N165" i="39"/>
  <c r="N162" i="39"/>
  <c r="N161" i="39"/>
  <c r="N160" i="39"/>
  <c r="N157" i="39"/>
  <c r="N156" i="39"/>
  <c r="N155" i="39"/>
  <c r="N152" i="39"/>
  <c r="N151" i="39"/>
  <c r="N150" i="39"/>
  <c r="N147" i="39"/>
  <c r="N146" i="39"/>
  <c r="N145" i="39"/>
  <c r="N144" i="39"/>
  <c r="N143" i="39"/>
  <c r="N140" i="39"/>
  <c r="N139" i="39"/>
  <c r="N138" i="39"/>
  <c r="N137" i="39"/>
  <c r="N136" i="39"/>
  <c r="N133" i="39"/>
  <c r="N132" i="39"/>
  <c r="N131" i="39"/>
  <c r="N128" i="39"/>
  <c r="N126" i="39"/>
  <c r="N125" i="39"/>
  <c r="N122" i="39"/>
  <c r="N121" i="39"/>
  <c r="N120" i="39"/>
  <c r="N117" i="39"/>
  <c r="N112" i="39"/>
  <c r="N111" i="39"/>
  <c r="N108" i="39"/>
  <c r="N107" i="39"/>
  <c r="N106" i="39"/>
  <c r="N105" i="39"/>
  <c r="N104" i="39"/>
  <c r="N103" i="39"/>
  <c r="N100" i="39"/>
  <c r="N99" i="39"/>
  <c r="N98" i="39"/>
  <c r="N97" i="39"/>
  <c r="N96" i="39"/>
  <c r="N95" i="39"/>
  <c r="N92" i="39"/>
  <c r="N91" i="39"/>
  <c r="N90" i="39"/>
  <c r="N89" i="39"/>
  <c r="N86" i="39"/>
  <c r="N85" i="39"/>
  <c r="N84" i="39"/>
  <c r="N83" i="39"/>
  <c r="N80" i="39"/>
  <c r="N79" i="39"/>
  <c r="N78" i="39"/>
  <c r="N77" i="39"/>
  <c r="N76" i="39"/>
  <c r="N73" i="39"/>
  <c r="N72" i="39"/>
  <c r="N71" i="39"/>
  <c r="N70" i="39"/>
  <c r="N69" i="39"/>
  <c r="N66" i="39"/>
  <c r="N65" i="39"/>
  <c r="N64" i="39"/>
  <c r="N63" i="39"/>
  <c r="N62" i="39"/>
  <c r="N59" i="39"/>
  <c r="N58" i="39"/>
  <c r="N57" i="39"/>
  <c r="N56" i="39"/>
  <c r="N53" i="39"/>
  <c r="N49" i="39"/>
  <c r="N48" i="39"/>
  <c r="N45" i="39"/>
  <c r="N44" i="39"/>
  <c r="N43" i="39"/>
  <c r="N42" i="39"/>
  <c r="N41" i="39"/>
  <c r="N40" i="39"/>
  <c r="N37" i="39"/>
  <c r="N36" i="39"/>
  <c r="N35" i="39"/>
  <c r="N34" i="39"/>
  <c r="N33" i="39"/>
  <c r="N32" i="39"/>
  <c r="N29" i="39"/>
  <c r="N28" i="39"/>
  <c r="N27" i="39"/>
  <c r="N26" i="39"/>
  <c r="N25" i="39"/>
  <c r="N24" i="39"/>
  <c r="N23" i="39"/>
  <c r="N20" i="39"/>
  <c r="N19" i="39"/>
  <c r="N14" i="39"/>
  <c r="N13" i="39"/>
  <c r="N6" i="39"/>
  <c r="N9" i="39"/>
  <c r="N10" i="39"/>
  <c r="N5" i="39"/>
  <c r="K213" i="39" l="1"/>
  <c r="D33" i="39" s="1"/>
  <c r="K206" i="39"/>
  <c r="D32" i="39" s="1"/>
  <c r="K198" i="39"/>
  <c r="D31" i="39" s="1"/>
  <c r="K191" i="39"/>
  <c r="D30" i="39" s="1"/>
  <c r="K184" i="39"/>
  <c r="D29" i="39" s="1"/>
  <c r="K177" i="39"/>
  <c r="D28" i="39" s="1"/>
  <c r="K169" i="39"/>
  <c r="D27" i="39" s="1"/>
  <c r="K163" i="39"/>
  <c r="D26" i="39" s="1"/>
  <c r="K158" i="39"/>
  <c r="D25" i="39" s="1"/>
  <c r="K153" i="39"/>
  <c r="D24" i="39" s="1"/>
  <c r="K148" i="39"/>
  <c r="D23" i="39" s="1"/>
  <c r="K141" i="39"/>
  <c r="D22" i="39" s="1"/>
  <c r="K134" i="39"/>
  <c r="D21" i="39" s="1"/>
  <c r="K129" i="39"/>
  <c r="D20" i="39" s="1"/>
  <c r="K123" i="39"/>
  <c r="D19" i="39" s="1"/>
  <c r="K118" i="39"/>
  <c r="D18" i="39" s="1"/>
  <c r="K109" i="39"/>
  <c r="D17" i="39" s="1"/>
  <c r="K101" i="39"/>
  <c r="D16" i="39" s="1"/>
  <c r="K93" i="39"/>
  <c r="D15" i="39" s="1"/>
  <c r="K87" i="39"/>
  <c r="D14" i="39" s="1"/>
  <c r="K81" i="39"/>
  <c r="D13" i="39" s="1"/>
  <c r="K74" i="39"/>
  <c r="D12" i="39" s="1"/>
  <c r="K67" i="39"/>
  <c r="D11" i="39" s="1"/>
  <c r="K60" i="39"/>
  <c r="D10" i="39" s="1"/>
  <c r="K54" i="39"/>
  <c r="D9" i="39" s="1"/>
  <c r="K46" i="39"/>
  <c r="D8" i="39" s="1"/>
  <c r="K38" i="39"/>
  <c r="D7" i="39" s="1"/>
  <c r="K30" i="39"/>
  <c r="D6" i="39" s="1"/>
  <c r="K21" i="39"/>
  <c r="D5" i="39" s="1"/>
  <c r="V5" i="17" s="1"/>
  <c r="F5" i="44" s="1"/>
  <c r="I14" i="39"/>
  <c r="I24" i="39" s="1"/>
  <c r="I33" i="39" s="1"/>
  <c r="I41" i="39" s="1"/>
  <c r="I49" i="39" s="1"/>
  <c r="I57" i="39" s="1"/>
  <c r="I63" i="39" s="1"/>
  <c r="I70" i="39" s="1"/>
  <c r="I77" i="39" s="1"/>
  <c r="I84" i="39" s="1"/>
  <c r="I90" i="39" s="1"/>
  <c r="I96" i="39" s="1"/>
  <c r="I104" i="39" s="1"/>
  <c r="I112" i="39" s="1"/>
  <c r="I121" i="39" s="1"/>
  <c r="I126" i="39" s="1"/>
  <c r="I132" i="39" s="1"/>
  <c r="I137" i="39" s="1"/>
  <c r="I144" i="39" s="1"/>
  <c r="I151" i="39" s="1"/>
  <c r="I156" i="39" s="1"/>
  <c r="I161" i="39" s="1"/>
  <c r="I166" i="39" s="1"/>
  <c r="I172" i="39" s="1"/>
  <c r="I180" i="39" s="1"/>
  <c r="I187" i="39" s="1"/>
  <c r="I194" i="39" s="1"/>
  <c r="I201" i="39" s="1"/>
  <c r="I209" i="39" s="1"/>
  <c r="I216" i="39" s="1"/>
  <c r="K11" i="39"/>
  <c r="D4" i="39" s="1"/>
  <c r="V14" i="17" l="1"/>
  <c r="F14" i="44" s="1"/>
  <c r="K53" i="45"/>
  <c r="V18" i="17"/>
  <c r="F18" i="44" s="1"/>
  <c r="K57" i="45"/>
  <c r="V22" i="17"/>
  <c r="F22" i="44" s="1"/>
  <c r="K61" i="45"/>
  <c r="M61" i="45" s="1"/>
  <c r="V26" i="17"/>
  <c r="F26" i="44" s="1"/>
  <c r="K65" i="45"/>
  <c r="M65" i="45" s="1"/>
  <c r="V30" i="17"/>
  <c r="F30" i="44" s="1"/>
  <c r="K69" i="45"/>
  <c r="M69" i="45" s="1"/>
  <c r="V11" i="17"/>
  <c r="F11" i="44" s="1"/>
  <c r="K50" i="45"/>
  <c r="V15" i="17"/>
  <c r="F15" i="44" s="1"/>
  <c r="K54" i="45"/>
  <c r="V19" i="17"/>
  <c r="F19" i="44" s="1"/>
  <c r="K58" i="45"/>
  <c r="V23" i="17"/>
  <c r="F23" i="44" s="1"/>
  <c r="K62" i="45"/>
  <c r="M62" i="45" s="1"/>
  <c r="V27" i="17"/>
  <c r="F27" i="44" s="1"/>
  <c r="K66" i="45"/>
  <c r="M66" i="45" s="1"/>
  <c r="V31" i="17"/>
  <c r="F31" i="44" s="1"/>
  <c r="K70" i="45"/>
  <c r="M70" i="45" s="1"/>
  <c r="V12" i="17"/>
  <c r="F12" i="44" s="1"/>
  <c r="K51" i="45"/>
  <c r="V16" i="17"/>
  <c r="F16" i="44" s="1"/>
  <c r="K55" i="45"/>
  <c r="V20" i="17"/>
  <c r="F20" i="44" s="1"/>
  <c r="K59" i="45"/>
  <c r="V24" i="17"/>
  <c r="F24" i="44" s="1"/>
  <c r="K63" i="45"/>
  <c r="M63" i="45" s="1"/>
  <c r="V28" i="17"/>
  <c r="F28" i="44" s="1"/>
  <c r="K67" i="45"/>
  <c r="M67" i="45" s="1"/>
  <c r="V32" i="17"/>
  <c r="F32" i="44" s="1"/>
  <c r="K71" i="45"/>
  <c r="M71" i="45" s="1"/>
  <c r="V13" i="17"/>
  <c r="F13" i="44" s="1"/>
  <c r="K52" i="45"/>
  <c r="V17" i="17"/>
  <c r="F17" i="44" s="1"/>
  <c r="K56" i="45"/>
  <c r="V21" i="17"/>
  <c r="F21" i="44" s="1"/>
  <c r="K60" i="45"/>
  <c r="V25" i="17"/>
  <c r="F25" i="44" s="1"/>
  <c r="K64" i="45"/>
  <c r="M64" i="45" s="1"/>
  <c r="V29" i="17"/>
  <c r="F29" i="44" s="1"/>
  <c r="K68" i="45"/>
  <c r="M68" i="45" s="1"/>
  <c r="V33" i="17"/>
  <c r="F33" i="44" s="1"/>
  <c r="K72" i="45"/>
  <c r="V10" i="17"/>
  <c r="K49" i="45"/>
  <c r="V9" i="17"/>
  <c r="K48" i="45"/>
  <c r="V8" i="17"/>
  <c r="K47" i="45"/>
  <c r="V7" i="17"/>
  <c r="K46" i="45"/>
  <c r="V6" i="17"/>
  <c r="K45" i="45"/>
  <c r="K44" i="45"/>
  <c r="N54" i="39"/>
  <c r="N74" i="39"/>
  <c r="N81" i="39"/>
  <c r="N123" i="39"/>
  <c r="N148" i="39"/>
  <c r="N153" i="39"/>
  <c r="N177" i="39"/>
  <c r="N191" i="39"/>
  <c r="N213" i="39"/>
  <c r="F33" i="39" s="1"/>
  <c r="E33" i="39" s="1"/>
  <c r="N11" i="39"/>
  <c r="N21" i="39"/>
  <c r="N38" i="39"/>
  <c r="N46" i="39"/>
  <c r="N67" i="39"/>
  <c r="N93" i="39"/>
  <c r="N118" i="39"/>
  <c r="N129" i="39"/>
  <c r="N163" i="39"/>
  <c r="N184" i="39"/>
  <c r="N101" i="39"/>
  <c r="N109" i="39"/>
  <c r="N134" i="39"/>
  <c r="N158" i="39"/>
  <c r="N169" i="39"/>
  <c r="N30" i="39"/>
  <c r="N60" i="39"/>
  <c r="N87" i="39"/>
  <c r="N141" i="39"/>
  <c r="N198" i="39"/>
  <c r="N206" i="39"/>
  <c r="L72" i="45" l="1"/>
  <c r="M72" i="45"/>
  <c r="F10" i="44"/>
  <c r="F9" i="44"/>
  <c r="F8" i="44"/>
  <c r="F7" i="44"/>
  <c r="F6" i="44"/>
  <c r="L46" i="39"/>
  <c r="F8" i="39"/>
  <c r="E8" i="39" s="1"/>
  <c r="L87" i="39"/>
  <c r="F14" i="39"/>
  <c r="E14" i="39" s="1"/>
  <c r="L38" i="39"/>
  <c r="F7" i="39"/>
  <c r="E7" i="39" s="1"/>
  <c r="L191" i="39"/>
  <c r="F30" i="39"/>
  <c r="E30" i="39" s="1"/>
  <c r="L123" i="39"/>
  <c r="F19" i="39"/>
  <c r="E19" i="39" s="1"/>
  <c r="L206" i="39"/>
  <c r="F32" i="39"/>
  <c r="E32" i="39" s="1"/>
  <c r="L60" i="39"/>
  <c r="F10" i="39"/>
  <c r="E10" i="39" s="1"/>
  <c r="L158" i="39"/>
  <c r="F25" i="39"/>
  <c r="E25" i="39" s="1"/>
  <c r="L184" i="39"/>
  <c r="F29" i="39"/>
  <c r="E29" i="39" s="1"/>
  <c r="L93" i="39"/>
  <c r="F15" i="39"/>
  <c r="E15" i="39" s="1"/>
  <c r="L177" i="39"/>
  <c r="F28" i="39"/>
  <c r="E28" i="39" s="1"/>
  <c r="L81" i="39"/>
  <c r="F13" i="39"/>
  <c r="E13" i="39" s="1"/>
  <c r="L118" i="39"/>
  <c r="F18" i="39"/>
  <c r="E18" i="39" s="1"/>
  <c r="L198" i="39"/>
  <c r="F31" i="39"/>
  <c r="E31" i="39" s="1"/>
  <c r="L134" i="39"/>
  <c r="F21" i="39"/>
  <c r="E21" i="39" s="1"/>
  <c r="L163" i="39"/>
  <c r="F26" i="39"/>
  <c r="E26" i="39" s="1"/>
  <c r="L67" i="39"/>
  <c r="F11" i="39"/>
  <c r="E11" i="39" s="1"/>
  <c r="L153" i="39"/>
  <c r="F24" i="39"/>
  <c r="E24" i="39" s="1"/>
  <c r="L74" i="39"/>
  <c r="F12" i="39"/>
  <c r="E12" i="39" s="1"/>
  <c r="L169" i="39"/>
  <c r="F27" i="39"/>
  <c r="E27" i="39" s="1"/>
  <c r="L101" i="39"/>
  <c r="F16" i="39"/>
  <c r="E16" i="39" s="1"/>
  <c r="L141" i="39"/>
  <c r="F22" i="39"/>
  <c r="L109" i="39"/>
  <c r="F17" i="39"/>
  <c r="E17" i="39" s="1"/>
  <c r="L129" i="39"/>
  <c r="F20" i="39"/>
  <c r="E20" i="39" s="1"/>
  <c r="L213" i="39"/>
  <c r="L148" i="39"/>
  <c r="F23" i="39"/>
  <c r="E23" i="39" s="1"/>
  <c r="L54" i="39"/>
  <c r="F9" i="39"/>
  <c r="E9" i="39" s="1"/>
  <c r="L30" i="39"/>
  <c r="F6" i="39"/>
  <c r="E6" i="39" s="1"/>
  <c r="L11" i="39"/>
  <c r="F4" i="39"/>
  <c r="E4" i="39" s="1"/>
  <c r="L21" i="39"/>
  <c r="F5" i="39"/>
  <c r="E5" i="39" s="1"/>
  <c r="E22" i="39" l="1"/>
  <c r="F35" i="39"/>
  <c r="P43" i="17" s="1"/>
  <c r="D35" i="5"/>
  <c r="F68" i="21"/>
  <c r="E68" i="21"/>
  <c r="F67" i="21"/>
  <c r="E67" i="21"/>
  <c r="F66" i="21"/>
  <c r="E66" i="21"/>
  <c r="F65" i="21"/>
  <c r="E65" i="21"/>
  <c r="F64" i="21"/>
  <c r="E64" i="21"/>
  <c r="F63" i="21"/>
  <c r="E63" i="21"/>
  <c r="G63" i="21" s="1"/>
  <c r="F62" i="21"/>
  <c r="E62" i="21"/>
  <c r="F61" i="21"/>
  <c r="E61" i="21"/>
  <c r="G61" i="21" s="1"/>
  <c r="F60" i="21"/>
  <c r="E60" i="21"/>
  <c r="F59" i="21"/>
  <c r="E59" i="21"/>
  <c r="G59" i="21" s="1"/>
  <c r="F58" i="21"/>
  <c r="E58" i="21"/>
  <c r="F57" i="21"/>
  <c r="E57" i="21"/>
  <c r="G57" i="21" s="1"/>
  <c r="H56" i="21" s="1"/>
  <c r="F54" i="21"/>
  <c r="E54" i="21"/>
  <c r="F53" i="21"/>
  <c r="E53" i="21"/>
  <c r="G53" i="21" s="1"/>
  <c r="F52" i="21"/>
  <c r="E52" i="21"/>
  <c r="G52" i="21" s="1"/>
  <c r="F51" i="21"/>
  <c r="E51" i="21"/>
  <c r="F50" i="21"/>
  <c r="E50" i="21"/>
  <c r="G50" i="21" s="1"/>
  <c r="F49" i="21"/>
  <c r="E49" i="21"/>
  <c r="F48" i="21"/>
  <c r="E48" i="21"/>
  <c r="F47" i="21"/>
  <c r="E47" i="21"/>
  <c r="F46" i="21"/>
  <c r="E46" i="21"/>
  <c r="F45" i="21"/>
  <c r="E45" i="21"/>
  <c r="F44" i="21"/>
  <c r="E44" i="21"/>
  <c r="F43" i="21"/>
  <c r="E43" i="21"/>
  <c r="D40" i="21"/>
  <c r="H38" i="21"/>
  <c r="D36" i="21"/>
  <c r="D35" i="21"/>
  <c r="D34" i="21"/>
  <c r="F33" i="21"/>
  <c r="E33" i="21"/>
  <c r="G33" i="21" s="1"/>
  <c r="H32" i="21" s="1"/>
  <c r="F30" i="21"/>
  <c r="E30" i="21"/>
  <c r="F29" i="21"/>
  <c r="E29" i="21"/>
  <c r="F28" i="21"/>
  <c r="E28" i="21"/>
  <c r="F27" i="21"/>
  <c r="E27" i="21"/>
  <c r="F26" i="21"/>
  <c r="E26" i="21"/>
  <c r="F25" i="21"/>
  <c r="E25" i="21"/>
  <c r="F24" i="21"/>
  <c r="E24" i="21"/>
  <c r="F23" i="21"/>
  <c r="E23" i="21"/>
  <c r="G23" i="21" s="1"/>
  <c r="F22" i="21"/>
  <c r="E22" i="21"/>
  <c r="F21" i="21"/>
  <c r="E21" i="21"/>
  <c r="F20" i="21"/>
  <c r="E20" i="21"/>
  <c r="F19" i="21"/>
  <c r="E19" i="21"/>
  <c r="D11" i="21"/>
  <c r="F11" i="21" s="1"/>
  <c r="D10" i="21"/>
  <c r="F10" i="21" s="1"/>
  <c r="D9" i="21"/>
  <c r="F9" i="21" s="1"/>
  <c r="D8" i="21"/>
  <c r="F8" i="21" s="1"/>
  <c r="F4" i="21"/>
  <c r="J4" i="21" s="1"/>
  <c r="E4" i="21"/>
  <c r="L30" i="37" l="1"/>
  <c r="L4" i="22"/>
  <c r="J30" i="36"/>
  <c r="J12" i="36"/>
  <c r="J16" i="25"/>
  <c r="L6" i="22"/>
  <c r="J5" i="25"/>
  <c r="L28" i="22"/>
  <c r="J29" i="25"/>
  <c r="L6" i="37"/>
  <c r="L18" i="22"/>
  <c r="L26" i="37"/>
  <c r="P7" i="9"/>
  <c r="P10" i="9"/>
  <c r="P12" i="9"/>
  <c r="P19" i="9"/>
  <c r="P22" i="9"/>
  <c r="P25" i="9"/>
  <c r="P28" i="9"/>
  <c r="P6" i="9"/>
  <c r="P9" i="9"/>
  <c r="P15" i="9"/>
  <c r="P18" i="9"/>
  <c r="P21" i="9"/>
  <c r="P24" i="9"/>
  <c r="P31" i="9"/>
  <c r="P34" i="9"/>
  <c r="P5" i="9"/>
  <c r="P8" i="9"/>
  <c r="P11" i="9"/>
  <c r="P14" i="9"/>
  <c r="P17" i="9"/>
  <c r="P20" i="9"/>
  <c r="P27" i="9"/>
  <c r="P30" i="9"/>
  <c r="P33" i="9"/>
  <c r="P13" i="9"/>
  <c r="P16" i="9"/>
  <c r="P23" i="9"/>
  <c r="P26" i="9"/>
  <c r="P29" i="9"/>
  <c r="P32" i="9"/>
  <c r="H5" i="25"/>
  <c r="H8" i="25"/>
  <c r="H13" i="25"/>
  <c r="H21" i="25"/>
  <c r="H29" i="25"/>
  <c r="L7" i="19"/>
  <c r="L11" i="19"/>
  <c r="L15" i="19"/>
  <c r="L19" i="19"/>
  <c r="L23" i="19"/>
  <c r="L26" i="19"/>
  <c r="L29" i="19"/>
  <c r="L5" i="13"/>
  <c r="L13" i="13"/>
  <c r="L16" i="13"/>
  <c r="L23" i="13"/>
  <c r="L26" i="13"/>
  <c r="L29" i="13"/>
  <c r="L32" i="13"/>
  <c r="L9" i="12"/>
  <c r="L17" i="12"/>
  <c r="L25" i="12"/>
  <c r="L33" i="12"/>
  <c r="L5" i="11"/>
  <c r="L12" i="11"/>
  <c r="L15" i="11"/>
  <c r="L20" i="11"/>
  <c r="L23" i="11"/>
  <c r="L28" i="11"/>
  <c r="L31" i="11"/>
  <c r="L4" i="11"/>
  <c r="M6" i="10"/>
  <c r="M8" i="10"/>
  <c r="M10" i="10"/>
  <c r="M12" i="10"/>
  <c r="M14" i="10"/>
  <c r="M16" i="10"/>
  <c r="M18" i="10"/>
  <c r="M20" i="10"/>
  <c r="M22" i="10"/>
  <c r="M24" i="10"/>
  <c r="M26" i="10"/>
  <c r="M28" i="10"/>
  <c r="M30" i="10"/>
  <c r="M32" i="10"/>
  <c r="M34" i="10"/>
  <c r="H10" i="25"/>
  <c r="H12" i="25"/>
  <c r="H15" i="25"/>
  <c r="H18" i="25"/>
  <c r="H20" i="25"/>
  <c r="H23" i="25"/>
  <c r="H26" i="25"/>
  <c r="H28" i="25"/>
  <c r="H31" i="25"/>
  <c r="H34" i="25"/>
  <c r="H4" i="25"/>
  <c r="L8" i="19"/>
  <c r="L12" i="19"/>
  <c r="L16" i="19"/>
  <c r="L20" i="19"/>
  <c r="L24" i="19"/>
  <c r="L27" i="19"/>
  <c r="L30" i="19"/>
  <c r="L33" i="19"/>
  <c r="L7" i="13"/>
  <c r="L10" i="13"/>
  <c r="L12" i="13"/>
  <c r="L19" i="13"/>
  <c r="L22" i="13"/>
  <c r="L28" i="13"/>
  <c r="L6" i="12"/>
  <c r="L8" i="12"/>
  <c r="L11" i="12"/>
  <c r="L14" i="12"/>
  <c r="L16" i="12"/>
  <c r="L19" i="12"/>
  <c r="L22" i="12"/>
  <c r="L24" i="12"/>
  <c r="L27" i="12"/>
  <c r="L30" i="12"/>
  <c r="L7" i="11"/>
  <c r="L14" i="11"/>
  <c r="L17" i="11"/>
  <c r="L30" i="11"/>
  <c r="L33" i="11"/>
  <c r="H25" i="25"/>
  <c r="L9" i="19"/>
  <c r="L17" i="19"/>
  <c r="L31" i="19"/>
  <c r="L9" i="13"/>
  <c r="L15" i="13"/>
  <c r="L18" i="13"/>
  <c r="L21" i="13"/>
  <c r="L24" i="13"/>
  <c r="L31" i="13"/>
  <c r="L34" i="13"/>
  <c r="L29" i="12"/>
  <c r="L25" i="13"/>
  <c r="L32" i="12"/>
  <c r="L9" i="11"/>
  <c r="L22" i="11"/>
  <c r="L25" i="11"/>
  <c r="P4" i="9"/>
  <c r="H7" i="25"/>
  <c r="H17" i="25"/>
  <c r="H33" i="25"/>
  <c r="L5" i="19"/>
  <c r="L13" i="19"/>
  <c r="L21" i="19"/>
  <c r="L28" i="19"/>
  <c r="L34" i="19"/>
  <c r="L4" i="13"/>
  <c r="L13" i="12"/>
  <c r="L21" i="12"/>
  <c r="L6" i="11"/>
  <c r="H11" i="25"/>
  <c r="H24" i="25"/>
  <c r="H30" i="25"/>
  <c r="L6" i="19"/>
  <c r="L22" i="19"/>
  <c r="L4" i="19"/>
  <c r="L11" i="13"/>
  <c r="L17" i="13"/>
  <c r="L10" i="12"/>
  <c r="L23" i="12"/>
  <c r="L4" i="12"/>
  <c r="L16" i="11"/>
  <c r="L19" i="11"/>
  <c r="L32" i="11"/>
  <c r="M5" i="10"/>
  <c r="M9" i="10"/>
  <c r="M13" i="10"/>
  <c r="M17" i="10"/>
  <c r="M21" i="10"/>
  <c r="M25" i="10"/>
  <c r="M29" i="10"/>
  <c r="M33" i="10"/>
  <c r="L14" i="19"/>
  <c r="L8" i="13"/>
  <c r="L20" i="13"/>
  <c r="L26" i="12"/>
  <c r="L27" i="11"/>
  <c r="M11" i="10"/>
  <c r="M19" i="10"/>
  <c r="M27" i="10"/>
  <c r="H6" i="25"/>
  <c r="H19" i="25"/>
  <c r="H32" i="25"/>
  <c r="L10" i="19"/>
  <c r="L25" i="19"/>
  <c r="L6" i="13"/>
  <c r="L30" i="13"/>
  <c r="L5" i="12"/>
  <c r="L12" i="12"/>
  <c r="L18" i="12"/>
  <c r="L31" i="12"/>
  <c r="L10" i="11"/>
  <c r="L13" i="11"/>
  <c r="L26" i="11"/>
  <c r="L29" i="11"/>
  <c r="H14" i="25"/>
  <c r="H27" i="25"/>
  <c r="L14" i="13"/>
  <c r="L7" i="12"/>
  <c r="L20" i="12"/>
  <c r="L11" i="11"/>
  <c r="L24" i="11"/>
  <c r="M7" i="10"/>
  <c r="M15" i="10"/>
  <c r="M23" i="10"/>
  <c r="M31" i="10"/>
  <c r="L33" i="13"/>
  <c r="L28" i="12"/>
  <c r="H16" i="25"/>
  <c r="L8" i="11"/>
  <c r="L34" i="11"/>
  <c r="H22" i="25"/>
  <c r="L27" i="13"/>
  <c r="H9" i="25"/>
  <c r="L34" i="12"/>
  <c r="L18" i="11"/>
  <c r="L18" i="19"/>
  <c r="L15" i="12"/>
  <c r="L21" i="11"/>
  <c r="M4" i="10"/>
  <c r="L32" i="19"/>
  <c r="N28" i="12"/>
  <c r="O5" i="10"/>
  <c r="N9" i="12"/>
  <c r="O11" i="10"/>
  <c r="N28" i="11"/>
  <c r="O28" i="10"/>
  <c r="N24" i="12"/>
  <c r="O29" i="10"/>
  <c r="N14" i="11"/>
  <c r="N30" i="11"/>
  <c r="K33" i="37"/>
  <c r="K34" i="37"/>
  <c r="Q13" i="9"/>
  <c r="Q16" i="9"/>
  <c r="Q23" i="9"/>
  <c r="Q26" i="9"/>
  <c r="R26" i="9" s="1"/>
  <c r="Q29" i="9"/>
  <c r="Q32" i="9"/>
  <c r="Q7" i="9"/>
  <c r="Q10" i="9"/>
  <c r="R10" i="9" s="1"/>
  <c r="Q12" i="9"/>
  <c r="Q19" i="9"/>
  <c r="Q22" i="9"/>
  <c r="Q25" i="9"/>
  <c r="R25" i="9" s="1"/>
  <c r="Q28" i="9"/>
  <c r="Q6" i="9"/>
  <c r="Q9" i="9"/>
  <c r="Q15" i="9"/>
  <c r="R15" i="9" s="1"/>
  <c r="Q18" i="9"/>
  <c r="Q21" i="9"/>
  <c r="Q24" i="9"/>
  <c r="Q31" i="9"/>
  <c r="R31" i="9" s="1"/>
  <c r="Q34" i="9"/>
  <c r="Q5" i="9"/>
  <c r="Q8" i="9"/>
  <c r="Q11" i="9"/>
  <c r="R11" i="9" s="1"/>
  <c r="Q14" i="9"/>
  <c r="Q17" i="9"/>
  <c r="Q20" i="9"/>
  <c r="Q27" i="9"/>
  <c r="R27" i="9" s="1"/>
  <c r="Q30" i="9"/>
  <c r="Q33" i="9"/>
  <c r="M7" i="19"/>
  <c r="M11" i="19"/>
  <c r="M15" i="19"/>
  <c r="M19" i="19"/>
  <c r="M23" i="19"/>
  <c r="N23" i="19" s="1"/>
  <c r="M27" i="19"/>
  <c r="N27" i="19" s="1"/>
  <c r="M31" i="19"/>
  <c r="N31" i="19" s="1"/>
  <c r="M4" i="19"/>
  <c r="M8" i="19"/>
  <c r="M12" i="19"/>
  <c r="M16" i="19"/>
  <c r="M20" i="19"/>
  <c r="M24" i="19"/>
  <c r="N24" i="19" s="1"/>
  <c r="M28" i="19"/>
  <c r="N28" i="19" s="1"/>
  <c r="M32" i="19"/>
  <c r="N32" i="19" s="1"/>
  <c r="M5" i="19"/>
  <c r="M9" i="19"/>
  <c r="M13" i="19"/>
  <c r="M17" i="19"/>
  <c r="N17" i="19" s="1"/>
  <c r="M21" i="19"/>
  <c r="M25" i="19"/>
  <c r="N25" i="19" s="1"/>
  <c r="M29" i="19"/>
  <c r="N29" i="19" s="1"/>
  <c r="M33" i="19"/>
  <c r="N33" i="19" s="1"/>
  <c r="M6" i="19"/>
  <c r="M10" i="19"/>
  <c r="M14" i="19"/>
  <c r="N14" i="19" s="1"/>
  <c r="M18" i="19"/>
  <c r="M22" i="19"/>
  <c r="M26" i="19"/>
  <c r="N26" i="19" s="1"/>
  <c r="M30" i="19"/>
  <c r="N30" i="19" s="1"/>
  <c r="M34" i="19"/>
  <c r="K7" i="37"/>
  <c r="K11" i="37"/>
  <c r="K18" i="37"/>
  <c r="L18" i="37" s="1"/>
  <c r="K21" i="37"/>
  <c r="K24" i="37"/>
  <c r="K27" i="37"/>
  <c r="K5" i="22"/>
  <c r="L5" i="22" s="1"/>
  <c r="K8" i="22"/>
  <c r="K11" i="22"/>
  <c r="K14" i="22"/>
  <c r="K19" i="22"/>
  <c r="L19" i="22" s="1"/>
  <c r="K22" i="22"/>
  <c r="K27" i="22"/>
  <c r="K30" i="22"/>
  <c r="I9" i="36"/>
  <c r="J9" i="36" s="1"/>
  <c r="I12" i="36"/>
  <c r="I17" i="36"/>
  <c r="I20" i="36"/>
  <c r="I25" i="36"/>
  <c r="J25" i="36" s="1"/>
  <c r="I28" i="36"/>
  <c r="I33" i="36"/>
  <c r="I6" i="25"/>
  <c r="I9" i="25"/>
  <c r="J9" i="25" s="1"/>
  <c r="I11" i="25"/>
  <c r="I14" i="25"/>
  <c r="I16" i="25"/>
  <c r="I19" i="25"/>
  <c r="J19" i="25" s="1"/>
  <c r="I22" i="25"/>
  <c r="I24" i="25"/>
  <c r="I27" i="25"/>
  <c r="I30" i="25"/>
  <c r="J30" i="25" s="1"/>
  <c r="I32" i="25"/>
  <c r="I4" i="25"/>
  <c r="M6" i="13"/>
  <c r="M8" i="13"/>
  <c r="N8" i="13" s="1"/>
  <c r="M11" i="13"/>
  <c r="M14" i="13"/>
  <c r="M17" i="13"/>
  <c r="M20" i="13"/>
  <c r="N20" i="13" s="1"/>
  <c r="M27" i="13"/>
  <c r="M30" i="13"/>
  <c r="M33" i="13"/>
  <c r="M5" i="12"/>
  <c r="N5" i="12" s="1"/>
  <c r="M7" i="12"/>
  <c r="M10" i="12"/>
  <c r="M12" i="12"/>
  <c r="M15" i="12"/>
  <c r="N15" i="12" s="1"/>
  <c r="M18" i="12"/>
  <c r="M20" i="12"/>
  <c r="M23" i="12"/>
  <c r="M26" i="12"/>
  <c r="N26" i="12" s="1"/>
  <c r="M28" i="12"/>
  <c r="M31" i="12"/>
  <c r="M34" i="12"/>
  <c r="M8" i="11"/>
  <c r="N8" i="11" s="1"/>
  <c r="M10" i="11"/>
  <c r="M13" i="11"/>
  <c r="M18" i="11"/>
  <c r="M21" i="11"/>
  <c r="N21" i="11" s="1"/>
  <c r="M26" i="11"/>
  <c r="M29" i="11"/>
  <c r="M34" i="11"/>
  <c r="Q4" i="9"/>
  <c r="R4" i="9" s="1"/>
  <c r="K5" i="37"/>
  <c r="K8" i="37"/>
  <c r="K12" i="37"/>
  <c r="K15" i="37"/>
  <c r="L15" i="37" s="1"/>
  <c r="K22" i="37"/>
  <c r="K25" i="37"/>
  <c r="K28" i="37"/>
  <c r="K31" i="37"/>
  <c r="L31" i="37" s="1"/>
  <c r="K6" i="22"/>
  <c r="K9" i="22"/>
  <c r="K12" i="22"/>
  <c r="K17" i="22"/>
  <c r="L17" i="22" s="1"/>
  <c r="K20" i="22"/>
  <c r="K25" i="22"/>
  <c r="K28" i="22"/>
  <c r="K33" i="22"/>
  <c r="L33" i="22" s="1"/>
  <c r="K4" i="22"/>
  <c r="I7" i="36"/>
  <c r="I10" i="36"/>
  <c r="I15" i="36"/>
  <c r="J15" i="36" s="1"/>
  <c r="I18" i="36"/>
  <c r="I23" i="36"/>
  <c r="I26" i="36"/>
  <c r="I31" i="36"/>
  <c r="J31" i="36" s="1"/>
  <c r="I34" i="36"/>
  <c r="I5" i="25"/>
  <c r="I8" i="25"/>
  <c r="I13" i="25"/>
  <c r="I21" i="25"/>
  <c r="I29" i="25"/>
  <c r="M5" i="13"/>
  <c r="M13" i="13"/>
  <c r="N13" i="13" s="1"/>
  <c r="M16" i="13"/>
  <c r="M23" i="13"/>
  <c r="M26" i="13"/>
  <c r="M29" i="13"/>
  <c r="N29" i="13" s="1"/>
  <c r="M32" i="13"/>
  <c r="M4" i="13"/>
  <c r="M9" i="12"/>
  <c r="M17" i="12"/>
  <c r="N17" i="12" s="1"/>
  <c r="M25" i="12"/>
  <c r="M33" i="12"/>
  <c r="M20" i="11"/>
  <c r="M23" i="11"/>
  <c r="N23" i="11" s="1"/>
  <c r="N6" i="10"/>
  <c r="N10" i="10"/>
  <c r="N12" i="10"/>
  <c r="N16" i="10"/>
  <c r="N18" i="10"/>
  <c r="N22" i="10"/>
  <c r="N26" i="10"/>
  <c r="N30" i="10"/>
  <c r="O30" i="10" s="1"/>
  <c r="N34" i="10"/>
  <c r="K9" i="37"/>
  <c r="K16" i="37"/>
  <c r="K29" i="37"/>
  <c r="L29" i="37" s="1"/>
  <c r="K18" i="22"/>
  <c r="K23" i="22"/>
  <c r="K26" i="22"/>
  <c r="K31" i="22"/>
  <c r="L31" i="22" s="1"/>
  <c r="I5" i="36"/>
  <c r="I16" i="36"/>
  <c r="I21" i="36"/>
  <c r="I32" i="36"/>
  <c r="I12" i="25"/>
  <c r="I15" i="25"/>
  <c r="I18" i="25"/>
  <c r="I28" i="25"/>
  <c r="I31" i="25"/>
  <c r="I34" i="25"/>
  <c r="M12" i="13"/>
  <c r="M28" i="13"/>
  <c r="N28" i="13" s="1"/>
  <c r="M6" i="12"/>
  <c r="M14" i="12"/>
  <c r="M16" i="12"/>
  <c r="M19" i="12"/>
  <c r="N19" i="12" s="1"/>
  <c r="M22" i="12"/>
  <c r="M32" i="12"/>
  <c r="M4" i="12"/>
  <c r="M5" i="11"/>
  <c r="N5" i="11" s="1"/>
  <c r="M12" i="11"/>
  <c r="M15" i="11"/>
  <c r="M28" i="11"/>
  <c r="M31" i="11"/>
  <c r="N31" i="11" s="1"/>
  <c r="N8" i="10"/>
  <c r="N14" i="10"/>
  <c r="O14" i="10" s="1"/>
  <c r="N20" i="10"/>
  <c r="N24" i="10"/>
  <c r="N28" i="10"/>
  <c r="N32" i="10"/>
  <c r="K6" i="37"/>
  <c r="K13" i="37"/>
  <c r="L13" i="37" s="1"/>
  <c r="K19" i="37"/>
  <c r="K26" i="37"/>
  <c r="K32" i="37"/>
  <c r="K10" i="22"/>
  <c r="K15" i="22"/>
  <c r="K34" i="22"/>
  <c r="I8" i="36"/>
  <c r="I13" i="36"/>
  <c r="J13" i="36" s="1"/>
  <c r="I24" i="36"/>
  <c r="I29" i="36"/>
  <c r="I10" i="25"/>
  <c r="I20" i="25"/>
  <c r="I23" i="25"/>
  <c r="I26" i="25"/>
  <c r="M7" i="13"/>
  <c r="M10" i="13"/>
  <c r="N10" i="13" s="1"/>
  <c r="M19" i="13"/>
  <c r="M22" i="13"/>
  <c r="M25" i="13"/>
  <c r="M8" i="12"/>
  <c r="M11" i="12"/>
  <c r="M24" i="12"/>
  <c r="M27" i="12"/>
  <c r="M30" i="12"/>
  <c r="N30" i="12" s="1"/>
  <c r="K17" i="37"/>
  <c r="K30" i="37"/>
  <c r="K13" i="22"/>
  <c r="K24" i="22"/>
  <c r="I14" i="36"/>
  <c r="I4" i="36"/>
  <c r="I17" i="25"/>
  <c r="M34" i="13"/>
  <c r="N34" i="13" s="1"/>
  <c r="M29" i="12"/>
  <c r="M9" i="11"/>
  <c r="M22" i="11"/>
  <c r="M25" i="11"/>
  <c r="N25" i="11" s="1"/>
  <c r="K23" i="37"/>
  <c r="K7" i="22"/>
  <c r="K29" i="22"/>
  <c r="I19" i="36"/>
  <c r="J19" i="36" s="1"/>
  <c r="I7" i="25"/>
  <c r="M31" i="13"/>
  <c r="M13" i="12"/>
  <c r="N13" i="12" s="1"/>
  <c r="M7" i="11"/>
  <c r="N7" i="11" s="1"/>
  <c r="M14" i="11"/>
  <c r="M33" i="11"/>
  <c r="N4" i="10"/>
  <c r="K20" i="37"/>
  <c r="L20" i="37" s="1"/>
  <c r="K4" i="37"/>
  <c r="K16" i="22"/>
  <c r="I6" i="36"/>
  <c r="I27" i="36"/>
  <c r="J27" i="36" s="1"/>
  <c r="I25" i="25"/>
  <c r="M18" i="13"/>
  <c r="M24" i="13"/>
  <c r="M6" i="11"/>
  <c r="M16" i="11"/>
  <c r="N16" i="11" s="1"/>
  <c r="M19" i="11"/>
  <c r="M32" i="11"/>
  <c r="M4" i="11"/>
  <c r="N5" i="10"/>
  <c r="N9" i="10"/>
  <c r="N13" i="10"/>
  <c r="N17" i="10"/>
  <c r="N21" i="10"/>
  <c r="N25" i="10"/>
  <c r="N29" i="10"/>
  <c r="N33" i="10"/>
  <c r="K10" i="37"/>
  <c r="I30" i="36"/>
  <c r="I33" i="25"/>
  <c r="M17" i="11"/>
  <c r="N17" i="11" s="1"/>
  <c r="M30" i="11"/>
  <c r="K21" i="22"/>
  <c r="M9" i="13"/>
  <c r="M27" i="11"/>
  <c r="N27" i="11" s="1"/>
  <c r="N11" i="10"/>
  <c r="N27" i="10"/>
  <c r="M21" i="13"/>
  <c r="N19" i="10"/>
  <c r="M11" i="11"/>
  <c r="N23" i="10"/>
  <c r="K14" i="37"/>
  <c r="K32" i="22"/>
  <c r="M15" i="13"/>
  <c r="N15" i="10"/>
  <c r="N31" i="10"/>
  <c r="I11" i="36"/>
  <c r="J11" i="36" s="1"/>
  <c r="I22" i="36"/>
  <c r="M21" i="12"/>
  <c r="M24" i="11"/>
  <c r="N7" i="10"/>
  <c r="O7" i="10" s="1"/>
  <c r="G58" i="21"/>
  <c r="G66" i="21"/>
  <c r="G44" i="21"/>
  <c r="G22" i="21"/>
  <c r="G28" i="21"/>
  <c r="G30" i="21"/>
  <c r="N10" i="19"/>
  <c r="G29" i="21"/>
  <c r="G47" i="21"/>
  <c r="G51" i="21"/>
  <c r="G67" i="21"/>
  <c r="G26" i="21"/>
  <c r="G60" i="21"/>
  <c r="G68" i="21"/>
  <c r="G19" i="21"/>
  <c r="G4" i="21"/>
  <c r="H5" i="21" s="1"/>
  <c r="G21" i="21"/>
  <c r="I4" i="21"/>
  <c r="K4" i="21" s="1"/>
  <c r="G24" i="21"/>
  <c r="G49" i="21"/>
  <c r="G62" i="21"/>
  <c r="G64" i="21"/>
  <c r="G20" i="21"/>
  <c r="G25" i="21"/>
  <c r="G27" i="21"/>
  <c r="G46" i="21"/>
  <c r="G48" i="21"/>
  <c r="G43" i="21"/>
  <c r="H42" i="21" s="1"/>
  <c r="G45" i="21"/>
  <c r="G54" i="21"/>
  <c r="G65" i="21"/>
  <c r="E8" i="21"/>
  <c r="G8" i="21" s="1"/>
  <c r="H13" i="21" s="1"/>
  <c r="E9" i="21"/>
  <c r="G9" i="21" s="1"/>
  <c r="H14" i="21" s="1"/>
  <c r="E10" i="21"/>
  <c r="G10" i="21" s="1"/>
  <c r="H15" i="21" s="1"/>
  <c r="E11" i="21"/>
  <c r="G11" i="21" s="1"/>
  <c r="H16" i="21" s="1"/>
  <c r="O5" i="19"/>
  <c r="O4" i="19"/>
  <c r="N21" i="13" l="1"/>
  <c r="N9" i="13"/>
  <c r="N24" i="13"/>
  <c r="L29" i="22"/>
  <c r="L13" i="22"/>
  <c r="N27" i="12"/>
  <c r="N25" i="13"/>
  <c r="N7" i="13"/>
  <c r="J10" i="25"/>
  <c r="L32" i="37"/>
  <c r="N12" i="13"/>
  <c r="J18" i="25"/>
  <c r="J21" i="36"/>
  <c r="L16" i="37"/>
  <c r="N26" i="13"/>
  <c r="N5" i="13"/>
  <c r="L28" i="37"/>
  <c r="L12" i="37"/>
  <c r="N34" i="12"/>
  <c r="N23" i="12"/>
  <c r="N33" i="13"/>
  <c r="N17" i="13"/>
  <c r="N6" i="13"/>
  <c r="J27" i="25"/>
  <c r="L27" i="37"/>
  <c r="L11" i="37"/>
  <c r="R20" i="9"/>
  <c r="R8" i="9"/>
  <c r="R24" i="9"/>
  <c r="R9" i="9"/>
  <c r="S9" i="9" s="1"/>
  <c r="AO9" i="44" s="1"/>
  <c r="R22" i="9"/>
  <c r="R7" i="9"/>
  <c r="R23" i="9"/>
  <c r="N8" i="12"/>
  <c r="O24" i="10"/>
  <c r="O21" i="10"/>
  <c r="O32" i="10"/>
  <c r="O20" i="10"/>
  <c r="N12" i="11"/>
  <c r="O4" i="10"/>
  <c r="N34" i="11"/>
  <c r="O31" i="10"/>
  <c r="S31" i="9" s="1"/>
  <c r="N26" i="11"/>
  <c r="N20" i="12"/>
  <c r="O26" i="10"/>
  <c r="O10" i="10"/>
  <c r="N6" i="11"/>
  <c r="J28" i="25"/>
  <c r="J12" i="25"/>
  <c r="J20" i="25"/>
  <c r="J13" i="25"/>
  <c r="L20" i="22"/>
  <c r="J26" i="36"/>
  <c r="L22" i="37"/>
  <c r="J6" i="25"/>
  <c r="L30" i="22"/>
  <c r="J33" i="25"/>
  <c r="J22" i="36"/>
  <c r="L32" i="22"/>
  <c r="L14" i="37"/>
  <c r="L21" i="22"/>
  <c r="N19" i="11"/>
  <c r="N18" i="13"/>
  <c r="N33" i="11"/>
  <c r="N31" i="13"/>
  <c r="L7" i="22"/>
  <c r="N9" i="11"/>
  <c r="J4" i="36"/>
  <c r="N22" i="13"/>
  <c r="J26" i="25"/>
  <c r="J29" i="36"/>
  <c r="N15" i="11"/>
  <c r="N14" i="12"/>
  <c r="J34" i="25"/>
  <c r="J15" i="25"/>
  <c r="L23" i="22"/>
  <c r="L9" i="37"/>
  <c r="N4" i="13"/>
  <c r="N23" i="13"/>
  <c r="J23" i="36"/>
  <c r="J7" i="36"/>
  <c r="L25" i="22"/>
  <c r="L9" i="22"/>
  <c r="L25" i="37"/>
  <c r="L8" i="37"/>
  <c r="N29" i="11"/>
  <c r="N13" i="11"/>
  <c r="N31" i="12"/>
  <c r="N10" i="12"/>
  <c r="N30" i="13"/>
  <c r="N14" i="13"/>
  <c r="J14" i="25"/>
  <c r="J33" i="36"/>
  <c r="J17" i="36"/>
  <c r="L27" i="22"/>
  <c r="L11" i="22"/>
  <c r="L24" i="37"/>
  <c r="L7" i="37"/>
  <c r="R33" i="9"/>
  <c r="R17" i="9"/>
  <c r="R5" i="9"/>
  <c r="R21" i="9"/>
  <c r="R6" i="9"/>
  <c r="R19" i="9"/>
  <c r="R32" i="9"/>
  <c r="R16" i="9"/>
  <c r="O33" i="10"/>
  <c r="O9" i="10"/>
  <c r="O6" i="10"/>
  <c r="O13" i="10"/>
  <c r="O16" i="10"/>
  <c r="O12" i="10"/>
  <c r="N16" i="12"/>
  <c r="O27" i="10"/>
  <c r="N18" i="11"/>
  <c r="O23" i="10"/>
  <c r="N10" i="11"/>
  <c r="N12" i="12"/>
  <c r="O22" i="10"/>
  <c r="N32" i="11"/>
  <c r="N29" i="12"/>
  <c r="L10" i="22"/>
  <c r="J32" i="36"/>
  <c r="J16" i="36"/>
  <c r="J24" i="36"/>
  <c r="J34" i="36"/>
  <c r="J21" i="25"/>
  <c r="J10" i="36"/>
  <c r="J32" i="25"/>
  <c r="J28" i="36"/>
  <c r="L22" i="22"/>
  <c r="J25" i="25"/>
  <c r="J14" i="36"/>
  <c r="L24" i="22"/>
  <c r="L34" i="37"/>
  <c r="N15" i="13"/>
  <c r="N11" i="11"/>
  <c r="L10" i="37"/>
  <c r="L4" i="37"/>
  <c r="J7" i="25"/>
  <c r="L23" i="37"/>
  <c r="L17" i="37"/>
  <c r="N11" i="12"/>
  <c r="N19" i="13"/>
  <c r="J23" i="25"/>
  <c r="L15" i="22"/>
  <c r="L19" i="37"/>
  <c r="O8" i="10"/>
  <c r="N22" i="12"/>
  <c r="N6" i="12"/>
  <c r="J31" i="25"/>
  <c r="J5" i="36"/>
  <c r="N32" i="13"/>
  <c r="N16" i="13"/>
  <c r="L5" i="37"/>
  <c r="N18" i="12"/>
  <c r="N7" i="12"/>
  <c r="N27" i="13"/>
  <c r="N11" i="13"/>
  <c r="J22" i="25"/>
  <c r="J11" i="25"/>
  <c r="L8" i="22"/>
  <c r="L21" i="37"/>
  <c r="N34" i="19"/>
  <c r="R30" i="9"/>
  <c r="R14" i="9"/>
  <c r="R34" i="9"/>
  <c r="R18" i="9"/>
  <c r="R28" i="9"/>
  <c r="R12" i="9"/>
  <c r="R29" i="9"/>
  <c r="R13" i="9"/>
  <c r="O25" i="10"/>
  <c r="O17" i="10"/>
  <c r="N32" i="12"/>
  <c r="N22" i="11"/>
  <c r="N20" i="11"/>
  <c r="N4" i="11"/>
  <c r="N33" i="12"/>
  <c r="O19" i="10"/>
  <c r="N25" i="12"/>
  <c r="O15" i="10"/>
  <c r="N4" i="12"/>
  <c r="O34" i="10"/>
  <c r="O18" i="10"/>
  <c r="N24" i="11"/>
  <c r="N21" i="12"/>
  <c r="J4" i="25"/>
  <c r="J8" i="36"/>
  <c r="L26" i="22"/>
  <c r="L34" i="22"/>
  <c r="J18" i="36"/>
  <c r="J8" i="25"/>
  <c r="L12" i="22"/>
  <c r="J24" i="25"/>
  <c r="J20" i="36"/>
  <c r="L14" i="22"/>
  <c r="J17" i="25"/>
  <c r="J6" i="36"/>
  <c r="L16" i="22"/>
  <c r="L33" i="37"/>
  <c r="N6" i="19"/>
  <c r="N16" i="19"/>
  <c r="N12" i="19"/>
  <c r="N13" i="19"/>
  <c r="N9" i="19"/>
  <c r="N20" i="19"/>
  <c r="N21" i="19"/>
  <c r="N22" i="19"/>
  <c r="N11" i="19"/>
  <c r="N18" i="19"/>
  <c r="N7" i="19"/>
  <c r="N5" i="19"/>
  <c r="N19" i="19"/>
  <c r="N8" i="19"/>
  <c r="N15" i="19"/>
  <c r="L218" i="15"/>
  <c r="L219" i="15"/>
  <c r="L220" i="15"/>
  <c r="L221" i="15"/>
  <c r="L222" i="15"/>
  <c r="L223" i="15"/>
  <c r="L224" i="15"/>
  <c r="L225" i="15"/>
  <c r="L226" i="15"/>
  <c r="H218" i="15"/>
  <c r="H219" i="15"/>
  <c r="H220" i="15"/>
  <c r="H221" i="15"/>
  <c r="H222" i="15"/>
  <c r="H223" i="15"/>
  <c r="H224" i="15"/>
  <c r="H225" i="15"/>
  <c r="H226" i="15"/>
  <c r="S34" i="9" l="1"/>
  <c r="S33" i="9"/>
  <c r="S32" i="9"/>
  <c r="S5" i="9"/>
  <c r="AO5" i="44" s="1"/>
  <c r="S12" i="9"/>
  <c r="AO12" i="44" s="1"/>
  <c r="S10" i="9"/>
  <c r="AO10" i="44" s="1"/>
  <c r="S11" i="9"/>
  <c r="AO11" i="44" s="1"/>
  <c r="S22" i="9"/>
  <c r="S28" i="9"/>
  <c r="S4" i="9"/>
  <c r="S27" i="9"/>
  <c r="S18" i="9"/>
  <c r="AO18" i="44" s="1"/>
  <c r="S17" i="9"/>
  <c r="AO17" i="44" s="1"/>
  <c r="S21" i="9"/>
  <c r="S29" i="9"/>
  <c r="S14" i="9"/>
  <c r="S7" i="9"/>
  <c r="AO7" i="44" s="1"/>
  <c r="S8" i="9"/>
  <c r="AO8" i="44" s="1"/>
  <c r="S13" i="9"/>
  <c r="AO13" i="44" s="1"/>
  <c r="S20" i="9"/>
  <c r="S23" i="9"/>
  <c r="S24" i="9"/>
  <c r="S6" i="9"/>
  <c r="AO6" i="44" s="1"/>
  <c r="S26" i="9"/>
  <c r="S16" i="9"/>
  <c r="AO16" i="44" s="1"/>
  <c r="S15" i="9"/>
  <c r="AO15" i="44" s="1"/>
  <c r="S25" i="9"/>
  <c r="S30" i="9"/>
  <c r="S19" i="9"/>
  <c r="AO19" i="44" s="1"/>
  <c r="L202" i="15"/>
  <c r="L203" i="15"/>
  <c r="L204" i="15"/>
  <c r="L205" i="15"/>
  <c r="L206" i="15"/>
  <c r="L207" i="15"/>
  <c r="L208" i="15"/>
  <c r="H202" i="15"/>
  <c r="H203" i="15"/>
  <c r="H204" i="15"/>
  <c r="H205" i="15"/>
  <c r="H206" i="15"/>
  <c r="H207" i="15"/>
  <c r="L4" i="44" l="1"/>
  <c r="M36" i="5" l="1"/>
  <c r="H35" i="23"/>
  <c r="H35" i="34"/>
  <c r="F35" i="36"/>
  <c r="AQ14" i="44" l="1"/>
  <c r="AT38" i="44"/>
  <c r="N51" i="15" l="1"/>
  <c r="AB31" i="44" l="1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I32" i="17"/>
  <c r="AI31" i="17"/>
  <c r="AI30" i="17"/>
  <c r="AI29" i="17"/>
  <c r="AI28" i="17"/>
  <c r="AI27" i="17"/>
  <c r="AI26" i="17"/>
  <c r="AI25" i="17"/>
  <c r="AI24" i="17"/>
  <c r="AI23" i="17"/>
  <c r="AI22" i="17"/>
  <c r="AI21" i="17"/>
  <c r="AI20" i="17"/>
  <c r="AI19" i="17"/>
  <c r="AI18" i="17"/>
  <c r="AI17" i="17"/>
  <c r="AI16" i="17"/>
  <c r="AI15" i="17"/>
  <c r="AI14" i="17"/>
  <c r="AI13" i="17"/>
  <c r="AI12" i="17"/>
  <c r="AI11" i="17"/>
  <c r="AI10" i="17"/>
  <c r="AI9" i="17"/>
  <c r="AI8" i="17"/>
  <c r="AI7" i="17"/>
  <c r="AI6" i="17"/>
  <c r="AI5" i="17"/>
  <c r="AI4" i="17"/>
  <c r="AI3" i="17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X30" i="5" s="1"/>
  <c r="T31" i="5"/>
  <c r="X31" i="5" s="1"/>
  <c r="T32" i="5"/>
  <c r="T33" i="5"/>
  <c r="T3" i="5"/>
  <c r="S34" i="5"/>
  <c r="AB35" i="44" l="1"/>
  <c r="AB38" i="44" s="1"/>
  <c r="AI35" i="17"/>
  <c r="AB39" i="44" l="1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29" i="17"/>
  <c r="AG30" i="17"/>
  <c r="AG31" i="17"/>
  <c r="AG32" i="17"/>
  <c r="AG4" i="17"/>
  <c r="R5" i="44"/>
  <c r="V5" i="44"/>
  <c r="X5" i="44"/>
  <c r="Y5" i="44"/>
  <c r="Z5" i="44"/>
  <c r="R6" i="44"/>
  <c r="V6" i="44"/>
  <c r="X6" i="44"/>
  <c r="Y6" i="44"/>
  <c r="Z6" i="44"/>
  <c r="R7" i="44"/>
  <c r="V7" i="44"/>
  <c r="X7" i="44"/>
  <c r="Y7" i="44"/>
  <c r="Z7" i="44"/>
  <c r="R8" i="44"/>
  <c r="V8" i="44"/>
  <c r="X8" i="44"/>
  <c r="Y8" i="44"/>
  <c r="Z8" i="44"/>
  <c r="R9" i="44"/>
  <c r="V9" i="44"/>
  <c r="X9" i="44"/>
  <c r="Y9" i="44"/>
  <c r="Z9" i="44"/>
  <c r="R10" i="44"/>
  <c r="V10" i="44"/>
  <c r="X10" i="44"/>
  <c r="Y10" i="44"/>
  <c r="Z10" i="44"/>
  <c r="R11" i="44"/>
  <c r="V11" i="44"/>
  <c r="X11" i="44"/>
  <c r="Y11" i="44"/>
  <c r="Z11" i="44"/>
  <c r="R12" i="44"/>
  <c r="V12" i="44"/>
  <c r="X12" i="44"/>
  <c r="Y12" i="44"/>
  <c r="Z12" i="44"/>
  <c r="R13" i="44"/>
  <c r="V13" i="44"/>
  <c r="X13" i="44"/>
  <c r="Y13" i="44"/>
  <c r="Z13" i="44"/>
  <c r="R14" i="44"/>
  <c r="V14" i="44"/>
  <c r="X14" i="44"/>
  <c r="Y14" i="44"/>
  <c r="Z14" i="44"/>
  <c r="R15" i="44"/>
  <c r="V15" i="44"/>
  <c r="X15" i="44"/>
  <c r="Y15" i="44"/>
  <c r="Z15" i="44"/>
  <c r="R16" i="44"/>
  <c r="V16" i="44"/>
  <c r="X16" i="44"/>
  <c r="Y16" i="44"/>
  <c r="Z16" i="44"/>
  <c r="R17" i="44"/>
  <c r="V17" i="44"/>
  <c r="X17" i="44"/>
  <c r="Y17" i="44"/>
  <c r="Z17" i="44"/>
  <c r="R18" i="44"/>
  <c r="V18" i="44"/>
  <c r="X18" i="44"/>
  <c r="Y18" i="44"/>
  <c r="Z18" i="44"/>
  <c r="R19" i="44"/>
  <c r="V19" i="44"/>
  <c r="X19" i="44"/>
  <c r="Y19" i="44"/>
  <c r="Z19" i="44"/>
  <c r="R20" i="44"/>
  <c r="V20" i="44"/>
  <c r="X20" i="44"/>
  <c r="Y20" i="44"/>
  <c r="Z20" i="44"/>
  <c r="R21" i="44"/>
  <c r="V21" i="44"/>
  <c r="X21" i="44"/>
  <c r="Y21" i="44"/>
  <c r="Z21" i="44"/>
  <c r="R22" i="44"/>
  <c r="V22" i="44"/>
  <c r="X22" i="44"/>
  <c r="Y22" i="44"/>
  <c r="Z22" i="44"/>
  <c r="R23" i="44"/>
  <c r="V23" i="44"/>
  <c r="X23" i="44"/>
  <c r="Y23" i="44"/>
  <c r="Z23" i="44"/>
  <c r="R24" i="44"/>
  <c r="V24" i="44"/>
  <c r="X24" i="44"/>
  <c r="Y24" i="44"/>
  <c r="Z24" i="44"/>
  <c r="R25" i="44"/>
  <c r="V25" i="44"/>
  <c r="X25" i="44"/>
  <c r="Y25" i="44"/>
  <c r="Z25" i="44"/>
  <c r="R26" i="44"/>
  <c r="V26" i="44"/>
  <c r="X26" i="44"/>
  <c r="Y26" i="44"/>
  <c r="Z26" i="44"/>
  <c r="R27" i="44"/>
  <c r="V27" i="44"/>
  <c r="X27" i="44"/>
  <c r="Y27" i="44"/>
  <c r="Z27" i="44"/>
  <c r="R28" i="44"/>
  <c r="V28" i="44"/>
  <c r="X28" i="44"/>
  <c r="Y28" i="44"/>
  <c r="Z28" i="44"/>
  <c r="R29" i="44"/>
  <c r="V29" i="44"/>
  <c r="X29" i="44"/>
  <c r="Y29" i="44"/>
  <c r="Z29" i="44"/>
  <c r="R30" i="44"/>
  <c r="V30" i="44"/>
  <c r="X30" i="44"/>
  <c r="Y30" i="44"/>
  <c r="BB30" i="44" s="1"/>
  <c r="Z30" i="44"/>
  <c r="R31" i="44"/>
  <c r="V31" i="44"/>
  <c r="X31" i="44"/>
  <c r="Y31" i="44"/>
  <c r="BB31" i="44" s="1"/>
  <c r="Z31" i="44"/>
  <c r="R32" i="44"/>
  <c r="V4" i="44"/>
  <c r="Q34" i="5"/>
  <c r="Q36" i="5"/>
  <c r="BB29" i="44" l="1"/>
  <c r="W34" i="44"/>
  <c r="BE34" i="44" s="1"/>
  <c r="W33" i="44"/>
  <c r="BE33" i="44" s="1"/>
  <c r="W32" i="44"/>
  <c r="BE32" i="44" s="1"/>
  <c r="BB28" i="44"/>
  <c r="W5" i="44"/>
  <c r="BE5" i="44" s="1"/>
  <c r="W30" i="44"/>
  <c r="BE30" i="44" s="1"/>
  <c r="W28" i="44"/>
  <c r="BE28" i="44" s="1"/>
  <c r="W26" i="44"/>
  <c r="BE26" i="44" s="1"/>
  <c r="W24" i="44"/>
  <c r="BE24" i="44" s="1"/>
  <c r="W22" i="44"/>
  <c r="BE22" i="44" s="1"/>
  <c r="W20" i="44"/>
  <c r="BE20" i="44" s="1"/>
  <c r="W18" i="44"/>
  <c r="BE18" i="44" s="1"/>
  <c r="W16" i="44"/>
  <c r="BE16" i="44" s="1"/>
  <c r="W14" i="44"/>
  <c r="BE14" i="44" s="1"/>
  <c r="W12" i="44"/>
  <c r="BE12" i="44" s="1"/>
  <c r="W10" i="44"/>
  <c r="BE10" i="44" s="1"/>
  <c r="W8" i="44"/>
  <c r="BE8" i="44" s="1"/>
  <c r="W6" i="44"/>
  <c r="BE6" i="44" s="1"/>
  <c r="W31" i="44"/>
  <c r="BE31" i="44" s="1"/>
  <c r="W29" i="44"/>
  <c r="BE29" i="44" s="1"/>
  <c r="W27" i="44"/>
  <c r="BE27" i="44" s="1"/>
  <c r="W25" i="44"/>
  <c r="BE25" i="44" s="1"/>
  <c r="W23" i="44"/>
  <c r="BE23" i="44" s="1"/>
  <c r="W21" i="44"/>
  <c r="BE21" i="44" s="1"/>
  <c r="W19" i="44"/>
  <c r="BE19" i="44" s="1"/>
  <c r="W17" i="44"/>
  <c r="BE17" i="44" s="1"/>
  <c r="W15" i="44"/>
  <c r="BE15" i="44" s="1"/>
  <c r="W13" i="44"/>
  <c r="BE13" i="44" s="1"/>
  <c r="W11" i="44"/>
  <c r="BE11" i="44" s="1"/>
  <c r="W9" i="44"/>
  <c r="BE9" i="44" s="1"/>
  <c r="W7" i="44"/>
  <c r="BE7" i="44" s="1"/>
  <c r="AG35" i="17"/>
  <c r="Q38" i="5"/>
  <c r="W4" i="44"/>
  <c r="BE4" i="44" s="1"/>
  <c r="V35" i="44"/>
  <c r="V38" i="44" s="1"/>
  <c r="V39" i="44" l="1"/>
  <c r="W35" i="44"/>
  <c r="W38" i="44" s="1"/>
  <c r="W39" i="44" l="1"/>
  <c r="BH5" i="44"/>
  <c r="BH6" i="44"/>
  <c r="BH7" i="44"/>
  <c r="BH8" i="44"/>
  <c r="BH9" i="44"/>
  <c r="BH10" i="44"/>
  <c r="BH11" i="44"/>
  <c r="BH12" i="44"/>
  <c r="BH13" i="44"/>
  <c r="BH14" i="44"/>
  <c r="BH15" i="44"/>
  <c r="BH16" i="44"/>
  <c r="BH17" i="44"/>
  <c r="BH18" i="44"/>
  <c r="BH19" i="44"/>
  <c r="BH20" i="44"/>
  <c r="BH21" i="44"/>
  <c r="BH22" i="44"/>
  <c r="BH23" i="44"/>
  <c r="BH24" i="44"/>
  <c r="BH25" i="44"/>
  <c r="BH26" i="44"/>
  <c r="BH27" i="44"/>
  <c r="R4" i="44"/>
  <c r="AD5" i="17"/>
  <c r="AE5" i="17"/>
  <c r="AF5" i="17"/>
  <c r="AD6" i="17"/>
  <c r="AE6" i="17"/>
  <c r="AF6" i="17"/>
  <c r="AD7" i="17"/>
  <c r="AE7" i="17"/>
  <c r="AF7" i="17"/>
  <c r="AD8" i="17"/>
  <c r="AE8" i="17"/>
  <c r="AF8" i="17"/>
  <c r="AD9" i="17"/>
  <c r="AE9" i="17"/>
  <c r="AF9" i="17"/>
  <c r="AD10" i="17"/>
  <c r="AE10" i="17"/>
  <c r="AF10" i="17"/>
  <c r="AD11" i="17"/>
  <c r="AE11" i="17"/>
  <c r="AF11" i="17"/>
  <c r="AD12" i="17"/>
  <c r="AE12" i="17"/>
  <c r="AF12" i="17"/>
  <c r="AD13" i="17"/>
  <c r="AE13" i="17"/>
  <c r="AF13" i="17"/>
  <c r="AD14" i="17"/>
  <c r="AE14" i="17"/>
  <c r="AF14" i="17"/>
  <c r="AD15" i="17"/>
  <c r="AE15" i="17"/>
  <c r="AF15" i="17"/>
  <c r="AD16" i="17"/>
  <c r="AE16" i="17"/>
  <c r="AF16" i="17"/>
  <c r="AD17" i="17"/>
  <c r="AE17" i="17"/>
  <c r="AF17" i="17"/>
  <c r="AD18" i="17"/>
  <c r="AE18" i="17"/>
  <c r="AF18" i="17"/>
  <c r="AD19" i="17"/>
  <c r="AE19" i="17"/>
  <c r="AF19" i="17"/>
  <c r="AD20" i="17"/>
  <c r="AE20" i="17"/>
  <c r="AF20" i="17"/>
  <c r="AD21" i="17"/>
  <c r="AE21" i="17"/>
  <c r="AF21" i="17"/>
  <c r="AD22" i="17"/>
  <c r="AE22" i="17"/>
  <c r="AF22" i="17"/>
  <c r="AD23" i="17"/>
  <c r="AE23" i="17"/>
  <c r="AF23" i="17"/>
  <c r="AD24" i="17"/>
  <c r="AE24" i="17"/>
  <c r="AF24" i="17"/>
  <c r="AD25" i="17"/>
  <c r="AE25" i="17"/>
  <c r="AF25" i="17"/>
  <c r="AD26" i="17"/>
  <c r="AE26" i="17"/>
  <c r="AF26" i="17"/>
  <c r="AD27" i="17"/>
  <c r="AE27" i="17"/>
  <c r="AF27" i="17"/>
  <c r="AD28" i="17"/>
  <c r="AE28" i="17"/>
  <c r="AF28" i="17"/>
  <c r="AD29" i="17"/>
  <c r="AE29" i="17"/>
  <c r="AF29" i="17"/>
  <c r="AD30" i="17"/>
  <c r="AE30" i="17"/>
  <c r="AF30" i="17"/>
  <c r="AD31" i="17"/>
  <c r="AE31" i="17"/>
  <c r="AF31" i="17"/>
  <c r="AD32" i="17"/>
  <c r="AE32" i="17"/>
  <c r="AF32" i="17"/>
  <c r="AF4" i="17"/>
  <c r="AE4" i="17"/>
  <c r="AD4" i="17"/>
  <c r="R34" i="5" l="1"/>
  <c r="R36" i="5"/>
  <c r="S33" i="44" l="1"/>
  <c r="BI33" i="44" s="1"/>
  <c r="S34" i="44"/>
  <c r="BI34" i="44" s="1"/>
  <c r="S26" i="44"/>
  <c r="S18" i="44"/>
  <c r="S10" i="44"/>
  <c r="S25" i="44"/>
  <c r="S17" i="44"/>
  <c r="S9" i="44"/>
  <c r="S32" i="44"/>
  <c r="S24" i="44"/>
  <c r="S16" i="44"/>
  <c r="S8" i="44"/>
  <c r="S31" i="44"/>
  <c r="S23" i="44"/>
  <c r="S15" i="44"/>
  <c r="S7" i="44"/>
  <c r="S30" i="44"/>
  <c r="S22" i="44"/>
  <c r="S14" i="44"/>
  <c r="S6" i="44"/>
  <c r="S29" i="44"/>
  <c r="S21" i="44"/>
  <c r="S13" i="44"/>
  <c r="S28" i="44"/>
  <c r="S20" i="44"/>
  <c r="S12" i="44"/>
  <c r="S5" i="44"/>
  <c r="S27" i="44"/>
  <c r="S19" i="44"/>
  <c r="S11" i="44"/>
  <c r="S4" i="44"/>
  <c r="R38" i="5"/>
  <c r="BI15" i="44" l="1"/>
  <c r="BI7" i="44"/>
  <c r="BI28" i="44"/>
  <c r="BI32" i="44"/>
  <c r="BI13" i="44"/>
  <c r="BI9" i="44"/>
  <c r="BI8" i="44"/>
  <c r="BI16" i="44"/>
  <c r="BI31" i="44"/>
  <c r="BI24" i="44"/>
  <c r="BI26" i="44"/>
  <c r="BI10" i="44"/>
  <c r="BI14" i="44"/>
  <c r="BI19" i="44"/>
  <c r="BI5" i="44"/>
  <c r="BI22" i="44"/>
  <c r="BI12" i="44"/>
  <c r="BI11" i="44"/>
  <c r="BI23" i="44"/>
  <c r="BI25" i="44"/>
  <c r="BI30" i="44"/>
  <c r="BI20" i="44"/>
  <c r="BI17" i="44"/>
  <c r="BI21" i="44"/>
  <c r="BI27" i="44"/>
  <c r="BI29" i="44"/>
  <c r="BI18" i="44"/>
  <c r="BI6" i="44"/>
  <c r="Z4" i="44"/>
  <c r="D34" i="5"/>
  <c r="E34" i="5"/>
  <c r="F34" i="5"/>
  <c r="G34" i="5"/>
  <c r="H34" i="5"/>
  <c r="I34" i="5"/>
  <c r="J34" i="5"/>
  <c r="K34" i="5"/>
  <c r="L34" i="5"/>
  <c r="M34" i="5"/>
  <c r="N34" i="5"/>
  <c r="O34" i="5"/>
  <c r="E36" i="5"/>
  <c r="F36" i="5"/>
  <c r="G36" i="5"/>
  <c r="H36" i="5"/>
  <c r="I36" i="5"/>
  <c r="J36" i="5"/>
  <c r="K36" i="5"/>
  <c r="L36" i="5"/>
  <c r="N36" i="5"/>
  <c r="O36" i="5"/>
  <c r="P36" i="5"/>
  <c r="AA32" i="44" l="1"/>
  <c r="BC32" i="44" s="1"/>
  <c r="AA33" i="44"/>
  <c r="BC33" i="44" s="1"/>
  <c r="AA34" i="44"/>
  <c r="BC34" i="44" s="1"/>
  <c r="I38" i="5"/>
  <c r="AA7" i="44"/>
  <c r="BC7" i="44" s="1"/>
  <c r="AA9" i="44"/>
  <c r="BC9" i="44" s="1"/>
  <c r="AA11" i="44"/>
  <c r="BC11" i="44" s="1"/>
  <c r="AA13" i="44"/>
  <c r="BC13" i="44" s="1"/>
  <c r="AA15" i="44"/>
  <c r="BC15" i="44" s="1"/>
  <c r="AA17" i="44"/>
  <c r="BC17" i="44" s="1"/>
  <c r="AA19" i="44"/>
  <c r="BC19" i="44" s="1"/>
  <c r="AA21" i="44"/>
  <c r="BC21" i="44" s="1"/>
  <c r="AA23" i="44"/>
  <c r="BC23" i="44" s="1"/>
  <c r="AA25" i="44"/>
  <c r="BC25" i="44" s="1"/>
  <c r="AA27" i="44"/>
  <c r="BC27" i="44" s="1"/>
  <c r="AA29" i="44"/>
  <c r="BC29" i="44" s="1"/>
  <c r="AA31" i="44"/>
  <c r="BC31" i="44" s="1"/>
  <c r="AA5" i="44"/>
  <c r="BC5" i="44" s="1"/>
  <c r="AA22" i="44"/>
  <c r="BC22" i="44" s="1"/>
  <c r="AA26" i="44"/>
  <c r="BC26" i="44" s="1"/>
  <c r="AA28" i="44"/>
  <c r="BC28" i="44" s="1"/>
  <c r="AA30" i="44"/>
  <c r="BC30" i="44" s="1"/>
  <c r="AA6" i="44"/>
  <c r="BC6" i="44" s="1"/>
  <c r="AA8" i="44"/>
  <c r="BC8" i="44" s="1"/>
  <c r="AA10" i="44"/>
  <c r="BC10" i="44" s="1"/>
  <c r="AA12" i="44"/>
  <c r="BC12" i="44" s="1"/>
  <c r="AA14" i="44"/>
  <c r="BC14" i="44" s="1"/>
  <c r="AA16" i="44"/>
  <c r="BC16" i="44" s="1"/>
  <c r="AA18" i="44"/>
  <c r="BC18" i="44" s="1"/>
  <c r="AA20" i="44"/>
  <c r="BC20" i="44" s="1"/>
  <c r="AA24" i="44"/>
  <c r="BC24" i="44" s="1"/>
  <c r="BD5" i="44"/>
  <c r="BD6" i="44"/>
  <c r="BD8" i="44"/>
  <c r="BD10" i="44"/>
  <c r="BD12" i="44"/>
  <c r="BD14" i="44"/>
  <c r="BD16" i="44"/>
  <c r="BD18" i="44"/>
  <c r="BD20" i="44"/>
  <c r="BD22" i="44"/>
  <c r="BD24" i="44"/>
  <c r="BD26" i="44"/>
  <c r="BD7" i="44"/>
  <c r="BD9" i="44"/>
  <c r="BD11" i="44"/>
  <c r="BD13" i="44"/>
  <c r="BD15" i="44"/>
  <c r="BD17" i="44"/>
  <c r="BD19" i="44"/>
  <c r="BD21" i="44"/>
  <c r="BD23" i="44"/>
  <c r="BD25" i="44"/>
  <c r="D38" i="5"/>
  <c r="J38" i="5"/>
  <c r="F38" i="5"/>
  <c r="BB5" i="44"/>
  <c r="BB7" i="44"/>
  <c r="BB9" i="44"/>
  <c r="BB11" i="44"/>
  <c r="BB13" i="44"/>
  <c r="BB15" i="44"/>
  <c r="BB17" i="44"/>
  <c r="BB19" i="44"/>
  <c r="BB21" i="44"/>
  <c r="BB25" i="44"/>
  <c r="BB27" i="44"/>
  <c r="BB6" i="44"/>
  <c r="BB14" i="44"/>
  <c r="BB8" i="44"/>
  <c r="BB16" i="44"/>
  <c r="BB18" i="44"/>
  <c r="BB24" i="44"/>
  <c r="BB26" i="44"/>
  <c r="H38" i="5"/>
  <c r="BB23" i="44"/>
  <c r="BB10" i="44"/>
  <c r="BB12" i="44"/>
  <c r="BB20" i="44"/>
  <c r="BB22" i="44"/>
  <c r="G38" i="5"/>
  <c r="E38" i="5"/>
  <c r="AA4" i="44"/>
  <c r="BC4" i="44" s="1"/>
  <c r="BD27" i="44"/>
  <c r="BD4" i="44"/>
  <c r="J35" i="19"/>
  <c r="O34" i="13" l="1"/>
  <c r="U41" i="5"/>
  <c r="W41" i="5" s="1"/>
  <c r="L422" i="15" l="1"/>
  <c r="BP35" i="17" l="1"/>
  <c r="O38" i="5" l="1"/>
  <c r="N38" i="5"/>
  <c r="BE4" i="17" l="1"/>
  <c r="BE5" i="17" s="1"/>
  <c r="BE6" i="17" s="1"/>
  <c r="BE7" i="17" s="1"/>
  <c r="BE8" i="17" s="1"/>
  <c r="BE9" i="17" s="1"/>
  <c r="BE10" i="17" s="1"/>
  <c r="AF35" i="17" l="1"/>
  <c r="M38" i="5"/>
  <c r="J60" i="45"/>
  <c r="J59" i="45"/>
  <c r="J58" i="45"/>
  <c r="J57" i="45"/>
  <c r="J56" i="45"/>
  <c r="J55" i="45"/>
  <c r="J54" i="45"/>
  <c r="J53" i="45"/>
  <c r="J52" i="45"/>
  <c r="J51" i="45"/>
  <c r="J50" i="45"/>
  <c r="J49" i="45"/>
  <c r="J48" i="45"/>
  <c r="J47" i="45"/>
  <c r="J46" i="45"/>
  <c r="J45" i="45"/>
  <c r="J44" i="45"/>
  <c r="J43" i="45"/>
  <c r="U35" i="44" l="1"/>
  <c r="U38" i="44" s="1"/>
  <c r="T35" i="44"/>
  <c r="T38" i="44" s="1"/>
  <c r="J74" i="45"/>
  <c r="J75" i="45" s="1"/>
  <c r="T39" i="44" l="1"/>
  <c r="U39" i="44"/>
  <c r="H86" i="15"/>
  <c r="H87" i="15"/>
  <c r="H88" i="15"/>
  <c r="H89" i="15"/>
  <c r="H90" i="15"/>
  <c r="H91" i="15"/>
  <c r="H92" i="15"/>
  <c r="L86" i="15"/>
  <c r="L87" i="15"/>
  <c r="L88" i="15"/>
  <c r="L89" i="15"/>
  <c r="L90" i="15"/>
  <c r="L91" i="15"/>
  <c r="L92" i="15"/>
  <c r="Y4" i="44" l="1"/>
  <c r="X4" i="44"/>
  <c r="B6" i="45" l="1"/>
  <c r="B7" i="45" s="1"/>
  <c r="B8" i="45" s="1"/>
  <c r="B9" i="45" s="1"/>
  <c r="B10" i="45" s="1"/>
  <c r="B11" i="45" s="1"/>
  <c r="B12" i="45" s="1"/>
  <c r="B13" i="45" s="1"/>
  <c r="B14" i="45" s="1"/>
  <c r="B15" i="45" s="1"/>
  <c r="B16" i="45" s="1"/>
  <c r="B17" i="45" s="1"/>
  <c r="B18" i="45" s="1"/>
  <c r="B19" i="45" s="1"/>
  <c r="B20" i="45" s="1"/>
  <c r="B21" i="45" s="1"/>
  <c r="B22" i="45" s="1"/>
  <c r="B23" i="45" s="1"/>
  <c r="B24" i="45" s="1"/>
  <c r="B25" i="45" s="1"/>
  <c r="B26" i="45" s="1"/>
  <c r="B27" i="45" s="1"/>
  <c r="B28" i="45" s="1"/>
  <c r="B29" i="45" s="1"/>
  <c r="B30" i="45" s="1"/>
  <c r="B31" i="45" s="1"/>
  <c r="B32" i="45" s="1"/>
  <c r="B33" i="45" s="1"/>
  <c r="B34" i="45" s="1"/>
  <c r="B35" i="45" s="1"/>
  <c r="C35" i="5" l="1"/>
  <c r="C35" i="25"/>
  <c r="C36" i="25" s="1"/>
  <c r="D35" i="25"/>
  <c r="P41" i="17"/>
  <c r="O41" i="17"/>
  <c r="N41" i="17"/>
  <c r="M41" i="17"/>
  <c r="L41" i="17"/>
  <c r="Q46" i="13"/>
  <c r="U42" i="5" l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C70" i="45" l="1"/>
  <c r="C68" i="45"/>
  <c r="C69" i="45"/>
  <c r="C71" i="45"/>
  <c r="L503" i="15" l="1"/>
  <c r="L504" i="15"/>
  <c r="L505" i="15"/>
  <c r="H503" i="15"/>
  <c r="H504" i="15"/>
  <c r="H505" i="15"/>
  <c r="AQ30" i="44" l="1"/>
  <c r="AQ31" i="44"/>
  <c r="AQ32" i="44"/>
  <c r="L322" i="15" l="1"/>
  <c r="H322" i="15"/>
  <c r="CH32" i="43" l="1"/>
  <c r="CH31" i="43"/>
  <c r="CH30" i="43"/>
  <c r="CH29" i="43"/>
  <c r="CH28" i="43"/>
  <c r="CH27" i="43"/>
  <c r="CH26" i="43"/>
  <c r="CH25" i="43"/>
  <c r="CH24" i="43"/>
  <c r="CH23" i="43"/>
  <c r="CH22" i="43"/>
  <c r="CH21" i="43"/>
  <c r="CH20" i="43"/>
  <c r="CH19" i="43"/>
  <c r="CH18" i="43"/>
  <c r="CH17" i="43"/>
  <c r="CH16" i="43"/>
  <c r="CH15" i="43"/>
  <c r="CH14" i="43"/>
  <c r="CH13" i="43"/>
  <c r="CH12" i="43"/>
  <c r="CH11" i="43"/>
  <c r="CH10" i="43"/>
  <c r="CH9" i="43"/>
  <c r="CH8" i="43"/>
  <c r="CH7" i="43"/>
  <c r="CH6" i="43"/>
  <c r="CH5" i="43"/>
  <c r="CH4" i="43"/>
  <c r="BL32" i="43"/>
  <c r="BL31" i="43"/>
  <c r="BL30" i="43"/>
  <c r="BL29" i="43"/>
  <c r="BL28" i="43"/>
  <c r="BL27" i="43"/>
  <c r="BL26" i="43"/>
  <c r="BL25" i="43"/>
  <c r="BL24" i="43"/>
  <c r="BL23" i="43"/>
  <c r="BL22" i="43"/>
  <c r="BL21" i="43"/>
  <c r="BL20" i="43"/>
  <c r="BL19" i="43"/>
  <c r="BL18" i="43"/>
  <c r="BL17" i="43"/>
  <c r="BL16" i="43"/>
  <c r="BL15" i="43"/>
  <c r="BL14" i="43"/>
  <c r="BL13" i="43"/>
  <c r="BL12" i="43"/>
  <c r="BL11" i="43"/>
  <c r="BL10" i="43"/>
  <c r="BL9" i="43"/>
  <c r="BL8" i="43"/>
  <c r="BL7" i="43"/>
  <c r="BL6" i="43"/>
  <c r="BL5" i="43"/>
  <c r="BL4" i="43"/>
  <c r="DA26" i="44"/>
  <c r="DA25" i="44"/>
  <c r="DA24" i="44"/>
  <c r="DA23" i="44"/>
  <c r="DA22" i="44"/>
  <c r="DA21" i="44"/>
  <c r="DA20" i="44"/>
  <c r="DA19" i="44"/>
  <c r="DA18" i="44"/>
  <c r="DA17" i="44"/>
  <c r="DA16" i="44"/>
  <c r="DA15" i="44"/>
  <c r="DA14" i="44"/>
  <c r="DA13" i="44"/>
  <c r="DA12" i="44"/>
  <c r="DA11" i="44"/>
  <c r="DA10" i="44"/>
  <c r="DA9" i="44"/>
  <c r="DA8" i="44"/>
  <c r="DA7" i="44"/>
  <c r="DA6" i="44"/>
  <c r="DA5" i="44"/>
  <c r="DA4" i="44"/>
  <c r="CE27" i="44"/>
  <c r="CE26" i="44"/>
  <c r="CE25" i="44"/>
  <c r="CE24" i="44"/>
  <c r="CE23" i="44"/>
  <c r="CE22" i="44"/>
  <c r="CE21" i="44"/>
  <c r="CE20" i="44"/>
  <c r="CE19" i="44"/>
  <c r="CE18" i="44"/>
  <c r="CE17" i="44"/>
  <c r="CE16" i="44"/>
  <c r="CE15" i="44"/>
  <c r="CE14" i="44"/>
  <c r="CE13" i="44"/>
  <c r="CE12" i="44"/>
  <c r="CE11" i="44"/>
  <c r="CE10" i="44"/>
  <c r="CE9" i="44"/>
  <c r="CE8" i="44"/>
  <c r="CE7" i="44"/>
  <c r="CE6" i="44"/>
  <c r="CE5" i="44"/>
  <c r="CE4" i="44"/>
  <c r="BZ32" i="17" l="1"/>
  <c r="CP32" i="44" s="1"/>
  <c r="BZ31" i="17"/>
  <c r="CP31" i="44" s="1"/>
  <c r="BZ30" i="17"/>
  <c r="CP30" i="44" s="1"/>
  <c r="BZ29" i="17"/>
  <c r="CP29" i="44" s="1"/>
  <c r="BZ28" i="17"/>
  <c r="CP28" i="44" s="1"/>
  <c r="BZ27" i="17"/>
  <c r="CP27" i="44" s="1"/>
  <c r="BZ26" i="17"/>
  <c r="CP26" i="44" s="1"/>
  <c r="BZ25" i="17"/>
  <c r="BZ24" i="17"/>
  <c r="BZ23" i="17"/>
  <c r="BZ22" i="17"/>
  <c r="BZ21" i="17"/>
  <c r="BZ20" i="17"/>
  <c r="BZ19" i="17"/>
  <c r="BZ18" i="17"/>
  <c r="BZ17" i="17"/>
  <c r="BZ16" i="17"/>
  <c r="BZ15" i="17"/>
  <c r="BZ14" i="17"/>
  <c r="BZ13" i="17"/>
  <c r="BZ12" i="17"/>
  <c r="BZ11" i="17"/>
  <c r="BZ10" i="17"/>
  <c r="BZ9" i="17"/>
  <c r="BZ8" i="17"/>
  <c r="BZ7" i="17"/>
  <c r="BZ6" i="17"/>
  <c r="BZ5" i="17"/>
  <c r="BZ4" i="17"/>
  <c r="B44" i="45"/>
  <c r="B45" i="45" s="1"/>
  <c r="B46" i="45" s="1"/>
  <c r="B47" i="45" s="1"/>
  <c r="B48" i="45" s="1"/>
  <c r="B49" i="45" s="1"/>
  <c r="B50" i="45" s="1"/>
  <c r="B51" i="45" s="1"/>
  <c r="B52" i="45" s="1"/>
  <c r="B53" i="45" s="1"/>
  <c r="B54" i="45" s="1"/>
  <c r="B55" i="45" s="1"/>
  <c r="B56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69" i="45" s="1"/>
  <c r="B70" i="45" s="1"/>
  <c r="B71" i="45" s="1"/>
  <c r="B72" i="45" s="1"/>
  <c r="B73" i="45" s="1"/>
  <c r="CP4" i="44" l="1"/>
  <c r="BW4" i="43"/>
  <c r="CP9" i="44"/>
  <c r="BW9" i="43"/>
  <c r="BW7" i="43"/>
  <c r="CP7" i="44"/>
  <c r="BW11" i="43"/>
  <c r="CP11" i="44"/>
  <c r="BW15" i="43"/>
  <c r="CP15" i="44"/>
  <c r="BW8" i="43"/>
  <c r="CP8" i="44"/>
  <c r="CP12" i="44"/>
  <c r="BW12" i="43"/>
  <c r="BW16" i="43"/>
  <c r="CP16" i="44"/>
  <c r="CP5" i="44"/>
  <c r="BW5" i="43"/>
  <c r="CP13" i="44"/>
  <c r="BW13" i="43"/>
  <c r="CP17" i="44"/>
  <c r="BW17" i="43"/>
  <c r="BW6" i="43"/>
  <c r="CP6" i="44"/>
  <c r="CP10" i="44"/>
  <c r="BW10" i="43"/>
  <c r="BW14" i="43"/>
  <c r="CP14" i="44"/>
  <c r="BW32" i="43"/>
  <c r="BW31" i="43"/>
  <c r="BW30" i="43"/>
  <c r="BW29" i="43"/>
  <c r="BW28" i="43"/>
  <c r="BW27" i="43"/>
  <c r="BW26" i="43"/>
  <c r="BW25" i="43"/>
  <c r="CP25" i="44"/>
  <c r="CP24" i="44"/>
  <c r="BW24" i="43"/>
  <c r="CP23" i="44"/>
  <c r="BW23" i="43"/>
  <c r="BW22" i="43"/>
  <c r="CP22" i="44"/>
  <c r="BW21" i="43"/>
  <c r="CP21" i="44"/>
  <c r="BW20" i="43"/>
  <c r="CP20" i="44"/>
  <c r="CP19" i="44"/>
  <c r="BW19" i="43"/>
  <c r="CP18" i="44"/>
  <c r="BW18" i="43"/>
  <c r="E7" i="19" l="1"/>
  <c r="R36" i="45" l="1"/>
  <c r="P36" i="45"/>
  <c r="K37" i="45"/>
  <c r="J37" i="45"/>
  <c r="I37" i="45"/>
  <c r="H37" i="45"/>
  <c r="G37" i="45"/>
  <c r="F37" i="45"/>
  <c r="E37" i="45"/>
  <c r="D37" i="45"/>
  <c r="C37" i="45"/>
  <c r="L35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L10" i="45"/>
  <c r="L9" i="45"/>
  <c r="L8" i="45"/>
  <c r="L7" i="45"/>
  <c r="L6" i="45"/>
  <c r="Q36" i="45"/>
  <c r="L5" i="45"/>
  <c r="X1" i="45"/>
  <c r="L36" i="45" l="1"/>
  <c r="L37" i="45" s="1"/>
  <c r="S5" i="45"/>
  <c r="U5" i="45" s="1"/>
  <c r="Z5" i="45"/>
  <c r="V5" i="45" l="1"/>
  <c r="AA5" i="45"/>
  <c r="S6" i="45"/>
  <c r="Z6" i="45"/>
  <c r="S7" i="45" l="1"/>
  <c r="U7" i="45" s="1"/>
  <c r="Z7" i="45"/>
  <c r="U6" i="45"/>
  <c r="AA7" i="45" l="1"/>
  <c r="V7" i="45"/>
  <c r="AA6" i="45"/>
  <c r="V6" i="45"/>
  <c r="Z8" i="45"/>
  <c r="S8" i="45"/>
  <c r="S9" i="45" l="1"/>
  <c r="U9" i="45" s="1"/>
  <c r="Z9" i="45"/>
  <c r="U8" i="45"/>
  <c r="V8" i="45" l="1"/>
  <c r="AA8" i="45"/>
  <c r="S10" i="45"/>
  <c r="Z10" i="45"/>
  <c r="AA9" i="45"/>
  <c r="V9" i="45"/>
  <c r="U10" i="45" l="1"/>
  <c r="S11" i="45"/>
  <c r="U11" i="45" s="1"/>
  <c r="Z11" i="45"/>
  <c r="AA11" i="45" l="1"/>
  <c r="V11" i="45"/>
  <c r="S12" i="45"/>
  <c r="U12" i="45" s="1"/>
  <c r="Z12" i="45"/>
  <c r="AA10" i="45"/>
  <c r="V10" i="45"/>
  <c r="Z13" i="45" l="1"/>
  <c r="S13" i="45"/>
  <c r="U13" i="45" s="1"/>
  <c r="AA12" i="45"/>
  <c r="V12" i="45"/>
  <c r="S14" i="45" l="1"/>
  <c r="U14" i="45" s="1"/>
  <c r="Z14" i="45"/>
  <c r="AA13" i="45"/>
  <c r="V13" i="45"/>
  <c r="V14" i="45" l="1"/>
  <c r="AA14" i="45"/>
  <c r="Z15" i="45"/>
  <c r="S15" i="45"/>
  <c r="U15" i="45" s="1"/>
  <c r="S16" i="45" l="1"/>
  <c r="U16" i="45" s="1"/>
  <c r="Z16" i="45"/>
  <c r="V15" i="45"/>
  <c r="AA15" i="45"/>
  <c r="Z17" i="45" l="1"/>
  <c r="S17" i="45"/>
  <c r="U17" i="45" s="1"/>
  <c r="AA16" i="45"/>
  <c r="V16" i="45"/>
  <c r="S18" i="45" l="1"/>
  <c r="U18" i="45" s="1"/>
  <c r="Z18" i="45"/>
  <c r="AA17" i="45"/>
  <c r="V17" i="45"/>
  <c r="V18" i="45" l="1"/>
  <c r="AA18" i="45"/>
  <c r="Z19" i="45"/>
  <c r="S19" i="45"/>
  <c r="U19" i="45" s="1"/>
  <c r="S20" i="45" l="1"/>
  <c r="U20" i="45" s="1"/>
  <c r="Z20" i="45"/>
  <c r="V19" i="45"/>
  <c r="AA19" i="45"/>
  <c r="Z21" i="45" l="1"/>
  <c r="S21" i="45"/>
  <c r="U21" i="45" s="1"/>
  <c r="AA20" i="45"/>
  <c r="V20" i="45"/>
  <c r="S22" i="45" l="1"/>
  <c r="U22" i="45" s="1"/>
  <c r="Z22" i="45"/>
  <c r="AA21" i="45"/>
  <c r="V21" i="45"/>
  <c r="V22" i="45" l="1"/>
  <c r="AA22" i="45"/>
  <c r="Z23" i="45"/>
  <c r="S23" i="45"/>
  <c r="U23" i="45" s="1"/>
  <c r="S24" i="45" l="1"/>
  <c r="U24" i="45" s="1"/>
  <c r="Z24" i="45"/>
  <c r="V23" i="45"/>
  <c r="AA23" i="45"/>
  <c r="Z25" i="45" l="1"/>
  <c r="S25" i="45"/>
  <c r="U25" i="45" s="1"/>
  <c r="AA24" i="45"/>
  <c r="V24" i="45"/>
  <c r="S26" i="45" l="1"/>
  <c r="U26" i="45" s="1"/>
  <c r="Z26" i="45"/>
  <c r="AA25" i="45"/>
  <c r="V25" i="45"/>
  <c r="V26" i="45" l="1"/>
  <c r="AA26" i="45"/>
  <c r="Z27" i="45"/>
  <c r="S27" i="45"/>
  <c r="U27" i="45" s="1"/>
  <c r="S28" i="45" l="1"/>
  <c r="U28" i="45" s="1"/>
  <c r="Z28" i="45"/>
  <c r="V27" i="45"/>
  <c r="AA27" i="45"/>
  <c r="Z29" i="45" l="1"/>
  <c r="S29" i="45"/>
  <c r="U29" i="45" s="1"/>
  <c r="AA28" i="45"/>
  <c r="V28" i="45"/>
  <c r="AA29" i="45" l="1"/>
  <c r="V29" i="45"/>
  <c r="S30" i="45"/>
  <c r="U30" i="45" s="1"/>
  <c r="Z30" i="45"/>
  <c r="Z31" i="45" l="1"/>
  <c r="S31" i="45"/>
  <c r="U31" i="45" s="1"/>
  <c r="V30" i="45"/>
  <c r="AA30" i="45"/>
  <c r="V31" i="45" l="1"/>
  <c r="AA31" i="45"/>
  <c r="S32" i="45"/>
  <c r="U32" i="45" s="1"/>
  <c r="Z32" i="45"/>
  <c r="Z33" i="45" l="1"/>
  <c r="S33" i="45"/>
  <c r="U33" i="45" s="1"/>
  <c r="AA32" i="45"/>
  <c r="V32" i="45"/>
  <c r="AA33" i="45" l="1"/>
  <c r="V33" i="45"/>
  <c r="S35" i="45"/>
  <c r="U35" i="45" s="1"/>
  <c r="Z35" i="45"/>
  <c r="V35" i="45" l="1"/>
  <c r="AA35" i="45"/>
  <c r="Z36" i="45"/>
  <c r="O36" i="45"/>
  <c r="S36" i="45" l="1"/>
  <c r="AA36" i="45" l="1"/>
  <c r="U36" i="45"/>
  <c r="V36" i="45" s="1"/>
  <c r="G60" i="45" l="1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BU5" i="17" l="1"/>
  <c r="BW5" i="17"/>
  <c r="BX5" i="17"/>
  <c r="BY5" i="17"/>
  <c r="CA5" i="17"/>
  <c r="CB5" i="17"/>
  <c r="BU6" i="17"/>
  <c r="BW6" i="17"/>
  <c r="BX6" i="17"/>
  <c r="CA6" i="17"/>
  <c r="CB6" i="17"/>
  <c r="BU7" i="17"/>
  <c r="BW7" i="17"/>
  <c r="BX7" i="17"/>
  <c r="CA7" i="17"/>
  <c r="CB7" i="17"/>
  <c r="BU8" i="17"/>
  <c r="BW8" i="17"/>
  <c r="BX8" i="17"/>
  <c r="BY8" i="17"/>
  <c r="CA8" i="17"/>
  <c r="CB8" i="17"/>
  <c r="BU9" i="17"/>
  <c r="BW9" i="17"/>
  <c r="BX9" i="17"/>
  <c r="BY9" i="17"/>
  <c r="CA9" i="17"/>
  <c r="CB9" i="17"/>
  <c r="BU10" i="17"/>
  <c r="BW10" i="17"/>
  <c r="BX10" i="17"/>
  <c r="BY10" i="17"/>
  <c r="CA10" i="17"/>
  <c r="CB10" i="17"/>
  <c r="BU11" i="17"/>
  <c r="BV11" i="17"/>
  <c r="BW11" i="17"/>
  <c r="BX11" i="17"/>
  <c r="BY11" i="17"/>
  <c r="CA11" i="17"/>
  <c r="CB11" i="17"/>
  <c r="BU12" i="17"/>
  <c r="BW12" i="17"/>
  <c r="BX12" i="17"/>
  <c r="BY12" i="17"/>
  <c r="CA12" i="17"/>
  <c r="CB12" i="17"/>
  <c r="BU13" i="17"/>
  <c r="BW13" i="17"/>
  <c r="BX13" i="17"/>
  <c r="BY13" i="17"/>
  <c r="CA13" i="17"/>
  <c r="CB13" i="17"/>
  <c r="BU14" i="17"/>
  <c r="BW14" i="17"/>
  <c r="BX14" i="17"/>
  <c r="BY14" i="17"/>
  <c r="CA14" i="17"/>
  <c r="CB14" i="17"/>
  <c r="BU15" i="17"/>
  <c r="BW15" i="17"/>
  <c r="BX15" i="17"/>
  <c r="BY15" i="17"/>
  <c r="CA15" i="17"/>
  <c r="CB15" i="17"/>
  <c r="BU16" i="17"/>
  <c r="BW16" i="17"/>
  <c r="BX16" i="17"/>
  <c r="BY16" i="17"/>
  <c r="CA16" i="17"/>
  <c r="CB16" i="17"/>
  <c r="BU17" i="17"/>
  <c r="BW17" i="17"/>
  <c r="BX17" i="17"/>
  <c r="BY17" i="17"/>
  <c r="CA17" i="17"/>
  <c r="CB17" i="17"/>
  <c r="BU18" i="17"/>
  <c r="BW18" i="17"/>
  <c r="BX18" i="17"/>
  <c r="BY18" i="17"/>
  <c r="CA18" i="17"/>
  <c r="CB18" i="17"/>
  <c r="BU19" i="17"/>
  <c r="BW19" i="17"/>
  <c r="BX19" i="17"/>
  <c r="BY19" i="17"/>
  <c r="CA19" i="17"/>
  <c r="CB19" i="17"/>
  <c r="BU20" i="17"/>
  <c r="BW20" i="17"/>
  <c r="BX20" i="17"/>
  <c r="BY20" i="17"/>
  <c r="CA20" i="17"/>
  <c r="CB20" i="17"/>
  <c r="BU21" i="17"/>
  <c r="BV21" i="17"/>
  <c r="BW21" i="17"/>
  <c r="BX21" i="17"/>
  <c r="BY21" i="17"/>
  <c r="CA21" i="17"/>
  <c r="CB21" i="17"/>
  <c r="BU22" i="17"/>
  <c r="BV22" i="17"/>
  <c r="BW22" i="17"/>
  <c r="BX22" i="17"/>
  <c r="BY22" i="17"/>
  <c r="CA22" i="17"/>
  <c r="CB22" i="17"/>
  <c r="BU23" i="17"/>
  <c r="BV23" i="17"/>
  <c r="BW23" i="17"/>
  <c r="BX23" i="17"/>
  <c r="BY23" i="17"/>
  <c r="CA23" i="17"/>
  <c r="CB23" i="17"/>
  <c r="BU24" i="17"/>
  <c r="BV24" i="17"/>
  <c r="BW24" i="17"/>
  <c r="BX24" i="17"/>
  <c r="BY24" i="17"/>
  <c r="CA24" i="17"/>
  <c r="CB24" i="17"/>
  <c r="BU25" i="17"/>
  <c r="BV25" i="17"/>
  <c r="BW25" i="17"/>
  <c r="BX25" i="17"/>
  <c r="BY25" i="17"/>
  <c r="CA25" i="17"/>
  <c r="CB25" i="17"/>
  <c r="BU26" i="17"/>
  <c r="CK26" i="44" s="1"/>
  <c r="BV26" i="17"/>
  <c r="CL26" i="44" s="1"/>
  <c r="BW26" i="17"/>
  <c r="CM26" i="44" s="1"/>
  <c r="BX26" i="17"/>
  <c r="CN26" i="44" s="1"/>
  <c r="BY26" i="17"/>
  <c r="CO26" i="44" s="1"/>
  <c r="CA26" i="17"/>
  <c r="CQ26" i="44" s="1"/>
  <c r="CB26" i="17"/>
  <c r="CR26" i="44" s="1"/>
  <c r="BU27" i="17"/>
  <c r="CK27" i="44" s="1"/>
  <c r="BV27" i="17"/>
  <c r="CL27" i="44" s="1"/>
  <c r="BW27" i="17"/>
  <c r="CM27" i="44" s="1"/>
  <c r="BX27" i="17"/>
  <c r="CN27" i="44" s="1"/>
  <c r="BY27" i="17"/>
  <c r="CO27" i="44" s="1"/>
  <c r="CA27" i="17"/>
  <c r="CQ27" i="44" s="1"/>
  <c r="CB27" i="17"/>
  <c r="CR27" i="44" s="1"/>
  <c r="BU28" i="17"/>
  <c r="CK28" i="44" s="1"/>
  <c r="BV28" i="17"/>
  <c r="CL28" i="44" s="1"/>
  <c r="BW28" i="17"/>
  <c r="CM28" i="44" s="1"/>
  <c r="BX28" i="17"/>
  <c r="CN28" i="44" s="1"/>
  <c r="BY28" i="17"/>
  <c r="CO28" i="44" s="1"/>
  <c r="CA28" i="17"/>
  <c r="CQ28" i="44" s="1"/>
  <c r="CB28" i="17"/>
  <c r="CR28" i="44" s="1"/>
  <c r="BU29" i="17"/>
  <c r="CK29" i="44" s="1"/>
  <c r="BV29" i="17"/>
  <c r="CL29" i="44" s="1"/>
  <c r="BW29" i="17"/>
  <c r="CM29" i="44" s="1"/>
  <c r="BX29" i="17"/>
  <c r="CN29" i="44" s="1"/>
  <c r="BY29" i="17"/>
  <c r="CO29" i="44" s="1"/>
  <c r="CA29" i="17"/>
  <c r="CQ29" i="44" s="1"/>
  <c r="CB29" i="17"/>
  <c r="CR29" i="44" s="1"/>
  <c r="BU30" i="17"/>
  <c r="CK30" i="44" s="1"/>
  <c r="BV30" i="17"/>
  <c r="CL30" i="44" s="1"/>
  <c r="BW30" i="17"/>
  <c r="CM30" i="44" s="1"/>
  <c r="BX30" i="17"/>
  <c r="CN30" i="44" s="1"/>
  <c r="BY30" i="17"/>
  <c r="CO30" i="44" s="1"/>
  <c r="CA30" i="17"/>
  <c r="CQ30" i="44" s="1"/>
  <c r="CB30" i="17"/>
  <c r="CR30" i="44" s="1"/>
  <c r="BU31" i="17"/>
  <c r="CK31" i="44" s="1"/>
  <c r="BV31" i="17"/>
  <c r="CL31" i="44" s="1"/>
  <c r="BW31" i="17"/>
  <c r="CM31" i="44" s="1"/>
  <c r="BX31" i="17"/>
  <c r="CN31" i="44" s="1"/>
  <c r="BY31" i="17"/>
  <c r="CO31" i="44" s="1"/>
  <c r="CA31" i="17"/>
  <c r="CQ31" i="44" s="1"/>
  <c r="CB31" i="17"/>
  <c r="CR31" i="44" s="1"/>
  <c r="BU32" i="17"/>
  <c r="CK32" i="44" s="1"/>
  <c r="BV32" i="17"/>
  <c r="CL32" i="44" s="1"/>
  <c r="BW32" i="17"/>
  <c r="CM32" i="44" s="1"/>
  <c r="BX32" i="17"/>
  <c r="CN32" i="44" s="1"/>
  <c r="BY32" i="17"/>
  <c r="CO32" i="44" s="1"/>
  <c r="CA32" i="17"/>
  <c r="CQ32" i="44" s="1"/>
  <c r="CB32" i="17"/>
  <c r="CR32" i="44" s="1"/>
  <c r="E21" i="19"/>
  <c r="I61" i="45"/>
  <c r="I62" i="45"/>
  <c r="I63" i="45"/>
  <c r="I64" i="45"/>
  <c r="I65" i="45"/>
  <c r="I66" i="45"/>
  <c r="I67" i="45"/>
  <c r="I68" i="45"/>
  <c r="I69" i="45"/>
  <c r="I70" i="45"/>
  <c r="I71" i="45"/>
  <c r="CN32" i="17"/>
  <c r="BR32" i="17"/>
  <c r="CN31" i="17"/>
  <c r="BR31" i="17"/>
  <c r="J526" i="15"/>
  <c r="F526" i="15"/>
  <c r="L525" i="15"/>
  <c r="H525" i="15"/>
  <c r="L524" i="15"/>
  <c r="H524" i="15"/>
  <c r="L523" i="15"/>
  <c r="H523" i="15"/>
  <c r="L522" i="15"/>
  <c r="H522" i="15"/>
  <c r="L521" i="15"/>
  <c r="H521" i="15"/>
  <c r="L520" i="15"/>
  <c r="H520" i="15"/>
  <c r="L512" i="15"/>
  <c r="H512" i="15"/>
  <c r="L511" i="15"/>
  <c r="H34" i="14" s="1"/>
  <c r="H511" i="15"/>
  <c r="E34" i="14" s="1"/>
  <c r="H71" i="45"/>
  <c r="T40" i="13"/>
  <c r="E29" i="44" s="1"/>
  <c r="T41" i="13"/>
  <c r="E30" i="44" s="1"/>
  <c r="T42" i="13"/>
  <c r="E31" i="44" s="1"/>
  <c r="H70" i="45"/>
  <c r="F70" i="45"/>
  <c r="F71" i="45"/>
  <c r="E70" i="45"/>
  <c r="E71" i="45"/>
  <c r="E31" i="10"/>
  <c r="V41" i="5"/>
  <c r="I34" i="44" l="1"/>
  <c r="AX34" i="44" s="1"/>
  <c r="G34" i="14"/>
  <c r="D34" i="14"/>
  <c r="AE34" i="44"/>
  <c r="BG34" i="44" s="1"/>
  <c r="T72" i="45"/>
  <c r="Z72" i="45" s="1"/>
  <c r="AK33" i="17"/>
  <c r="AA33" i="17" s="1"/>
  <c r="J33" i="14" s="1"/>
  <c r="D70" i="45"/>
  <c r="L70" i="45" s="1"/>
  <c r="O70" i="45"/>
  <c r="R70" i="45" s="1"/>
  <c r="D71" i="45"/>
  <c r="L71" i="45" s="1"/>
  <c r="O71" i="45"/>
  <c r="CS33" i="44"/>
  <c r="AO31" i="17"/>
  <c r="AO30" i="17"/>
  <c r="AO29" i="17"/>
  <c r="H526" i="15"/>
  <c r="G526" i="15" s="1"/>
  <c r="L526" i="15"/>
  <c r="CS31" i="44"/>
  <c r="CS30" i="44"/>
  <c r="CS32" i="44"/>
  <c r="CC31" i="17"/>
  <c r="CC32" i="17"/>
  <c r="X35" i="44"/>
  <c r="X38" i="44" s="1"/>
  <c r="J33" i="44" l="1"/>
  <c r="N33" i="44" s="1"/>
  <c r="AB33" i="17"/>
  <c r="K33" i="14" s="1"/>
  <c r="Y71" i="45"/>
  <c r="R71" i="45"/>
  <c r="K526" i="15"/>
  <c r="Y70" i="45"/>
  <c r="U40" i="5"/>
  <c r="N33" i="14" l="1"/>
  <c r="K33" i="44" s="1"/>
  <c r="O33" i="14"/>
  <c r="AG33" i="44" s="1"/>
  <c r="AF33" i="44"/>
  <c r="AH33" i="44" s="1"/>
  <c r="H422" i="15"/>
  <c r="AY33" i="44" l="1"/>
  <c r="AT37" i="44"/>
  <c r="DM16" i="44" l="1"/>
  <c r="DI16" i="44"/>
  <c r="DH16" i="44"/>
  <c r="DM15" i="44"/>
  <c r="DI15" i="44"/>
  <c r="DH15" i="44"/>
  <c r="DM14" i="44"/>
  <c r="DI14" i="44"/>
  <c r="DH14" i="44"/>
  <c r="DI13" i="44"/>
  <c r="DH13" i="44"/>
  <c r="DI12" i="44"/>
  <c r="DH12" i="44"/>
  <c r="DI11" i="44"/>
  <c r="DH11" i="44"/>
  <c r="DM10" i="44"/>
  <c r="DI10" i="44"/>
  <c r="DH10" i="44"/>
  <c r="DM9" i="44"/>
  <c r="DI9" i="44"/>
  <c r="DH9" i="44"/>
  <c r="DM8" i="44"/>
  <c r="DI8" i="44"/>
  <c r="DH8" i="44"/>
  <c r="DM7" i="44"/>
  <c r="DI7" i="44"/>
  <c r="DH7" i="44"/>
  <c r="DM6" i="44"/>
  <c r="DI6" i="44"/>
  <c r="DM5" i="44"/>
  <c r="DL5" i="44"/>
  <c r="DK5" i="44"/>
  <c r="DJ5" i="44"/>
  <c r="DI5" i="44"/>
  <c r="DH5" i="44"/>
  <c r="DG5" i="44"/>
  <c r="DL16" i="44" l="1"/>
  <c r="DG16" i="44"/>
  <c r="DL15" i="44"/>
  <c r="DG15" i="44"/>
  <c r="DL14" i="44"/>
  <c r="DG14" i="44"/>
  <c r="DL13" i="44"/>
  <c r="DG13" i="44"/>
  <c r="DK13" i="44"/>
  <c r="DL12" i="44"/>
  <c r="DG12" i="44"/>
  <c r="DL11" i="44"/>
  <c r="DG11" i="44"/>
  <c r="DK11" i="44"/>
  <c r="DL10" i="44"/>
  <c r="DG10" i="44"/>
  <c r="DL9" i="44"/>
  <c r="DG9" i="44"/>
  <c r="DL8" i="44"/>
  <c r="DG8" i="44"/>
  <c r="DL7" i="44"/>
  <c r="DG7" i="44"/>
  <c r="DL6" i="44"/>
  <c r="DH6" i="44"/>
  <c r="DG6" i="44"/>
  <c r="DM12" i="44"/>
  <c r="C45" i="44"/>
  <c r="DK10" i="44" l="1"/>
  <c r="DJ10" i="44"/>
  <c r="DK15" i="44"/>
  <c r="DJ15" i="44"/>
  <c r="DJ12" i="44"/>
  <c r="DK12" i="44"/>
  <c r="DJ9" i="44"/>
  <c r="DK9" i="44"/>
  <c r="DJ16" i="44"/>
  <c r="DK16" i="44"/>
  <c r="DJ8" i="44"/>
  <c r="DK8" i="44"/>
  <c r="DJ14" i="44"/>
  <c r="DK14" i="44"/>
  <c r="DM11" i="44"/>
  <c r="DJ13" i="44" l="1"/>
  <c r="DM13" i="44"/>
  <c r="DJ11" i="44"/>
  <c r="DJ7" i="44"/>
  <c r="DK7" i="44"/>
  <c r="DJ6" i="44"/>
  <c r="DK6" i="44"/>
  <c r="L62" i="15"/>
  <c r="L63" i="15"/>
  <c r="L64" i="15"/>
  <c r="H62" i="15"/>
  <c r="H63" i="15"/>
  <c r="H64" i="15"/>
  <c r="H44" i="15" l="1"/>
  <c r="H45" i="15"/>
  <c r="H46" i="15"/>
  <c r="H47" i="15"/>
  <c r="H48" i="15"/>
  <c r="AP35" i="44" l="1"/>
  <c r="AP38" i="44" s="1"/>
  <c r="AP39" i="44" l="1"/>
  <c r="AP40" i="44"/>
  <c r="G74" i="45" l="1"/>
  <c r="G75" i="45" s="1"/>
  <c r="P74" i="45"/>
  <c r="P75" i="45" s="1"/>
  <c r="Q74" i="45"/>
  <c r="Q75" i="45" l="1"/>
  <c r="Q76" i="45"/>
  <c r="Q77" i="45" s="1"/>
  <c r="K38" i="5" l="1"/>
  <c r="Z35" i="44"/>
  <c r="Z38" i="44" s="1"/>
  <c r="BH4" i="44"/>
  <c r="AA35" i="44" l="1"/>
  <c r="AA38" i="44" s="1"/>
  <c r="Z39" i="44"/>
  <c r="L275" i="15"/>
  <c r="H275" i="15"/>
  <c r="H258" i="15"/>
  <c r="L258" i="15"/>
  <c r="E17" i="11" l="1"/>
  <c r="E56" i="45" s="1"/>
  <c r="AA39" i="44" l="1"/>
  <c r="C56" i="45"/>
  <c r="C55" i="45"/>
  <c r="V42" i="5"/>
  <c r="CV12" i="44"/>
  <c r="L167" i="15" l="1"/>
  <c r="L168" i="15"/>
  <c r="L169" i="15"/>
  <c r="L170" i="15"/>
  <c r="L171" i="15"/>
  <c r="H167" i="15"/>
  <c r="H168" i="15"/>
  <c r="H169" i="15"/>
  <c r="H170" i="15"/>
  <c r="H171" i="15"/>
  <c r="L138" i="15" l="1"/>
  <c r="L131" i="15"/>
  <c r="L130" i="15"/>
  <c r="H138" i="15"/>
  <c r="H131" i="15"/>
  <c r="H130" i="15"/>
  <c r="H31" i="15" l="1"/>
  <c r="T16" i="13"/>
  <c r="E5" i="44" s="1"/>
  <c r="T17" i="13"/>
  <c r="E6" i="44" s="1"/>
  <c r="T18" i="13"/>
  <c r="E7" i="44" s="1"/>
  <c r="T19" i="13"/>
  <c r="E8" i="44" s="1"/>
  <c r="T20" i="13"/>
  <c r="E9" i="44" s="1"/>
  <c r="T21" i="13"/>
  <c r="E10" i="44" s="1"/>
  <c r="T22" i="13"/>
  <c r="E11" i="44" s="1"/>
  <c r="T23" i="13"/>
  <c r="E12" i="44" s="1"/>
  <c r="T24" i="13"/>
  <c r="E13" i="44" s="1"/>
  <c r="T25" i="13"/>
  <c r="E14" i="44" s="1"/>
  <c r="T26" i="13"/>
  <c r="E15" i="44" s="1"/>
  <c r="T27" i="13"/>
  <c r="E16" i="44" s="1"/>
  <c r="T28" i="13"/>
  <c r="E17" i="44" s="1"/>
  <c r="T29" i="13"/>
  <c r="E18" i="44" s="1"/>
  <c r="T30" i="13"/>
  <c r="E19" i="44" s="1"/>
  <c r="T31" i="13"/>
  <c r="E20" i="44" s="1"/>
  <c r="T32" i="13"/>
  <c r="E21" i="44" s="1"/>
  <c r="T33" i="13"/>
  <c r="E22" i="44" s="1"/>
  <c r="T34" i="13"/>
  <c r="E23" i="44" s="1"/>
  <c r="T35" i="13"/>
  <c r="E24" i="44" s="1"/>
  <c r="T36" i="13"/>
  <c r="E25" i="44" s="1"/>
  <c r="T37" i="13"/>
  <c r="E26" i="44" s="1"/>
  <c r="T38" i="13"/>
  <c r="E27" i="44" s="1"/>
  <c r="T39" i="13"/>
  <c r="E28" i="44" s="1"/>
  <c r="T43" i="13"/>
  <c r="E32" i="44" s="1"/>
  <c r="T44" i="13"/>
  <c r="T45" i="13"/>
  <c r="T15" i="13"/>
  <c r="E4" i="44" s="1"/>
  <c r="E34" i="44" l="1"/>
  <c r="AO34" i="17"/>
  <c r="AQ34" i="17" s="1"/>
  <c r="E33" i="44"/>
  <c r="AO33" i="17"/>
  <c r="AQ33" i="17" s="1"/>
  <c r="AO32" i="17"/>
  <c r="AO25" i="17"/>
  <c r="AO21" i="17"/>
  <c r="AO26" i="17"/>
  <c r="AO22" i="17"/>
  <c r="AO28" i="17"/>
  <c r="AO24" i="17"/>
  <c r="AO27" i="17"/>
  <c r="AO23" i="17"/>
  <c r="S46" i="13"/>
  <c r="E35" i="44" l="1"/>
  <c r="R46" i="13"/>
  <c r="Q47" i="13" s="1"/>
  <c r="T46" i="13"/>
  <c r="E38" i="44" l="1"/>
  <c r="E39" i="44" s="1"/>
  <c r="Y46" i="5"/>
  <c r="T46" i="5"/>
  <c r="G32" i="44" l="1"/>
  <c r="G12" i="44"/>
  <c r="G24" i="44"/>
  <c r="G22" i="44"/>
  <c r="G29" i="44"/>
  <c r="G13" i="44"/>
  <c r="G23" i="44"/>
  <c r="G30" i="44"/>
  <c r="AW30" i="44" s="1"/>
  <c r="G19" i="44"/>
  <c r="G28" i="44"/>
  <c r="G20" i="44"/>
  <c r="G16" i="44"/>
  <c r="G18" i="44"/>
  <c r="G25" i="44"/>
  <c r="G27" i="44"/>
  <c r="G15" i="44"/>
  <c r="G14" i="44"/>
  <c r="G21" i="44"/>
  <c r="G11" i="44"/>
  <c r="G26" i="44"/>
  <c r="G33" i="44"/>
  <c r="G17" i="44"/>
  <c r="G31" i="44"/>
  <c r="AW31" i="44" s="1"/>
  <c r="G5" i="44"/>
  <c r="G9" i="44"/>
  <c r="G8" i="44"/>
  <c r="G6" i="44"/>
  <c r="G10" i="44"/>
  <c r="G7" i="44"/>
  <c r="AW29" i="44"/>
  <c r="AW32" i="44"/>
  <c r="AW33" i="44"/>
  <c r="AR35" i="44"/>
  <c r="AR38" i="44" s="1"/>
  <c r="AR39" i="44" l="1"/>
  <c r="L457" i="15" l="1"/>
  <c r="L458" i="15"/>
  <c r="L459" i="15"/>
  <c r="L460" i="15"/>
  <c r="L461" i="15"/>
  <c r="H457" i="15"/>
  <c r="H458" i="15"/>
  <c r="H459" i="15"/>
  <c r="H460" i="15"/>
  <c r="H461" i="15"/>
  <c r="E24" i="11" l="1"/>
  <c r="E63" i="45" s="1"/>
  <c r="BB4" i="44" l="1"/>
  <c r="H35" i="11"/>
  <c r="K35" i="9"/>
  <c r="G37" i="11" l="1"/>
  <c r="H37" i="11"/>
  <c r="K36" i="9"/>
  <c r="BM22" i="44"/>
  <c r="X39" i="44" l="1"/>
  <c r="BR21" i="17"/>
  <c r="CN21" i="17"/>
  <c r="H324" i="15"/>
  <c r="BR20" i="17" l="1"/>
  <c r="C59" i="45" l="1"/>
  <c r="C58" i="45"/>
  <c r="C57" i="45"/>
  <c r="CN19" i="17"/>
  <c r="BR19" i="17"/>
  <c r="L292" i="15"/>
  <c r="C54" i="45" l="1"/>
  <c r="CV5" i="44"/>
  <c r="CW5" i="44"/>
  <c r="CX5" i="44"/>
  <c r="CY5" i="44"/>
  <c r="CZ5" i="44"/>
  <c r="DB5" i="44"/>
  <c r="DC5" i="44"/>
  <c r="CV6" i="44"/>
  <c r="CW6" i="44"/>
  <c r="CX6" i="44"/>
  <c r="CY6" i="44"/>
  <c r="CZ6" i="44"/>
  <c r="DB6" i="44"/>
  <c r="DC6" i="44"/>
  <c r="CV7" i="44"/>
  <c r="CW7" i="44"/>
  <c r="CX7" i="44"/>
  <c r="CY7" i="44"/>
  <c r="CZ7" i="44"/>
  <c r="DB7" i="44"/>
  <c r="DC7" i="44"/>
  <c r="CV8" i="44"/>
  <c r="CW8" i="44"/>
  <c r="CX8" i="44"/>
  <c r="CY8" i="44"/>
  <c r="CZ8" i="44"/>
  <c r="DB8" i="44"/>
  <c r="DC8" i="44"/>
  <c r="CV9" i="44"/>
  <c r="CW9" i="44"/>
  <c r="CX9" i="44"/>
  <c r="CY9" i="44"/>
  <c r="CZ9" i="44"/>
  <c r="DB9" i="44"/>
  <c r="DC9" i="44"/>
  <c r="CV10" i="44"/>
  <c r="CW10" i="44"/>
  <c r="CX10" i="44"/>
  <c r="CY10" i="44"/>
  <c r="CZ10" i="44"/>
  <c r="DB10" i="44"/>
  <c r="DC10" i="44"/>
  <c r="CV11" i="44"/>
  <c r="CW11" i="44"/>
  <c r="CX11" i="44"/>
  <c r="CY11" i="44"/>
  <c r="CZ11" i="44"/>
  <c r="DB11" i="44"/>
  <c r="DC11" i="44"/>
  <c r="CW12" i="44"/>
  <c r="CX12" i="44"/>
  <c r="CY12" i="44"/>
  <c r="CZ12" i="44"/>
  <c r="DB12" i="44"/>
  <c r="DC12" i="44"/>
  <c r="CV13" i="44"/>
  <c r="CW13" i="44"/>
  <c r="CX13" i="44"/>
  <c r="CY13" i="44"/>
  <c r="CZ13" i="44"/>
  <c r="DB13" i="44"/>
  <c r="DC13" i="44"/>
  <c r="CV14" i="44"/>
  <c r="CW14" i="44"/>
  <c r="CX14" i="44"/>
  <c r="CY14" i="44"/>
  <c r="CZ14" i="44"/>
  <c r="DB14" i="44"/>
  <c r="DC14" i="44"/>
  <c r="CV15" i="44"/>
  <c r="CW15" i="44"/>
  <c r="CX15" i="44"/>
  <c r="CY15" i="44"/>
  <c r="CZ15" i="44"/>
  <c r="DB15" i="44"/>
  <c r="DC15" i="44"/>
  <c r="CV16" i="44"/>
  <c r="CW16" i="44"/>
  <c r="CX16" i="44"/>
  <c r="CY16" i="44"/>
  <c r="CZ16" i="44"/>
  <c r="DB16" i="44"/>
  <c r="DC16" i="44"/>
  <c r="CV17" i="44"/>
  <c r="CW17" i="44"/>
  <c r="CX17" i="44"/>
  <c r="CY17" i="44"/>
  <c r="CZ17" i="44"/>
  <c r="DB17" i="44"/>
  <c r="DC17" i="44"/>
  <c r="CV18" i="44"/>
  <c r="CW18" i="44"/>
  <c r="CX18" i="44"/>
  <c r="CY18" i="44"/>
  <c r="CZ18" i="44"/>
  <c r="DB18" i="44"/>
  <c r="DC18" i="44"/>
  <c r="CV19" i="44"/>
  <c r="CW19" i="44"/>
  <c r="CX19" i="44"/>
  <c r="CY19" i="44"/>
  <c r="CZ19" i="44"/>
  <c r="DB19" i="44"/>
  <c r="DC19" i="44"/>
  <c r="CV20" i="44"/>
  <c r="CW20" i="44"/>
  <c r="CX20" i="44"/>
  <c r="CY20" i="44"/>
  <c r="CZ20" i="44"/>
  <c r="DB20" i="44"/>
  <c r="DC20" i="44"/>
  <c r="CV21" i="44"/>
  <c r="CW21" i="44"/>
  <c r="CX21" i="44"/>
  <c r="CY21" i="44"/>
  <c r="CZ21" i="44"/>
  <c r="DB21" i="44"/>
  <c r="DC21" i="44"/>
  <c r="CV22" i="44"/>
  <c r="CW22" i="44"/>
  <c r="CX22" i="44"/>
  <c r="CY22" i="44"/>
  <c r="CZ22" i="44"/>
  <c r="DB22" i="44"/>
  <c r="DC22" i="44"/>
  <c r="CV23" i="44"/>
  <c r="CW23" i="44"/>
  <c r="CX23" i="44"/>
  <c r="CY23" i="44"/>
  <c r="CZ23" i="44"/>
  <c r="DB23" i="44"/>
  <c r="DC23" i="44"/>
  <c r="CV24" i="44"/>
  <c r="CW24" i="44"/>
  <c r="CX24" i="44"/>
  <c r="CY24" i="44"/>
  <c r="CZ24" i="44"/>
  <c r="DB24" i="44"/>
  <c r="DC24" i="44"/>
  <c r="CV25" i="44"/>
  <c r="CW25" i="44"/>
  <c r="CX25" i="44"/>
  <c r="CY25" i="44"/>
  <c r="CZ25" i="44"/>
  <c r="DB25" i="44"/>
  <c r="DC25" i="44"/>
  <c r="CV26" i="44"/>
  <c r="CW26" i="44"/>
  <c r="CX26" i="44"/>
  <c r="CY26" i="44"/>
  <c r="CZ26" i="44"/>
  <c r="DB26" i="44"/>
  <c r="DC26" i="44"/>
  <c r="CW4" i="44"/>
  <c r="CX4" i="44"/>
  <c r="CY4" i="44"/>
  <c r="CZ4" i="44"/>
  <c r="DB4" i="44"/>
  <c r="DC4" i="44"/>
  <c r="CV4" i="44"/>
  <c r="CR21" i="44"/>
  <c r="CR22" i="44"/>
  <c r="CR23" i="44"/>
  <c r="CR24" i="44"/>
  <c r="CR25" i="44"/>
  <c r="BZ5" i="44"/>
  <c r="CA5" i="44"/>
  <c r="CB5" i="44"/>
  <c r="CC5" i="44"/>
  <c r="CD5" i="44"/>
  <c r="CF5" i="44"/>
  <c r="CG5" i="44"/>
  <c r="BZ6" i="44"/>
  <c r="CA6" i="44"/>
  <c r="CB6" i="44"/>
  <c r="CC6" i="44"/>
  <c r="CD6" i="44"/>
  <c r="CF6" i="44"/>
  <c r="CG6" i="44"/>
  <c r="BZ7" i="44"/>
  <c r="CA7" i="44"/>
  <c r="CB7" i="44"/>
  <c r="CC7" i="44"/>
  <c r="CD7" i="44"/>
  <c r="CF7" i="44"/>
  <c r="CG7" i="44"/>
  <c r="BZ8" i="44"/>
  <c r="CA8" i="44"/>
  <c r="CB8" i="44"/>
  <c r="CC8" i="44"/>
  <c r="CD8" i="44"/>
  <c r="CF8" i="44"/>
  <c r="CG8" i="44"/>
  <c r="BZ9" i="44"/>
  <c r="CA9" i="44"/>
  <c r="CB9" i="44"/>
  <c r="CC9" i="44"/>
  <c r="CD9" i="44"/>
  <c r="CF9" i="44"/>
  <c r="CG9" i="44"/>
  <c r="BZ10" i="44"/>
  <c r="CA10" i="44"/>
  <c r="CB10" i="44"/>
  <c r="CC10" i="44"/>
  <c r="CD10" i="44"/>
  <c r="CF10" i="44"/>
  <c r="CG10" i="44"/>
  <c r="BZ11" i="44"/>
  <c r="CA11" i="44"/>
  <c r="CB11" i="44"/>
  <c r="CC11" i="44"/>
  <c r="CD11" i="44"/>
  <c r="CF11" i="44"/>
  <c r="CG11" i="44"/>
  <c r="BZ12" i="44"/>
  <c r="CA12" i="44"/>
  <c r="CB12" i="44"/>
  <c r="CC12" i="44"/>
  <c r="CD12" i="44"/>
  <c r="CF12" i="44"/>
  <c r="CG12" i="44"/>
  <c r="BZ13" i="44"/>
  <c r="CA13" i="44"/>
  <c r="CB13" i="44"/>
  <c r="CC13" i="44"/>
  <c r="CD13" i="44"/>
  <c r="CF13" i="44"/>
  <c r="CG13" i="44"/>
  <c r="BZ14" i="44"/>
  <c r="CA14" i="44"/>
  <c r="CB14" i="44"/>
  <c r="CC14" i="44"/>
  <c r="CD14" i="44"/>
  <c r="CF14" i="44"/>
  <c r="CG14" i="44"/>
  <c r="BZ15" i="44"/>
  <c r="CA15" i="44"/>
  <c r="CB15" i="44"/>
  <c r="CC15" i="44"/>
  <c r="CD15" i="44"/>
  <c r="CF15" i="44"/>
  <c r="CG15" i="44"/>
  <c r="BZ16" i="44"/>
  <c r="CA16" i="44"/>
  <c r="CB16" i="44"/>
  <c r="CC16" i="44"/>
  <c r="CD16" i="44"/>
  <c r="CF16" i="44"/>
  <c r="CG16" i="44"/>
  <c r="BZ17" i="44"/>
  <c r="CA17" i="44"/>
  <c r="CB17" i="44"/>
  <c r="CC17" i="44"/>
  <c r="CD17" i="44"/>
  <c r="CF17" i="44"/>
  <c r="CG17" i="44"/>
  <c r="BZ18" i="44"/>
  <c r="CA18" i="44"/>
  <c r="CB18" i="44"/>
  <c r="CC18" i="44"/>
  <c r="CD18" i="44"/>
  <c r="CF18" i="44"/>
  <c r="CG18" i="44"/>
  <c r="BZ19" i="44"/>
  <c r="CA19" i="44"/>
  <c r="CB19" i="44"/>
  <c r="CC19" i="44"/>
  <c r="CD19" i="44"/>
  <c r="CF19" i="44"/>
  <c r="CG19" i="44"/>
  <c r="BZ20" i="44"/>
  <c r="CA20" i="44"/>
  <c r="CB20" i="44"/>
  <c r="CC20" i="44"/>
  <c r="CD20" i="44"/>
  <c r="CF20" i="44"/>
  <c r="CG20" i="44"/>
  <c r="BZ21" i="44"/>
  <c r="CA21" i="44"/>
  <c r="CB21" i="44"/>
  <c r="CC21" i="44"/>
  <c r="CD21" i="44"/>
  <c r="CF21" i="44"/>
  <c r="CG21" i="44"/>
  <c r="BZ22" i="44"/>
  <c r="CA22" i="44"/>
  <c r="CB22" i="44"/>
  <c r="CC22" i="44"/>
  <c r="CD22" i="44"/>
  <c r="CF22" i="44"/>
  <c r="CG22" i="44"/>
  <c r="BZ23" i="44"/>
  <c r="CA23" i="44"/>
  <c r="CB23" i="44"/>
  <c r="CC23" i="44"/>
  <c r="CD23" i="44"/>
  <c r="CF23" i="44"/>
  <c r="CG23" i="44"/>
  <c r="BZ24" i="44"/>
  <c r="CA24" i="44"/>
  <c r="CB24" i="44"/>
  <c r="CC24" i="44"/>
  <c r="CD24" i="44"/>
  <c r="CF24" i="44"/>
  <c r="CG24" i="44"/>
  <c r="BZ25" i="44"/>
  <c r="CA25" i="44"/>
  <c r="CB25" i="44"/>
  <c r="CC25" i="44"/>
  <c r="CD25" i="44"/>
  <c r="CF25" i="44"/>
  <c r="CG25" i="44"/>
  <c r="BZ26" i="44"/>
  <c r="CA26" i="44"/>
  <c r="CB26" i="44"/>
  <c r="CC26" i="44"/>
  <c r="CD26" i="44"/>
  <c r="CF26" i="44"/>
  <c r="CG26" i="44"/>
  <c r="BZ27" i="44"/>
  <c r="CA27" i="44"/>
  <c r="CB27" i="44"/>
  <c r="CC27" i="44"/>
  <c r="CD27" i="44"/>
  <c r="CF27" i="44"/>
  <c r="CG27" i="44"/>
  <c r="CA4" i="44"/>
  <c r="CB4" i="44"/>
  <c r="CC4" i="44"/>
  <c r="CD4" i="44"/>
  <c r="CF4" i="44"/>
  <c r="CG4" i="44"/>
  <c r="BZ4" i="44"/>
  <c r="BM5" i="44"/>
  <c r="BM6" i="44"/>
  <c r="BM7" i="44"/>
  <c r="BM8" i="44"/>
  <c r="BM9" i="44"/>
  <c r="BM10" i="44"/>
  <c r="BM11" i="44"/>
  <c r="BM12" i="44"/>
  <c r="BM13" i="44"/>
  <c r="BM14" i="44"/>
  <c r="BM15" i="44"/>
  <c r="BM16" i="44"/>
  <c r="BM17" i="44"/>
  <c r="BM18" i="44"/>
  <c r="BM19" i="44"/>
  <c r="BM20" i="44"/>
  <c r="BM21" i="44"/>
  <c r="BM23" i="44"/>
  <c r="BM24" i="44"/>
  <c r="BM25" i="44"/>
  <c r="BM26" i="44"/>
  <c r="BM27" i="44"/>
  <c r="BM4" i="44"/>
  <c r="H117" i="15"/>
  <c r="H118" i="15"/>
  <c r="H120" i="15"/>
  <c r="AK4" i="44" l="1"/>
  <c r="BT4" i="44" s="1"/>
  <c r="AQ5" i="44"/>
  <c r="AQ6" i="44"/>
  <c r="AQ7" i="44"/>
  <c r="AQ8" i="44"/>
  <c r="AQ9" i="44"/>
  <c r="AQ10" i="44"/>
  <c r="AQ11" i="44"/>
  <c r="AQ12" i="44"/>
  <c r="AQ13" i="44"/>
  <c r="AQ15" i="44"/>
  <c r="AQ16" i="44"/>
  <c r="AQ17" i="44"/>
  <c r="AQ18" i="44"/>
  <c r="AQ19" i="44"/>
  <c r="AQ20" i="44"/>
  <c r="AQ21" i="44"/>
  <c r="AQ22" i="44"/>
  <c r="AQ23" i="44"/>
  <c r="AQ24" i="44"/>
  <c r="AQ25" i="44"/>
  <c r="AQ26" i="44"/>
  <c r="AQ27" i="44"/>
  <c r="AQ28" i="44"/>
  <c r="AQ29" i="44"/>
  <c r="Q5" i="44"/>
  <c r="Q6" i="44" s="1"/>
  <c r="Q7" i="44" s="1"/>
  <c r="Q8" i="44" s="1"/>
  <c r="Q9" i="44" s="1"/>
  <c r="Q10" i="44" s="1"/>
  <c r="Q11" i="44" s="1"/>
  <c r="Q12" i="44" s="1"/>
  <c r="Q13" i="44" s="1"/>
  <c r="Q14" i="44" s="1"/>
  <c r="Q15" i="44" s="1"/>
  <c r="Q16" i="44" s="1"/>
  <c r="Q17" i="44" s="1"/>
  <c r="Q18" i="44" s="1"/>
  <c r="Q19" i="44" s="1"/>
  <c r="Q20" i="44" s="1"/>
  <c r="Q21" i="44" s="1"/>
  <c r="Q22" i="44" s="1"/>
  <c r="Q23" i="44" s="1"/>
  <c r="Q24" i="44" s="1"/>
  <c r="Q25" i="44" s="1"/>
  <c r="Q26" i="44" s="1"/>
  <c r="Q27" i="44" s="1"/>
  <c r="Q28" i="44" s="1"/>
  <c r="Q29" i="44" s="1"/>
  <c r="Q30" i="44" s="1"/>
  <c r="Q31" i="44" s="1"/>
  <c r="Q32" i="44" s="1"/>
  <c r="Q33" i="44" s="1"/>
  <c r="Q34" i="44" s="1"/>
  <c r="J509" i="15"/>
  <c r="F32" i="14" s="1"/>
  <c r="L508" i="15"/>
  <c r="L507" i="15"/>
  <c r="L506" i="15"/>
  <c r="L502" i="15"/>
  <c r="L501" i="15"/>
  <c r="L500" i="15"/>
  <c r="L499" i="15"/>
  <c r="L498" i="15"/>
  <c r="L497" i="15"/>
  <c r="J495" i="15"/>
  <c r="F31" i="14" s="1"/>
  <c r="L494" i="15"/>
  <c r="L493" i="15"/>
  <c r="L492" i="15"/>
  <c r="L491" i="15"/>
  <c r="L490" i="15"/>
  <c r="L489" i="15"/>
  <c r="L488" i="15"/>
  <c r="L487" i="15"/>
  <c r="L486" i="15"/>
  <c r="L485" i="15"/>
  <c r="L484" i="15"/>
  <c r="L471" i="15"/>
  <c r="L470" i="15"/>
  <c r="L469" i="15"/>
  <c r="J467" i="15"/>
  <c r="F30" i="14" s="1"/>
  <c r="L466" i="15"/>
  <c r="L465" i="15"/>
  <c r="L464" i="15"/>
  <c r="L463" i="15"/>
  <c r="L462" i="15"/>
  <c r="L456" i="15"/>
  <c r="L455" i="15"/>
  <c r="L454" i="15"/>
  <c r="L453" i="15"/>
  <c r="L452" i="15"/>
  <c r="L451" i="15"/>
  <c r="L450" i="15"/>
  <c r="L449" i="15"/>
  <c r="J447" i="15"/>
  <c r="F29" i="14" s="1"/>
  <c r="L446" i="15"/>
  <c r="L445" i="15"/>
  <c r="L444" i="15"/>
  <c r="L443" i="15"/>
  <c r="L442" i="15"/>
  <c r="L441" i="15"/>
  <c r="L434" i="15"/>
  <c r="L433" i="15"/>
  <c r="L432" i="15"/>
  <c r="J430" i="15"/>
  <c r="F28" i="14" s="1"/>
  <c r="L429" i="15"/>
  <c r="L428" i="15"/>
  <c r="L427" i="15"/>
  <c r="L426" i="15"/>
  <c r="L425" i="15"/>
  <c r="L424" i="15"/>
  <c r="L423" i="15"/>
  <c r="L421" i="15"/>
  <c r="L420" i="15"/>
  <c r="L419" i="15"/>
  <c r="L418" i="15"/>
  <c r="L417" i="15"/>
  <c r="J415" i="15"/>
  <c r="F27" i="14" s="1"/>
  <c r="L414" i="15"/>
  <c r="L413" i="15"/>
  <c r="L412" i="15"/>
  <c r="L411" i="15"/>
  <c r="L410" i="15"/>
  <c r="L409" i="15"/>
  <c r="L408" i="15"/>
  <c r="L407" i="15"/>
  <c r="L406" i="15"/>
  <c r="L405" i="15"/>
  <c r="L404" i="15"/>
  <c r="L403" i="15"/>
  <c r="J401" i="15"/>
  <c r="F26" i="14" s="1"/>
  <c r="L400" i="15"/>
  <c r="L399" i="15"/>
  <c r="L398" i="15"/>
  <c r="L397" i="15"/>
  <c r="L396" i="15"/>
  <c r="L395" i="15"/>
  <c r="L394" i="15"/>
  <c r="L393" i="15"/>
  <c r="L392" i="15"/>
  <c r="L391" i="15"/>
  <c r="L390" i="15"/>
  <c r="L389" i="15"/>
  <c r="L388" i="15"/>
  <c r="L387" i="15"/>
  <c r="J385" i="15"/>
  <c r="F25" i="14" s="1"/>
  <c r="L384" i="15"/>
  <c r="L383" i="15"/>
  <c r="L382" i="15"/>
  <c r="L381" i="15"/>
  <c r="L380" i="15"/>
  <c r="L379" i="15"/>
  <c r="L378" i="15"/>
  <c r="L377" i="15"/>
  <c r="L376" i="15"/>
  <c r="L375" i="15"/>
  <c r="L374" i="15"/>
  <c r="L373" i="15"/>
  <c r="L372" i="15"/>
  <c r="J370" i="15"/>
  <c r="F24" i="14" s="1"/>
  <c r="L369" i="15"/>
  <c r="L368" i="15"/>
  <c r="L367" i="15"/>
  <c r="L366" i="15"/>
  <c r="L365" i="15"/>
  <c r="L364" i="15"/>
  <c r="L363" i="15"/>
  <c r="L362" i="15"/>
  <c r="L361" i="15"/>
  <c r="L360" i="15"/>
  <c r="L359" i="15"/>
  <c r="L358" i="15"/>
  <c r="L357" i="15"/>
  <c r="J355" i="15"/>
  <c r="F23" i="14" s="1"/>
  <c r="L354" i="15"/>
  <c r="L353" i="15"/>
  <c r="L352" i="15"/>
  <c r="L351" i="15"/>
  <c r="L350" i="15"/>
  <c r="L349" i="15"/>
  <c r="L348" i="15"/>
  <c r="L347" i="15"/>
  <c r="L346" i="15"/>
  <c r="L345" i="15"/>
  <c r="L344" i="15"/>
  <c r="L343" i="15"/>
  <c r="L342" i="15"/>
  <c r="L341" i="15"/>
  <c r="J339" i="15"/>
  <c r="F22" i="14" s="1"/>
  <c r="L338" i="15"/>
  <c r="L337" i="15"/>
  <c r="L336" i="15"/>
  <c r="L335" i="15"/>
  <c r="L334" i="15"/>
  <c r="L333" i="15"/>
  <c r="L332" i="15"/>
  <c r="J330" i="15"/>
  <c r="F21" i="14" s="1"/>
  <c r="L329" i="15"/>
  <c r="L328" i="15"/>
  <c r="L327" i="15"/>
  <c r="L326" i="15"/>
  <c r="L325" i="15"/>
  <c r="L324" i="15"/>
  <c r="L323" i="15"/>
  <c r="L321" i="15"/>
  <c r="L320" i="15"/>
  <c r="L319" i="15"/>
  <c r="J317" i="15"/>
  <c r="F20" i="14" s="1"/>
  <c r="L316" i="15"/>
  <c r="L315" i="15"/>
  <c r="L314" i="15"/>
  <c r="L313" i="15"/>
  <c r="L311" i="15"/>
  <c r="L310" i="15"/>
  <c r="L309" i="15"/>
  <c r="L308" i="15"/>
  <c r="L307" i="15"/>
  <c r="L306" i="15"/>
  <c r="L305" i="15"/>
  <c r="L304" i="15"/>
  <c r="L303" i="15"/>
  <c r="L302" i="15"/>
  <c r="L301" i="15"/>
  <c r="J299" i="15"/>
  <c r="F19" i="14" s="1"/>
  <c r="L298" i="15"/>
  <c r="L297" i="15"/>
  <c r="L295" i="15"/>
  <c r="L294" i="15"/>
  <c r="L293" i="15"/>
  <c r="L291" i="15"/>
  <c r="L290" i="15"/>
  <c r="L289" i="15"/>
  <c r="L288" i="15"/>
  <c r="L287" i="15"/>
  <c r="J285" i="15"/>
  <c r="F18" i="14" s="1"/>
  <c r="L284" i="15"/>
  <c r="L283" i="15"/>
  <c r="L282" i="15"/>
  <c r="L281" i="15"/>
  <c r="L280" i="15"/>
  <c r="L279" i="15"/>
  <c r="L276" i="15"/>
  <c r="L274" i="15"/>
  <c r="L273" i="15"/>
  <c r="L272" i="15"/>
  <c r="L271" i="15"/>
  <c r="L270" i="15"/>
  <c r="L269" i="15"/>
  <c r="J267" i="15"/>
  <c r="F17" i="14" s="1"/>
  <c r="L266" i="15"/>
  <c r="L265" i="15"/>
  <c r="L264" i="15"/>
  <c r="L263" i="15"/>
  <c r="L262" i="15"/>
  <c r="L261" i="15"/>
  <c r="L260" i="15"/>
  <c r="L259" i="15"/>
  <c r="L257" i="15"/>
  <c r="L256" i="15"/>
  <c r="L255" i="15"/>
  <c r="L254" i="15"/>
  <c r="L253" i="15"/>
  <c r="L252" i="15"/>
  <c r="L251" i="15"/>
  <c r="J249" i="15"/>
  <c r="F16" i="14" s="1"/>
  <c r="L248" i="15"/>
  <c r="L247" i="15"/>
  <c r="L246" i="15"/>
  <c r="L245" i="15"/>
  <c r="L244" i="15"/>
  <c r="L243" i="15"/>
  <c r="L242" i="15"/>
  <c r="L236" i="15"/>
  <c r="L235" i="15"/>
  <c r="L234" i="15"/>
  <c r="J232" i="15"/>
  <c r="F15" i="14" s="1"/>
  <c r="L231" i="15"/>
  <c r="L230" i="15"/>
  <c r="L229" i="15"/>
  <c r="L228" i="15"/>
  <c r="L227" i="15"/>
  <c r="L217" i="15"/>
  <c r="L216" i="15"/>
  <c r="L215" i="15"/>
  <c r="J213" i="15"/>
  <c r="F14" i="14" s="1"/>
  <c r="L212" i="15"/>
  <c r="L211" i="15"/>
  <c r="L210" i="15"/>
  <c r="L209" i="15"/>
  <c r="L201" i="15"/>
  <c r="L200" i="15"/>
  <c r="L199" i="15"/>
  <c r="J197" i="15"/>
  <c r="F13" i="14" s="1"/>
  <c r="L196" i="15"/>
  <c r="L195" i="15"/>
  <c r="L194" i="15"/>
  <c r="L193" i="15"/>
  <c r="L192" i="15"/>
  <c r="L191" i="15"/>
  <c r="L190" i="15"/>
  <c r="L189" i="15"/>
  <c r="L188" i="15"/>
  <c r="L187" i="15"/>
  <c r="L182" i="15"/>
  <c r="L181" i="15"/>
  <c r="J179" i="15"/>
  <c r="F12" i="14" s="1"/>
  <c r="L178" i="15"/>
  <c r="L177" i="15"/>
  <c r="L176" i="15"/>
  <c r="L175" i="15"/>
  <c r="L174" i="15"/>
  <c r="L173" i="15"/>
  <c r="L172" i="15"/>
  <c r="L165" i="15"/>
  <c r="L164" i="15"/>
  <c r="J162" i="15"/>
  <c r="F11" i="14" s="1"/>
  <c r="L161" i="15"/>
  <c r="L160" i="15"/>
  <c r="L159" i="15"/>
  <c r="L158" i="15"/>
  <c r="L156" i="15"/>
  <c r="L148" i="15"/>
  <c r="L147" i="15"/>
  <c r="L146" i="15"/>
  <c r="L145" i="15"/>
  <c r="J143" i="15"/>
  <c r="F10" i="14" s="1"/>
  <c r="L142" i="15"/>
  <c r="L141" i="15"/>
  <c r="L140" i="15"/>
  <c r="L139" i="15"/>
  <c r="L129" i="15"/>
  <c r="L128" i="15"/>
  <c r="L127" i="15"/>
  <c r="L126" i="15"/>
  <c r="L125" i="15"/>
  <c r="J123" i="15"/>
  <c r="F9" i="14" s="1"/>
  <c r="L122" i="15"/>
  <c r="L121" i="15"/>
  <c r="L120" i="15"/>
  <c r="L118" i="15"/>
  <c r="L117" i="15"/>
  <c r="L104" i="15"/>
  <c r="L103" i="15"/>
  <c r="J101" i="15"/>
  <c r="F8" i="14" s="1"/>
  <c r="L100" i="15"/>
  <c r="L99" i="15"/>
  <c r="L98" i="15"/>
  <c r="L97" i="15"/>
  <c r="L96" i="15"/>
  <c r="L94" i="15"/>
  <c r="L93" i="15"/>
  <c r="L85" i="15"/>
  <c r="L84" i="15"/>
  <c r="L83" i="15"/>
  <c r="J81" i="15"/>
  <c r="F7" i="14" s="1"/>
  <c r="L79" i="15"/>
  <c r="L78" i="15"/>
  <c r="L76" i="15"/>
  <c r="L75" i="15"/>
  <c r="L74" i="15"/>
  <c r="L73" i="15"/>
  <c r="L61" i="15"/>
  <c r="L60" i="15"/>
  <c r="L59" i="15"/>
  <c r="J57" i="15"/>
  <c r="F6" i="14" s="1"/>
  <c r="L56" i="15"/>
  <c r="L55" i="15"/>
  <c r="L54" i="15"/>
  <c r="L53" i="15"/>
  <c r="L52" i="15"/>
  <c r="L51" i="15"/>
  <c r="L50" i="15"/>
  <c r="L49" i="15"/>
  <c r="L43" i="15"/>
  <c r="L42" i="15"/>
  <c r="L41" i="15"/>
  <c r="L40" i="15"/>
  <c r="J38" i="15"/>
  <c r="F5" i="14" s="1"/>
  <c r="L37" i="15"/>
  <c r="L36" i="15"/>
  <c r="L35" i="15"/>
  <c r="L34" i="15"/>
  <c r="L33" i="15"/>
  <c r="L32" i="15"/>
  <c r="L26" i="15"/>
  <c r="L25" i="15"/>
  <c r="L24" i="15"/>
  <c r="L23" i="15"/>
  <c r="L22" i="15"/>
  <c r="J20" i="15"/>
  <c r="F4" i="14" s="1"/>
  <c r="H4" i="44" s="1"/>
  <c r="L19" i="15"/>
  <c r="L18" i="15"/>
  <c r="L17" i="15"/>
  <c r="L16" i="15"/>
  <c r="L15" i="15"/>
  <c r="L14" i="15"/>
  <c r="L13" i="15"/>
  <c r="L12" i="15"/>
  <c r="L11" i="15"/>
  <c r="L10" i="15"/>
  <c r="L9" i="15"/>
  <c r="CH27" i="44"/>
  <c r="DD26" i="44"/>
  <c r="CH26" i="44"/>
  <c r="DD25" i="44"/>
  <c r="CH25" i="44"/>
  <c r="DD24" i="44"/>
  <c r="CH24" i="44"/>
  <c r="DD23" i="44"/>
  <c r="CH23" i="44"/>
  <c r="DD22" i="44"/>
  <c r="CH22" i="44"/>
  <c r="DD21" i="44"/>
  <c r="CH21" i="44"/>
  <c r="DD20" i="44"/>
  <c r="CH20" i="44"/>
  <c r="DD19" i="44"/>
  <c r="CH19" i="44"/>
  <c r="DD18" i="44"/>
  <c r="CH18" i="44"/>
  <c r="DD17" i="44"/>
  <c r="CH17" i="44"/>
  <c r="BN17" i="44"/>
  <c r="DD16" i="44"/>
  <c r="CH16" i="44"/>
  <c r="DD15" i="44"/>
  <c r="CH15" i="44"/>
  <c r="DD14" i="44"/>
  <c r="CH14" i="44"/>
  <c r="DD13" i="44"/>
  <c r="CH13" i="44"/>
  <c r="DD12" i="44"/>
  <c r="CH12" i="44"/>
  <c r="DD11" i="44"/>
  <c r="CH11" i="44"/>
  <c r="DD10" i="44"/>
  <c r="CH10" i="44"/>
  <c r="DD9" i="44"/>
  <c r="CH9" i="44"/>
  <c r="DD8" i="44"/>
  <c r="CH8" i="44"/>
  <c r="DD7" i="44"/>
  <c r="CH7" i="44"/>
  <c r="DD6" i="44"/>
  <c r="CH6" i="44"/>
  <c r="DD5" i="44"/>
  <c r="CH5" i="44"/>
  <c r="B5" i="44"/>
  <c r="B6" i="44" s="1"/>
  <c r="B7" i="44" s="1"/>
  <c r="B8" i="44" s="1"/>
  <c r="B9" i="44" s="1"/>
  <c r="B10" i="44" s="1"/>
  <c r="B11" i="44" s="1"/>
  <c r="B12" i="44" s="1"/>
  <c r="B13" i="44" s="1"/>
  <c r="B14" i="44" s="1"/>
  <c r="B15" i="44" s="1"/>
  <c r="B16" i="44" s="1"/>
  <c r="B17" i="44" s="1"/>
  <c r="B18" i="44" s="1"/>
  <c r="B19" i="44" s="1"/>
  <c r="B20" i="44" s="1"/>
  <c r="B21" i="44" s="1"/>
  <c r="B22" i="44" s="1"/>
  <c r="B23" i="44" s="1"/>
  <c r="B24" i="44" s="1"/>
  <c r="B25" i="44" s="1"/>
  <c r="B26" i="44" s="1"/>
  <c r="B27" i="44" s="1"/>
  <c r="B28" i="44" s="1"/>
  <c r="B29" i="44" s="1"/>
  <c r="B30" i="44" s="1"/>
  <c r="B31" i="44" s="1"/>
  <c r="B32" i="44" s="1"/>
  <c r="B33" i="44" s="1"/>
  <c r="B34" i="44" s="1"/>
  <c r="DD4" i="44"/>
  <c r="CH4" i="44"/>
  <c r="Z22" i="17" l="1"/>
  <c r="H22" i="44"/>
  <c r="Z11" i="17"/>
  <c r="H11" i="44"/>
  <c r="Z24" i="17"/>
  <c r="H24" i="44"/>
  <c r="Z32" i="17"/>
  <c r="H32" i="44"/>
  <c r="Z18" i="17"/>
  <c r="H18" i="44"/>
  <c r="H26" i="44"/>
  <c r="Z26" i="17"/>
  <c r="Z29" i="17"/>
  <c r="H29" i="44"/>
  <c r="Z13" i="17"/>
  <c r="H13" i="44"/>
  <c r="H14" i="44"/>
  <c r="Z14" i="17"/>
  <c r="Z16" i="17"/>
  <c r="H16" i="44"/>
  <c r="Z17" i="17"/>
  <c r="H17" i="44"/>
  <c r="H21" i="44"/>
  <c r="Z21" i="17"/>
  <c r="Z28" i="17"/>
  <c r="H28" i="44"/>
  <c r="Z30" i="17"/>
  <c r="H30" i="44"/>
  <c r="H8" i="44"/>
  <c r="Z8" i="17"/>
  <c r="H9" i="44"/>
  <c r="Z9" i="17"/>
  <c r="H15" i="44"/>
  <c r="Z15" i="17"/>
  <c r="Z19" i="17"/>
  <c r="H19" i="44"/>
  <c r="Z20" i="17"/>
  <c r="H20" i="44"/>
  <c r="Z5" i="17"/>
  <c r="H5" i="44"/>
  <c r="Z10" i="17"/>
  <c r="H10" i="44"/>
  <c r="Z12" i="17"/>
  <c r="H12" i="44"/>
  <c r="Z23" i="17"/>
  <c r="H23" i="44"/>
  <c r="H25" i="44"/>
  <c r="Z25" i="17"/>
  <c r="Z27" i="17"/>
  <c r="H27" i="44"/>
  <c r="Z31" i="17"/>
  <c r="H31" i="44"/>
  <c r="F35" i="14"/>
  <c r="Z7" i="17"/>
  <c r="H7" i="44"/>
  <c r="Z6" i="17"/>
  <c r="H6" i="44"/>
  <c r="N250" i="15"/>
  <c r="BI4" i="44"/>
  <c r="L495" i="15"/>
  <c r="L38" i="15"/>
  <c r="K38" i="15" s="1"/>
  <c r="L509" i="15"/>
  <c r="L415" i="15"/>
  <c r="K415" i="15" s="1"/>
  <c r="L385" i="15"/>
  <c r="K385" i="15" s="1"/>
  <c r="AU4" i="44"/>
  <c r="AU5" i="44" s="1"/>
  <c r="AU6" i="44" s="1"/>
  <c r="AU7" i="44" s="1"/>
  <c r="AU8" i="44" s="1"/>
  <c r="AU9" i="44" s="1"/>
  <c r="AU10" i="44" s="1"/>
  <c r="AU11" i="44" s="1"/>
  <c r="AU12" i="44" s="1"/>
  <c r="AU13" i="44" s="1"/>
  <c r="AU14" i="44" s="1"/>
  <c r="AU15" i="44" s="1"/>
  <c r="AU16" i="44" s="1"/>
  <c r="AU17" i="44" s="1"/>
  <c r="AU18" i="44" s="1"/>
  <c r="AU19" i="44" s="1"/>
  <c r="AU20" i="44" s="1"/>
  <c r="AU21" i="44" s="1"/>
  <c r="AU22" i="44" s="1"/>
  <c r="AU23" i="44" s="1"/>
  <c r="AU24" i="44" s="1"/>
  <c r="AU25" i="44" s="1"/>
  <c r="AU26" i="44" s="1"/>
  <c r="AU27" i="44" s="1"/>
  <c r="AU28" i="44" s="1"/>
  <c r="AU29" i="44" s="1"/>
  <c r="AU30" i="44" s="1"/>
  <c r="AU31" i="44" s="1"/>
  <c r="AU32" i="44" s="1"/>
  <c r="AU33" i="44" s="1"/>
  <c r="AU34" i="44" s="1"/>
  <c r="L355" i="15"/>
  <c r="K355" i="15" s="1"/>
  <c r="L197" i="15"/>
  <c r="K197" i="15" s="1"/>
  <c r="L143" i="15"/>
  <c r="H10" i="14" s="1"/>
  <c r="I10" i="44" s="1"/>
  <c r="L330" i="15"/>
  <c r="K330" i="15" s="1"/>
  <c r="L339" i="15"/>
  <c r="L370" i="15"/>
  <c r="L430" i="15"/>
  <c r="L123" i="15"/>
  <c r="K123" i="15" s="1"/>
  <c r="L447" i="15"/>
  <c r="L467" i="15"/>
  <c r="L57" i="15"/>
  <c r="L299" i="15"/>
  <c r="K299" i="15" s="1"/>
  <c r="L401" i="15"/>
  <c r="L317" i="15"/>
  <c r="L285" i="15"/>
  <c r="H18" i="14" s="1"/>
  <c r="I18" i="44" s="1"/>
  <c r="L267" i="15"/>
  <c r="L249" i="15"/>
  <c r="L232" i="15"/>
  <c r="L213" i="15"/>
  <c r="L179" i="15"/>
  <c r="L162" i="15"/>
  <c r="AK5" i="44"/>
  <c r="AK6" i="44" s="1"/>
  <c r="AK7" i="44" s="1"/>
  <c r="AK8" i="44" s="1"/>
  <c r="AK9" i="44" s="1"/>
  <c r="AK10" i="44" s="1"/>
  <c r="AK11" i="44" s="1"/>
  <c r="AK12" i="44" s="1"/>
  <c r="AK13" i="44" s="1"/>
  <c r="AK14" i="44" s="1"/>
  <c r="AK15" i="44" s="1"/>
  <c r="AK16" i="44" s="1"/>
  <c r="AK17" i="44" s="1"/>
  <c r="AK18" i="44" s="1"/>
  <c r="AK19" i="44" s="1"/>
  <c r="AK20" i="44" s="1"/>
  <c r="AK21" i="44" s="1"/>
  <c r="AK22" i="44" s="1"/>
  <c r="AK23" i="44" s="1"/>
  <c r="AK24" i="44" s="1"/>
  <c r="AK25" i="44" s="1"/>
  <c r="AK26" i="44" s="1"/>
  <c r="AK27" i="44" s="1"/>
  <c r="AK28" i="44" s="1"/>
  <c r="AK29" i="44" s="1"/>
  <c r="AK30" i="44" s="1"/>
  <c r="AK31" i="44" s="1"/>
  <c r="AK32" i="44" s="1"/>
  <c r="AK33" i="44" s="1"/>
  <c r="AK34" i="44" s="1"/>
  <c r="L35" i="44"/>
  <c r="L38" i="44" s="1"/>
  <c r="S35" i="44"/>
  <c r="S38" i="44" s="1"/>
  <c r="L101" i="15"/>
  <c r="L81" i="15"/>
  <c r="L20" i="15"/>
  <c r="Y35" i="44"/>
  <c r="Y38" i="44" s="1"/>
  <c r="R35" i="44"/>
  <c r="R38" i="44" s="1"/>
  <c r="G18" i="14" l="1"/>
  <c r="K267" i="15"/>
  <c r="H17" i="14"/>
  <c r="I17" i="44" s="1"/>
  <c r="K495" i="15"/>
  <c r="H31" i="14"/>
  <c r="I31" i="44" s="1"/>
  <c r="AX31" i="44" s="1"/>
  <c r="K509" i="15"/>
  <c r="H32" i="14"/>
  <c r="I32" i="44" s="1"/>
  <c r="AX32" i="44" s="1"/>
  <c r="H35" i="44"/>
  <c r="H38" i="44" s="1"/>
  <c r="L39" i="44"/>
  <c r="R39" i="44"/>
  <c r="Y39" i="44"/>
  <c r="S39" i="44"/>
  <c r="G10" i="14"/>
  <c r="H25" i="14"/>
  <c r="I25" i="44" s="1"/>
  <c r="H13" i="14"/>
  <c r="I13" i="44" s="1"/>
  <c r="H23" i="14"/>
  <c r="I23" i="44" s="1"/>
  <c r="H5" i="14"/>
  <c r="I5" i="44" s="1"/>
  <c r="H9" i="14"/>
  <c r="I9" i="44" s="1"/>
  <c r="H21" i="14"/>
  <c r="I21" i="44" s="1"/>
  <c r="K143" i="15"/>
  <c r="H27" i="14"/>
  <c r="I27" i="44" s="1"/>
  <c r="K401" i="15"/>
  <c r="H26" i="14"/>
  <c r="I26" i="44" s="1"/>
  <c r="K430" i="15"/>
  <c r="H28" i="14"/>
  <c r="I28" i="44" s="1"/>
  <c r="AX28" i="44" s="1"/>
  <c r="K81" i="15"/>
  <c r="H7" i="14"/>
  <c r="K467" i="15"/>
  <c r="H30" i="14"/>
  <c r="I30" i="44" s="1"/>
  <c r="AX30" i="44" s="1"/>
  <c r="K370" i="15"/>
  <c r="H24" i="14"/>
  <c r="I24" i="44" s="1"/>
  <c r="K101" i="15"/>
  <c r="H8" i="14"/>
  <c r="I8" i="44" s="1"/>
  <c r="H19" i="14"/>
  <c r="I19" i="44" s="1"/>
  <c r="K447" i="15"/>
  <c r="H29" i="14"/>
  <c r="I29" i="44" s="1"/>
  <c r="AX29" i="44" s="1"/>
  <c r="K339" i="15"/>
  <c r="H22" i="14"/>
  <c r="I22" i="44" s="1"/>
  <c r="K20" i="15"/>
  <c r="H4" i="14"/>
  <c r="I4" i="44" s="1"/>
  <c r="K57" i="15"/>
  <c r="H6" i="14"/>
  <c r="I6" i="44" s="1"/>
  <c r="K317" i="15"/>
  <c r="H20" i="14"/>
  <c r="I20" i="44" s="1"/>
  <c r="K285" i="15"/>
  <c r="K249" i="15"/>
  <c r="H16" i="14"/>
  <c r="I16" i="44" s="1"/>
  <c r="K232" i="15"/>
  <c r="H15" i="14"/>
  <c r="I15" i="44" s="1"/>
  <c r="K213" i="15"/>
  <c r="H14" i="14"/>
  <c r="I14" i="44" s="1"/>
  <c r="K179" i="15"/>
  <c r="H12" i="14"/>
  <c r="I12" i="44" s="1"/>
  <c r="K162" i="15"/>
  <c r="H11" i="14"/>
  <c r="I11" i="44" s="1"/>
  <c r="BY4" i="44"/>
  <c r="BT5" i="44"/>
  <c r="BT6" i="44" s="1"/>
  <c r="BT7" i="44" s="1"/>
  <c r="BT8" i="44" s="1"/>
  <c r="BT9" i="44" s="1"/>
  <c r="BT10" i="44" s="1"/>
  <c r="BT11" i="44" s="1"/>
  <c r="BT12" i="44" s="1"/>
  <c r="BT13" i="44" s="1"/>
  <c r="BT14" i="44" s="1"/>
  <c r="BT15" i="44" s="1"/>
  <c r="BT16" i="44" s="1"/>
  <c r="BT17" i="44" s="1"/>
  <c r="BT18" i="44" s="1"/>
  <c r="BT19" i="44" s="1"/>
  <c r="BT20" i="44" s="1"/>
  <c r="BT21" i="44" s="1"/>
  <c r="BT22" i="44" s="1"/>
  <c r="BT23" i="44" s="1"/>
  <c r="BT24" i="44" s="1"/>
  <c r="BT25" i="44" s="1"/>
  <c r="BT26" i="44" s="1"/>
  <c r="BT27" i="44" s="1"/>
  <c r="BT28" i="44" s="1"/>
  <c r="BT29" i="44" s="1"/>
  <c r="BT30" i="44" s="1"/>
  <c r="BT31" i="44" s="1"/>
  <c r="BT32" i="44" s="1"/>
  <c r="BT33" i="44" s="1"/>
  <c r="BT34" i="44" s="1"/>
  <c r="H35" i="14" l="1"/>
  <c r="I7" i="44"/>
  <c r="H39" i="44"/>
  <c r="G31" i="14"/>
  <c r="G32" i="14"/>
  <c r="G12" i="14"/>
  <c r="G15" i="14"/>
  <c r="G17" i="14"/>
  <c r="G7" i="14"/>
  <c r="AX7" i="44"/>
  <c r="G13" i="14"/>
  <c r="G6" i="14"/>
  <c r="AX6" i="44"/>
  <c r="G19" i="14"/>
  <c r="G9" i="14"/>
  <c r="G11" i="14"/>
  <c r="G16" i="14"/>
  <c r="G8" i="14"/>
  <c r="AX8" i="44"/>
  <c r="G5" i="14"/>
  <c r="AX5" i="44"/>
  <c r="AX10" i="44"/>
  <c r="G14" i="14"/>
  <c r="G4" i="14"/>
  <c r="AX4" i="44"/>
  <c r="G29" i="14"/>
  <c r="G25" i="14"/>
  <c r="AX25" i="44"/>
  <c r="G28" i="14"/>
  <c r="G24" i="14"/>
  <c r="AX24" i="44"/>
  <c r="G26" i="14"/>
  <c r="AX26" i="44"/>
  <c r="G23" i="14"/>
  <c r="AX23" i="44"/>
  <c r="G30" i="14"/>
  <c r="G27" i="14"/>
  <c r="AX27" i="44"/>
  <c r="G20" i="14"/>
  <c r="AX20" i="44"/>
  <c r="G22" i="14"/>
  <c r="AX22" i="44"/>
  <c r="G21" i="14"/>
  <c r="AX21" i="44"/>
  <c r="BY5" i="44"/>
  <c r="BY6" i="44" s="1"/>
  <c r="BY7" i="44" s="1"/>
  <c r="BY8" i="44" s="1"/>
  <c r="BY9" i="44" s="1"/>
  <c r="BY10" i="44" s="1"/>
  <c r="BY11" i="44" s="1"/>
  <c r="BY12" i="44" s="1"/>
  <c r="BY13" i="44" s="1"/>
  <c r="BY14" i="44" s="1"/>
  <c r="BY15" i="44" s="1"/>
  <c r="BY16" i="44" s="1"/>
  <c r="BY17" i="44" s="1"/>
  <c r="BY18" i="44" s="1"/>
  <c r="BY19" i="44" s="1"/>
  <c r="BY20" i="44" s="1"/>
  <c r="BY21" i="44" s="1"/>
  <c r="BY22" i="44" s="1"/>
  <c r="BY23" i="44" s="1"/>
  <c r="BY24" i="44" s="1"/>
  <c r="BY25" i="44" s="1"/>
  <c r="BY26" i="44" s="1"/>
  <c r="BY27" i="44" s="1"/>
  <c r="BY28" i="44" s="1"/>
  <c r="BY29" i="44" s="1"/>
  <c r="BY30" i="44" s="1"/>
  <c r="BY31" i="44" s="1"/>
  <c r="BY32" i="44" s="1"/>
  <c r="BY33" i="44" s="1"/>
  <c r="BY34" i="44" s="1"/>
  <c r="CJ4" i="44"/>
  <c r="H73" i="15"/>
  <c r="H74" i="15"/>
  <c r="H75" i="15"/>
  <c r="H76" i="15"/>
  <c r="AX11" i="44" l="1"/>
  <c r="AX9" i="44"/>
  <c r="AX17" i="44"/>
  <c r="AX15" i="44"/>
  <c r="AX13" i="44"/>
  <c r="AX14" i="44"/>
  <c r="AX16" i="44"/>
  <c r="AX19" i="44"/>
  <c r="AX18" i="44"/>
  <c r="AX12" i="44"/>
  <c r="I35" i="44"/>
  <c r="I38" i="44" s="1"/>
  <c r="CJ5" i="44"/>
  <c r="CJ6" i="44" s="1"/>
  <c r="CJ7" i="44" s="1"/>
  <c r="CJ8" i="44" s="1"/>
  <c r="CJ9" i="44" s="1"/>
  <c r="CJ10" i="44" s="1"/>
  <c r="CJ11" i="44" s="1"/>
  <c r="CJ12" i="44" s="1"/>
  <c r="CJ13" i="44" s="1"/>
  <c r="CJ14" i="44" s="1"/>
  <c r="CJ15" i="44" s="1"/>
  <c r="CJ16" i="44" s="1"/>
  <c r="CJ17" i="44" s="1"/>
  <c r="CJ18" i="44" s="1"/>
  <c r="CJ19" i="44" s="1"/>
  <c r="CJ20" i="44" s="1"/>
  <c r="CJ21" i="44" s="1"/>
  <c r="CJ22" i="44" s="1"/>
  <c r="CJ23" i="44" s="1"/>
  <c r="CJ24" i="44" s="1"/>
  <c r="CJ25" i="44" s="1"/>
  <c r="CJ26" i="44" s="1"/>
  <c r="CJ27" i="44" s="1"/>
  <c r="CJ28" i="44" s="1"/>
  <c r="CJ29" i="44" s="1"/>
  <c r="CJ30" i="44" s="1"/>
  <c r="CJ31" i="44" s="1"/>
  <c r="CJ32" i="44" s="1"/>
  <c r="CJ33" i="44" s="1"/>
  <c r="CJ34" i="44" s="1"/>
  <c r="CU4" i="44"/>
  <c r="CU5" i="44" s="1"/>
  <c r="CU6" i="44" s="1"/>
  <c r="CU7" i="44" s="1"/>
  <c r="CU8" i="44" s="1"/>
  <c r="CU9" i="44" s="1"/>
  <c r="CU10" i="44" s="1"/>
  <c r="CU11" i="44" s="1"/>
  <c r="CU12" i="44" s="1"/>
  <c r="CU13" i="44" s="1"/>
  <c r="CU14" i="44" s="1"/>
  <c r="CU15" i="44" s="1"/>
  <c r="CU16" i="44" s="1"/>
  <c r="CU17" i="44" s="1"/>
  <c r="CU18" i="44" s="1"/>
  <c r="CU19" i="44" s="1"/>
  <c r="CU20" i="44" s="1"/>
  <c r="CU21" i="44" s="1"/>
  <c r="CU22" i="44" s="1"/>
  <c r="CU23" i="44" s="1"/>
  <c r="CU24" i="44" s="1"/>
  <c r="CU25" i="44" s="1"/>
  <c r="CU26" i="44" s="1"/>
  <c r="CU27" i="44" s="1"/>
  <c r="CU28" i="44" s="1"/>
  <c r="CU29" i="44" s="1"/>
  <c r="CU30" i="44" s="1"/>
  <c r="CU31" i="44" s="1"/>
  <c r="CU32" i="44" s="1"/>
  <c r="CU33" i="44" s="1"/>
  <c r="CU34" i="44" s="1"/>
  <c r="I39" i="44" l="1"/>
  <c r="BG32" i="43"/>
  <c r="H26" i="15" l="1"/>
  <c r="H27" i="15"/>
  <c r="H28" i="15"/>
  <c r="H29" i="15"/>
  <c r="H30" i="15"/>
  <c r="F4" i="17" l="1"/>
  <c r="E4" i="17"/>
  <c r="D4" i="17"/>
  <c r="C4" i="17"/>
  <c r="AE5" i="43"/>
  <c r="AE6" i="43"/>
  <c r="AE7" i="43"/>
  <c r="AE8" i="43"/>
  <c r="AE9" i="43"/>
  <c r="AE10" i="43"/>
  <c r="AE11" i="43"/>
  <c r="AE12" i="43"/>
  <c r="AE13" i="43"/>
  <c r="AE14" i="43"/>
  <c r="AE15" i="43"/>
  <c r="AE16" i="43"/>
  <c r="AE17" i="43"/>
  <c r="AE18" i="43"/>
  <c r="AE19" i="43"/>
  <c r="AE20" i="43"/>
  <c r="AE21" i="43"/>
  <c r="AE22" i="43"/>
  <c r="AE23" i="43"/>
  <c r="AE24" i="43"/>
  <c r="AE25" i="43"/>
  <c r="AE26" i="43"/>
  <c r="AE27" i="43"/>
  <c r="AE28" i="43"/>
  <c r="AE29" i="43"/>
  <c r="AE30" i="43"/>
  <c r="AE31" i="43"/>
  <c r="AE32" i="43"/>
  <c r="AE4" i="43"/>
  <c r="AE3" i="17"/>
  <c r="AE3" i="43" s="1"/>
  <c r="AE35" i="17" l="1"/>
  <c r="AE33" i="43" s="1"/>
  <c r="E5" i="13" l="1"/>
  <c r="H44" i="45" s="1"/>
  <c r="E6" i="13"/>
  <c r="H45" i="45" s="1"/>
  <c r="E7" i="13"/>
  <c r="H46" i="45" s="1"/>
  <c r="E8" i="13"/>
  <c r="H47" i="45" s="1"/>
  <c r="E9" i="13"/>
  <c r="H48" i="45" s="1"/>
  <c r="E10" i="13"/>
  <c r="H49" i="45" s="1"/>
  <c r="E11" i="13"/>
  <c r="H50" i="45" s="1"/>
  <c r="E12" i="13"/>
  <c r="H51" i="45" s="1"/>
  <c r="E13" i="13"/>
  <c r="H52" i="45" s="1"/>
  <c r="E14" i="13"/>
  <c r="H53" i="45" s="1"/>
  <c r="E15" i="13"/>
  <c r="H54" i="45" s="1"/>
  <c r="E16" i="13"/>
  <c r="H55" i="45" s="1"/>
  <c r="E17" i="13"/>
  <c r="H56" i="45" s="1"/>
  <c r="E18" i="13"/>
  <c r="H57" i="45" s="1"/>
  <c r="E19" i="13"/>
  <c r="H58" i="45" s="1"/>
  <c r="E20" i="13"/>
  <c r="H59" i="45" s="1"/>
  <c r="E21" i="13"/>
  <c r="H60" i="45" s="1"/>
  <c r="E22" i="13"/>
  <c r="H61" i="45" s="1"/>
  <c r="E23" i="13"/>
  <c r="H62" i="45" s="1"/>
  <c r="E24" i="13"/>
  <c r="H63" i="45" s="1"/>
  <c r="E25" i="13"/>
  <c r="H64" i="45" s="1"/>
  <c r="E26" i="13"/>
  <c r="H65" i="45" s="1"/>
  <c r="H66" i="45"/>
  <c r="H67" i="45"/>
  <c r="H68" i="45"/>
  <c r="H69" i="45"/>
  <c r="H507" i="15" l="1"/>
  <c r="H486" i="15" l="1"/>
  <c r="H456" i="15" l="1"/>
  <c r="H443" i="15" l="1"/>
  <c r="H420" i="15" l="1"/>
  <c r="H421" i="15"/>
  <c r="H423" i="15"/>
  <c r="H424" i="15"/>
  <c r="H425" i="15"/>
  <c r="H414" i="15" l="1"/>
  <c r="J35" i="13" l="1"/>
  <c r="K35" i="10"/>
  <c r="L35" i="10"/>
  <c r="H398" i="15" l="1"/>
  <c r="H390" i="15"/>
  <c r="H391" i="15"/>
  <c r="H392" i="15"/>
  <c r="H393" i="15"/>
  <c r="H394" i="15"/>
  <c r="H395" i="15"/>
  <c r="H396" i="15"/>
  <c r="H381" i="15" l="1"/>
  <c r="H367" i="15" l="1"/>
  <c r="H349" i="15"/>
  <c r="H344" i="15"/>
  <c r="H345" i="15"/>
  <c r="H346" i="15"/>
  <c r="H347" i="15"/>
  <c r="H348" i="15"/>
  <c r="H335" i="15" l="1"/>
  <c r="H336" i="15"/>
  <c r="H337" i="15"/>
  <c r="H323" i="15" l="1"/>
  <c r="H325" i="15"/>
  <c r="H311" i="15" l="1"/>
  <c r="H310" i="15"/>
  <c r="H304" i="15"/>
  <c r="H305" i="15"/>
  <c r="H306" i="15"/>
  <c r="H307" i="15"/>
  <c r="H308" i="15"/>
  <c r="H309" i="15"/>
  <c r="H293" i="15" l="1"/>
  <c r="H292" i="15"/>
  <c r="H291" i="15"/>
  <c r="H290" i="15"/>
  <c r="H260" i="15" l="1"/>
  <c r="H217" i="15" l="1"/>
  <c r="H227" i="15"/>
  <c r="H228" i="15"/>
  <c r="H229" i="15"/>
  <c r="H187" i="15" l="1"/>
  <c r="H188" i="15"/>
  <c r="H121" i="15" l="1"/>
  <c r="H85" i="15" l="1"/>
  <c r="H93" i="15"/>
  <c r="H94" i="15"/>
  <c r="H96" i="15"/>
  <c r="R7" i="13" l="1"/>
  <c r="R6" i="13"/>
  <c r="BR6" i="17" l="1"/>
  <c r="BR5" i="17" l="1"/>
  <c r="BZ4" i="15" l="1"/>
  <c r="CN4" i="17"/>
  <c r="BF4" i="15"/>
  <c r="BR4" i="17"/>
  <c r="AT4" i="17" l="1"/>
  <c r="BK4" i="44" s="1"/>
  <c r="N4" i="19" l="1"/>
  <c r="O35" i="10" l="1"/>
  <c r="G35" i="9" l="1"/>
  <c r="E35" i="9"/>
  <c r="H506" i="15" l="1"/>
  <c r="H499" i="15"/>
  <c r="H500" i="15"/>
  <c r="H501" i="15"/>
  <c r="H502" i="15"/>
  <c r="F495" i="15" l="1"/>
  <c r="C31" i="14" s="1"/>
  <c r="H489" i="15"/>
  <c r="H471" i="15"/>
  <c r="H483" i="15"/>
  <c r="H484" i="15"/>
  <c r="H485" i="15"/>
  <c r="H487" i="15"/>
  <c r="H488" i="15"/>
  <c r="H490" i="15"/>
  <c r="AD31" i="44" l="1"/>
  <c r="AK31" i="17"/>
  <c r="AA31" i="17" s="1"/>
  <c r="J31" i="14" s="1"/>
  <c r="T70" i="45"/>
  <c r="Z70" i="45" s="1"/>
  <c r="H465" i="15"/>
  <c r="H464" i="15"/>
  <c r="H463" i="15"/>
  <c r="H462" i="15"/>
  <c r="H455" i="15"/>
  <c r="H454" i="15"/>
  <c r="H453" i="15"/>
  <c r="H452" i="15"/>
  <c r="H451" i="15"/>
  <c r="J31" i="44" l="1"/>
  <c r="N31" i="44" s="1"/>
  <c r="AB31" i="17"/>
  <c r="K31" i="14" s="1"/>
  <c r="AF31" i="44" s="1"/>
  <c r="AH31" i="44" s="1"/>
  <c r="H434" i="15"/>
  <c r="H441" i="15"/>
  <c r="H442" i="15"/>
  <c r="U70" i="45" l="1"/>
  <c r="N31" i="14"/>
  <c r="K31" i="44" s="1"/>
  <c r="O31" i="14"/>
  <c r="AG31" i="44" s="1"/>
  <c r="H428" i="15"/>
  <c r="H427" i="15"/>
  <c r="H426" i="15"/>
  <c r="AY31" i="44" l="1"/>
  <c r="H410" i="15"/>
  <c r="H405" i="15"/>
  <c r="H406" i="15"/>
  <c r="H407" i="15"/>
  <c r="H408" i="15"/>
  <c r="H409" i="15"/>
  <c r="H389" i="15" l="1"/>
  <c r="H397" i="15"/>
  <c r="H377" i="15"/>
  <c r="H364" i="15" l="1"/>
  <c r="H359" i="15"/>
  <c r="H360" i="15"/>
  <c r="H361" i="15"/>
  <c r="H362" i="15"/>
  <c r="H363" i="15"/>
  <c r="H365" i="15"/>
  <c r="H35" i="10" l="1"/>
  <c r="H351" i="15"/>
  <c r="H36" i="10" l="1"/>
  <c r="I36" i="10"/>
  <c r="H350" i="15"/>
  <c r="H334" i="15" l="1"/>
  <c r="H326" i="15" l="1"/>
  <c r="H294" i="15" l="1"/>
  <c r="H280" i="15"/>
  <c r="H279" i="15"/>
  <c r="H272" i="15"/>
  <c r="H273" i="15"/>
  <c r="H274" i="15"/>
  <c r="H276" i="15"/>
  <c r="H281" i="15"/>
  <c r="H256" i="15" l="1"/>
  <c r="H254" i="15"/>
  <c r="H255" i="15"/>
  <c r="H257" i="15"/>
  <c r="H259" i="15"/>
  <c r="H261" i="15"/>
  <c r="H262" i="15"/>
  <c r="H263" i="15"/>
  <c r="H242" i="15" l="1"/>
  <c r="H243" i="15"/>
  <c r="H244" i="15"/>
  <c r="H245" i="15"/>
  <c r="H201" i="15" l="1"/>
  <c r="H208" i="15"/>
  <c r="H209" i="15"/>
  <c r="H210" i="15"/>
  <c r="H211" i="15"/>
  <c r="H190" i="15" l="1"/>
  <c r="H191" i="15"/>
  <c r="H192" i="15"/>
  <c r="H193" i="15"/>
  <c r="H97" i="15" l="1"/>
  <c r="H50" i="15" l="1"/>
  <c r="H51" i="15"/>
  <c r="H52" i="15"/>
  <c r="H53" i="15"/>
  <c r="H12" i="15" l="1"/>
  <c r="H13" i="15"/>
  <c r="H14" i="15"/>
  <c r="H15" i="15"/>
  <c r="H16" i="15"/>
  <c r="H17" i="15"/>
  <c r="B4" i="43" l="1"/>
  <c r="AP4" i="43" s="1"/>
  <c r="AV4" i="43" s="1"/>
  <c r="BA4" i="43" s="1"/>
  <c r="BF4" i="43" s="1"/>
  <c r="BQ4" i="43" s="1"/>
  <c r="CB4" i="43" s="1"/>
  <c r="AY4" i="17"/>
  <c r="BD4" i="17" s="1"/>
  <c r="BI4" i="17" s="1"/>
  <c r="E35" i="26" l="1"/>
  <c r="E35" i="23"/>
  <c r="E35" i="24"/>
  <c r="Y34" i="5" l="1"/>
  <c r="Y35" i="5" l="1"/>
  <c r="Y38" i="5"/>
  <c r="Y39" i="5" s="1"/>
  <c r="H508" i="15"/>
  <c r="H494" i="15" l="1"/>
  <c r="BR29" i="17" l="1"/>
  <c r="CN29" i="17"/>
  <c r="F447" i="15"/>
  <c r="C29" i="14" s="1"/>
  <c r="H444" i="15"/>
  <c r="H445" i="15"/>
  <c r="AD29" i="44" l="1"/>
  <c r="AK29" i="17"/>
  <c r="AA29" i="17" s="1"/>
  <c r="J29" i="14" s="1"/>
  <c r="T68" i="45"/>
  <c r="Z68" i="45" s="1"/>
  <c r="E26" i="10"/>
  <c r="D65" i="45" s="1"/>
  <c r="AB29" i="17" l="1"/>
  <c r="H400" i="15"/>
  <c r="H374" i="15" l="1"/>
  <c r="H375" i="15"/>
  <c r="H376" i="15"/>
  <c r="H378" i="15"/>
  <c r="H379" i="15"/>
  <c r="H380" i="15"/>
  <c r="H382" i="15"/>
  <c r="H366" i="15" l="1"/>
  <c r="H353" i="15" l="1"/>
  <c r="AW17" i="17" l="1"/>
  <c r="CK8" i="44" l="1"/>
  <c r="CL8" i="44"/>
  <c r="CO9" i="44"/>
  <c r="T42" i="5" l="1"/>
  <c r="D33" i="44" l="1"/>
  <c r="D15" i="44"/>
  <c r="AV15" i="44" s="1"/>
  <c r="D21" i="44"/>
  <c r="D7" i="44"/>
  <c r="AV7" i="44" s="1"/>
  <c r="D32" i="44"/>
  <c r="D30" i="44"/>
  <c r="D20" i="44"/>
  <c r="D18" i="44"/>
  <c r="AV18" i="44" s="1"/>
  <c r="D5" i="44"/>
  <c r="D28" i="44"/>
  <c r="D13" i="44"/>
  <c r="AV13" i="44" s="1"/>
  <c r="D11" i="44"/>
  <c r="AV11" i="44" s="1"/>
  <c r="D25" i="44"/>
  <c r="D9" i="44"/>
  <c r="D31" i="44"/>
  <c r="D14" i="44"/>
  <c r="AV14" i="44" s="1"/>
  <c r="D16" i="44"/>
  <c r="AV16" i="44" s="1"/>
  <c r="D29" i="44"/>
  <c r="D8" i="44"/>
  <c r="D17" i="44"/>
  <c r="AV17" i="44" s="1"/>
  <c r="D19" i="44"/>
  <c r="AV19" i="44" s="1"/>
  <c r="D26" i="44"/>
  <c r="D10" i="44"/>
  <c r="D23" i="44"/>
  <c r="AV23" i="44" s="1"/>
  <c r="D34" i="44"/>
  <c r="D12" i="44"/>
  <c r="AV12" i="44" s="1"/>
  <c r="D27" i="44"/>
  <c r="D24" i="44"/>
  <c r="AV24" i="44" s="1"/>
  <c r="D22" i="44"/>
  <c r="AV22" i="44" s="1"/>
  <c r="D6" i="44"/>
  <c r="AV30" i="44"/>
  <c r="AV32" i="44"/>
  <c r="AV29" i="44"/>
  <c r="AV26" i="44"/>
  <c r="AV25" i="44"/>
  <c r="AV21" i="44"/>
  <c r="AV10" i="44"/>
  <c r="AV6" i="44"/>
  <c r="AV28" i="44"/>
  <c r="AV20" i="44"/>
  <c r="AV9" i="44"/>
  <c r="AV27" i="44"/>
  <c r="AV5" i="44"/>
  <c r="AV8" i="44"/>
  <c r="BT4" i="17"/>
  <c r="CE4" i="17" s="1"/>
  <c r="AV33" i="44" l="1"/>
  <c r="AV31" i="44"/>
  <c r="AV34" i="44"/>
  <c r="H466" i="15"/>
  <c r="F467" i="15"/>
  <c r="C30" i="14" s="1"/>
  <c r="AD30" i="44" l="1"/>
  <c r="AK30" i="17"/>
  <c r="AA30" i="17" s="1"/>
  <c r="J30" i="14" s="1"/>
  <c r="T69" i="45"/>
  <c r="Z69" i="45" s="1"/>
  <c r="BR26" i="17"/>
  <c r="AB30" i="17" l="1"/>
  <c r="U47" i="5"/>
  <c r="G35" i="13" l="1"/>
  <c r="G38" i="13" s="1"/>
  <c r="H253" i="15" l="1"/>
  <c r="H264" i="15"/>
  <c r="H265" i="15"/>
  <c r="H230" i="15" l="1"/>
  <c r="BU4" i="44" l="1"/>
  <c r="AT5" i="17"/>
  <c r="CC4" i="43"/>
  <c r="CD4" i="43"/>
  <c r="CE4" i="43"/>
  <c r="CF4" i="43"/>
  <c r="CG4" i="43"/>
  <c r="CI4" i="43"/>
  <c r="CJ4" i="43"/>
  <c r="CC5" i="43"/>
  <c r="CD5" i="43"/>
  <c r="CE5" i="43"/>
  <c r="CF5" i="43"/>
  <c r="CG5" i="43"/>
  <c r="CI5" i="43"/>
  <c r="CJ5" i="43"/>
  <c r="CC6" i="43"/>
  <c r="CD6" i="43"/>
  <c r="CE6" i="43"/>
  <c r="CF6" i="43"/>
  <c r="CG6" i="43"/>
  <c r="CI6" i="43"/>
  <c r="CJ6" i="43"/>
  <c r="CC7" i="43"/>
  <c r="CD7" i="43"/>
  <c r="CE7" i="43"/>
  <c r="CF7" i="43"/>
  <c r="CG7" i="43"/>
  <c r="CI7" i="43"/>
  <c r="CJ7" i="43"/>
  <c r="CC8" i="43"/>
  <c r="CD8" i="43"/>
  <c r="CE8" i="43"/>
  <c r="CF8" i="43"/>
  <c r="CG8" i="43"/>
  <c r="CI8" i="43"/>
  <c r="CJ8" i="43"/>
  <c r="CC9" i="43"/>
  <c r="CD9" i="43"/>
  <c r="CE9" i="43"/>
  <c r="CF9" i="43"/>
  <c r="CG9" i="43"/>
  <c r="CI9" i="43"/>
  <c r="CJ9" i="43"/>
  <c r="CC10" i="43"/>
  <c r="CD10" i="43"/>
  <c r="CE10" i="43"/>
  <c r="CF10" i="43"/>
  <c r="CG10" i="43"/>
  <c r="CI10" i="43"/>
  <c r="CJ10" i="43"/>
  <c r="CC11" i="43"/>
  <c r="CD11" i="43"/>
  <c r="CE11" i="43"/>
  <c r="CF11" i="43"/>
  <c r="CG11" i="43"/>
  <c r="CI11" i="43"/>
  <c r="CJ11" i="43"/>
  <c r="CC12" i="43"/>
  <c r="CD12" i="43"/>
  <c r="CE12" i="43"/>
  <c r="CF12" i="43"/>
  <c r="CG12" i="43"/>
  <c r="CI12" i="43"/>
  <c r="CJ12" i="43"/>
  <c r="CC13" i="43"/>
  <c r="CD13" i="43"/>
  <c r="CE13" i="43"/>
  <c r="CF13" i="43"/>
  <c r="CG13" i="43"/>
  <c r="CI13" i="43"/>
  <c r="CJ13" i="43"/>
  <c r="CC14" i="43"/>
  <c r="CD14" i="43"/>
  <c r="CE14" i="43"/>
  <c r="CF14" i="43"/>
  <c r="CG14" i="43"/>
  <c r="CI14" i="43"/>
  <c r="CJ14" i="43"/>
  <c r="CC15" i="43"/>
  <c r="CD15" i="43"/>
  <c r="CE15" i="43"/>
  <c r="CF15" i="43"/>
  <c r="CG15" i="43"/>
  <c r="CI15" i="43"/>
  <c r="CJ15" i="43"/>
  <c r="CC16" i="43"/>
  <c r="CD16" i="43"/>
  <c r="CE16" i="43"/>
  <c r="CF16" i="43"/>
  <c r="CG16" i="43"/>
  <c r="CI16" i="43"/>
  <c r="CJ16" i="43"/>
  <c r="CC17" i="43"/>
  <c r="CD17" i="43"/>
  <c r="CE17" i="43"/>
  <c r="CF17" i="43"/>
  <c r="CG17" i="43"/>
  <c r="CI17" i="43"/>
  <c r="CJ17" i="43"/>
  <c r="BG4" i="43"/>
  <c r="BH4" i="43"/>
  <c r="BI4" i="43"/>
  <c r="BJ4" i="43"/>
  <c r="BK4" i="43"/>
  <c r="BM4" i="43"/>
  <c r="BN4" i="43"/>
  <c r="BG5" i="43"/>
  <c r="BH5" i="43"/>
  <c r="BI5" i="43"/>
  <c r="BJ5" i="43"/>
  <c r="BK5" i="43"/>
  <c r="BM5" i="43"/>
  <c r="BN5" i="43"/>
  <c r="BG6" i="43"/>
  <c r="BH6" i="43"/>
  <c r="BI6" i="43"/>
  <c r="BJ6" i="43"/>
  <c r="BK6" i="43"/>
  <c r="BM6" i="43"/>
  <c r="BN6" i="43"/>
  <c r="BG7" i="43"/>
  <c r="BH7" i="43"/>
  <c r="BI7" i="43"/>
  <c r="BJ7" i="43"/>
  <c r="BK7" i="43"/>
  <c r="BM7" i="43"/>
  <c r="BN7" i="43"/>
  <c r="BG8" i="43"/>
  <c r="BH8" i="43"/>
  <c r="BI8" i="43"/>
  <c r="BJ8" i="43"/>
  <c r="BK8" i="43"/>
  <c r="BM8" i="43"/>
  <c r="BN8" i="43"/>
  <c r="BG9" i="43"/>
  <c r="BH9" i="43"/>
  <c r="BI9" i="43"/>
  <c r="BJ9" i="43"/>
  <c r="BK9" i="43"/>
  <c r="BM9" i="43"/>
  <c r="BN9" i="43"/>
  <c r="BG10" i="43"/>
  <c r="BH10" i="43"/>
  <c r="BI10" i="43"/>
  <c r="BJ10" i="43"/>
  <c r="BK10" i="43"/>
  <c r="BM10" i="43"/>
  <c r="BN10" i="43"/>
  <c r="BG11" i="43"/>
  <c r="BH11" i="43"/>
  <c r="BI11" i="43"/>
  <c r="BJ11" i="43"/>
  <c r="BK11" i="43"/>
  <c r="BM11" i="43"/>
  <c r="BN11" i="43"/>
  <c r="BG12" i="43"/>
  <c r="BH12" i="43"/>
  <c r="BI12" i="43"/>
  <c r="BJ12" i="43"/>
  <c r="BK12" i="43"/>
  <c r="BM12" i="43"/>
  <c r="BN12" i="43"/>
  <c r="BG13" i="43"/>
  <c r="BH13" i="43"/>
  <c r="BI13" i="43"/>
  <c r="BJ13" i="43"/>
  <c r="BK13" i="43"/>
  <c r="BM13" i="43"/>
  <c r="BN13" i="43"/>
  <c r="BG14" i="43"/>
  <c r="BH14" i="43"/>
  <c r="BI14" i="43"/>
  <c r="BJ14" i="43"/>
  <c r="BK14" i="43"/>
  <c r="BM14" i="43"/>
  <c r="BN14" i="43"/>
  <c r="BG15" i="43"/>
  <c r="BH15" i="43"/>
  <c r="BI15" i="43"/>
  <c r="BJ15" i="43"/>
  <c r="BK15" i="43"/>
  <c r="BM15" i="43"/>
  <c r="BN15" i="43"/>
  <c r="BG16" i="43"/>
  <c r="BH16" i="43"/>
  <c r="BI16" i="43"/>
  <c r="BJ16" i="43"/>
  <c r="BK16" i="43"/>
  <c r="BM16" i="43"/>
  <c r="BN16" i="43"/>
  <c r="BG17" i="43"/>
  <c r="BH17" i="43"/>
  <c r="BI17" i="43"/>
  <c r="BJ17" i="43"/>
  <c r="BK17" i="43"/>
  <c r="BM17" i="43"/>
  <c r="BN17" i="43"/>
  <c r="BU4" i="17"/>
  <c r="BW4" i="17"/>
  <c r="BX4" i="17"/>
  <c r="BY4" i="17"/>
  <c r="CA4" i="17"/>
  <c r="CB4" i="17"/>
  <c r="BR8" i="43"/>
  <c r="BS8" i="43"/>
  <c r="CM8" i="44"/>
  <c r="BV9" i="43"/>
  <c r="BU5" i="44" l="1"/>
  <c r="BU17" i="43"/>
  <c r="CN17" i="44"/>
  <c r="BV14" i="43"/>
  <c r="CO14" i="44"/>
  <c r="BX7" i="43"/>
  <c r="CQ7" i="44"/>
  <c r="BT17" i="43"/>
  <c r="CM17" i="44"/>
  <c r="BR15" i="43"/>
  <c r="CK15" i="44"/>
  <c r="BY13" i="43"/>
  <c r="CR13" i="44"/>
  <c r="BT13" i="43"/>
  <c r="CM13" i="44"/>
  <c r="BX12" i="43"/>
  <c r="CQ12" i="44"/>
  <c r="BS12" i="43"/>
  <c r="CL12" i="44"/>
  <c r="BV11" i="43"/>
  <c r="CO11" i="44"/>
  <c r="BR11" i="43"/>
  <c r="CK11" i="44"/>
  <c r="BU10" i="43"/>
  <c r="CN10" i="44"/>
  <c r="BY9" i="43"/>
  <c r="CR9" i="44"/>
  <c r="BT9" i="43"/>
  <c r="CM9" i="44"/>
  <c r="BX8" i="43"/>
  <c r="CQ8" i="44"/>
  <c r="BV7" i="43"/>
  <c r="CO7" i="44"/>
  <c r="BR7" i="43"/>
  <c r="CK7" i="44"/>
  <c r="BU6" i="43"/>
  <c r="CN6" i="44"/>
  <c r="BY5" i="43"/>
  <c r="CR5" i="44"/>
  <c r="BT5" i="43"/>
  <c r="CM5" i="44"/>
  <c r="BX4" i="43"/>
  <c r="CQ4" i="44"/>
  <c r="BS4" i="43"/>
  <c r="CL4" i="44"/>
  <c r="BY16" i="43"/>
  <c r="CR16" i="44"/>
  <c r="BX15" i="43"/>
  <c r="CQ15" i="44"/>
  <c r="BR14" i="43"/>
  <c r="CK14" i="44"/>
  <c r="BU13" i="43"/>
  <c r="CN13" i="44"/>
  <c r="BT12" i="43"/>
  <c r="CM12" i="44"/>
  <c r="BX11" i="43"/>
  <c r="CQ11" i="44"/>
  <c r="BS11" i="43"/>
  <c r="CL11" i="44"/>
  <c r="BV10" i="43"/>
  <c r="CO10" i="44"/>
  <c r="BR10" i="43"/>
  <c r="CK10" i="44"/>
  <c r="BU9" i="43"/>
  <c r="CN9" i="44"/>
  <c r="BY8" i="43"/>
  <c r="CR8" i="44"/>
  <c r="BS7" i="43"/>
  <c r="CL7" i="44"/>
  <c r="BR6" i="43"/>
  <c r="CK6" i="44"/>
  <c r="BU5" i="43"/>
  <c r="CN5" i="44"/>
  <c r="BY4" i="43"/>
  <c r="CR4" i="44"/>
  <c r="BX16" i="43"/>
  <c r="CQ16" i="44"/>
  <c r="BV15" i="43"/>
  <c r="CO15" i="44"/>
  <c r="BX17" i="43"/>
  <c r="CQ17" i="44"/>
  <c r="BS17" i="43"/>
  <c r="CL17" i="44"/>
  <c r="BV16" i="43"/>
  <c r="CO16" i="44"/>
  <c r="BR16" i="43"/>
  <c r="CK16" i="44"/>
  <c r="BU15" i="43"/>
  <c r="CN15" i="44"/>
  <c r="BY14" i="43"/>
  <c r="CR14" i="44"/>
  <c r="BT14" i="43"/>
  <c r="CM14" i="44"/>
  <c r="BX13" i="43"/>
  <c r="CQ13" i="44"/>
  <c r="BS13" i="43"/>
  <c r="CL13" i="44"/>
  <c r="BV12" i="43"/>
  <c r="CO12" i="44"/>
  <c r="BR12" i="43"/>
  <c r="CK12" i="44"/>
  <c r="BU11" i="43"/>
  <c r="CN11" i="44"/>
  <c r="BY10" i="43"/>
  <c r="CR10" i="44"/>
  <c r="BT10" i="43"/>
  <c r="CM10" i="44"/>
  <c r="BX9" i="43"/>
  <c r="CQ9" i="44"/>
  <c r="BS9" i="43"/>
  <c r="CL9" i="44"/>
  <c r="BV8" i="43"/>
  <c r="CO8" i="44"/>
  <c r="BU7" i="43"/>
  <c r="CN7" i="44"/>
  <c r="BY6" i="43"/>
  <c r="CR6" i="44"/>
  <c r="BT6" i="43"/>
  <c r="CM6" i="44"/>
  <c r="BX5" i="43"/>
  <c r="CQ5" i="44"/>
  <c r="BS5" i="43"/>
  <c r="CL5" i="44"/>
  <c r="BV4" i="43"/>
  <c r="CO4" i="44"/>
  <c r="BR4" i="43"/>
  <c r="CK4" i="44"/>
  <c r="BT16" i="43"/>
  <c r="CM16" i="44"/>
  <c r="BS15" i="43"/>
  <c r="CL15" i="44"/>
  <c r="BY12" i="43"/>
  <c r="CR12" i="44"/>
  <c r="BV6" i="43"/>
  <c r="CO6" i="44"/>
  <c r="BT4" i="43"/>
  <c r="CM4" i="44"/>
  <c r="BY17" i="43"/>
  <c r="CR17" i="44"/>
  <c r="BS16" i="43"/>
  <c r="CL16" i="44"/>
  <c r="BU14" i="43"/>
  <c r="CN14" i="44"/>
  <c r="BV17" i="43"/>
  <c r="CO17" i="44"/>
  <c r="BR17" i="43"/>
  <c r="CK17" i="44"/>
  <c r="BU16" i="43"/>
  <c r="CN16" i="44"/>
  <c r="BY15" i="43"/>
  <c r="CR15" i="44"/>
  <c r="BT15" i="43"/>
  <c r="CM15" i="44"/>
  <c r="BX14" i="43"/>
  <c r="CQ14" i="44"/>
  <c r="BS14" i="43"/>
  <c r="CL14" i="44"/>
  <c r="BV13" i="43"/>
  <c r="CO13" i="44"/>
  <c r="BR13" i="43"/>
  <c r="CK13" i="44"/>
  <c r="BU12" i="43"/>
  <c r="CN12" i="44"/>
  <c r="BY11" i="43"/>
  <c r="CR11" i="44"/>
  <c r="BT11" i="43"/>
  <c r="CM11" i="44"/>
  <c r="BX10" i="43"/>
  <c r="CQ10" i="44"/>
  <c r="BS10" i="43"/>
  <c r="CL10" i="44"/>
  <c r="BR9" i="43"/>
  <c r="CK9" i="44"/>
  <c r="BU8" i="43"/>
  <c r="CN8" i="44"/>
  <c r="BY7" i="43"/>
  <c r="CR7" i="44"/>
  <c r="BT7" i="43"/>
  <c r="CM7" i="44"/>
  <c r="BX6" i="43"/>
  <c r="CQ6" i="44"/>
  <c r="BS6" i="43"/>
  <c r="CL6" i="44"/>
  <c r="BV5" i="43"/>
  <c r="CO5" i="44"/>
  <c r="BR5" i="43"/>
  <c r="CK5" i="44"/>
  <c r="BU4" i="43"/>
  <c r="CN4" i="44"/>
  <c r="AT6" i="17"/>
  <c r="BK5" i="44"/>
  <c r="BT8" i="43"/>
  <c r="CC8" i="17"/>
  <c r="L34" i="20"/>
  <c r="E35" i="20"/>
  <c r="J35" i="12"/>
  <c r="J35" i="11"/>
  <c r="BU22" i="44" l="1"/>
  <c r="BU6" i="44"/>
  <c r="CS8" i="44"/>
  <c r="CS12" i="44"/>
  <c r="CS17" i="44"/>
  <c r="AT7" i="17"/>
  <c r="BK6" i="44"/>
  <c r="CS4" i="44"/>
  <c r="CS16" i="44"/>
  <c r="CS6" i="44"/>
  <c r="CS10" i="44"/>
  <c r="CS14" i="44"/>
  <c r="CS7" i="44"/>
  <c r="CS11" i="44"/>
  <c r="CS15" i="44"/>
  <c r="CS5" i="44"/>
  <c r="CS9" i="44"/>
  <c r="CS13" i="44"/>
  <c r="BU23" i="44" l="1"/>
  <c r="BU7" i="44"/>
  <c r="AT8" i="17"/>
  <c r="BK7" i="44"/>
  <c r="BU24" i="44" l="1"/>
  <c r="BU8" i="44"/>
  <c r="AT9" i="17"/>
  <c r="BK8" i="44"/>
  <c r="BU25" i="44" l="1"/>
  <c r="BU9" i="44"/>
  <c r="AT10" i="17"/>
  <c r="BK9" i="44"/>
  <c r="BU26" i="44" l="1"/>
  <c r="BU10" i="44"/>
  <c r="AT11" i="17"/>
  <c r="BK10" i="44"/>
  <c r="BU27" i="44" l="1"/>
  <c r="BU11" i="44"/>
  <c r="AT12" i="17"/>
  <c r="BK11" i="44"/>
  <c r="BU12" i="44" l="1"/>
  <c r="AT13" i="17"/>
  <c r="AQ13" i="43" s="1"/>
  <c r="BK12" i="44"/>
  <c r="CJ32" i="43"/>
  <c r="CI32" i="43"/>
  <c r="CE32" i="43"/>
  <c r="CD32" i="43"/>
  <c r="CC32" i="43"/>
  <c r="CJ31" i="43"/>
  <c r="CI31" i="43"/>
  <c r="CE31" i="43"/>
  <c r="CD31" i="43"/>
  <c r="CC31" i="43"/>
  <c r="CJ30" i="43"/>
  <c r="CI30" i="43"/>
  <c r="CE30" i="43"/>
  <c r="CD30" i="43"/>
  <c r="CC30" i="43"/>
  <c r="CJ29" i="43"/>
  <c r="CI29" i="43"/>
  <c r="CE29" i="43"/>
  <c r="CD29" i="43"/>
  <c r="CC29" i="43"/>
  <c r="CJ28" i="43"/>
  <c r="CI28" i="43"/>
  <c r="CD28" i="43"/>
  <c r="CC28" i="43"/>
  <c r="CJ27" i="43"/>
  <c r="CI27" i="43"/>
  <c r="CD27" i="43"/>
  <c r="CC27" i="43"/>
  <c r="CJ26" i="43"/>
  <c r="CI26" i="43"/>
  <c r="CD26" i="43"/>
  <c r="CC26" i="43"/>
  <c r="CJ25" i="43"/>
  <c r="CI25" i="43"/>
  <c r="CD25" i="43"/>
  <c r="CC25" i="43"/>
  <c r="CJ24" i="43"/>
  <c r="CI24" i="43"/>
  <c r="CD24" i="43"/>
  <c r="CC24" i="43"/>
  <c r="CJ23" i="43"/>
  <c r="CI23" i="43"/>
  <c r="CD23" i="43"/>
  <c r="CC23" i="43"/>
  <c r="CJ22" i="43"/>
  <c r="CI22" i="43"/>
  <c r="CD22" i="43"/>
  <c r="CC22" i="43"/>
  <c r="CJ21" i="43"/>
  <c r="CI21" i="43"/>
  <c r="CD21" i="43"/>
  <c r="CC21" i="43"/>
  <c r="CJ20" i="43"/>
  <c r="CI20" i="43"/>
  <c r="CC20" i="43"/>
  <c r="CJ19" i="43"/>
  <c r="CI19" i="43"/>
  <c r="CD19" i="43"/>
  <c r="CC19" i="43"/>
  <c r="CJ18" i="43"/>
  <c r="CI18" i="43"/>
  <c r="CG18" i="43"/>
  <c r="CF18" i="43"/>
  <c r="CE18" i="43"/>
  <c r="CD18" i="43"/>
  <c r="CC18" i="43"/>
  <c r="BY32" i="43"/>
  <c r="BX32" i="43"/>
  <c r="BT32" i="43"/>
  <c r="BY31" i="43"/>
  <c r="BX31" i="43"/>
  <c r="BT31" i="43"/>
  <c r="BY30" i="43"/>
  <c r="BX30" i="43"/>
  <c r="BT30" i="43"/>
  <c r="BY29" i="43"/>
  <c r="BX29" i="43"/>
  <c r="BT29" i="43"/>
  <c r="BY28" i="43"/>
  <c r="BX28" i="43"/>
  <c r="BY27" i="43"/>
  <c r="BX27" i="43"/>
  <c r="BY26" i="43"/>
  <c r="BY25" i="43"/>
  <c r="BY24" i="43"/>
  <c r="BY23" i="43"/>
  <c r="BY22" i="43"/>
  <c r="BY21" i="43"/>
  <c r="BN32" i="43"/>
  <c r="BM32" i="43"/>
  <c r="BJ32" i="43"/>
  <c r="BI32" i="43"/>
  <c r="BN31" i="43"/>
  <c r="BM31" i="43"/>
  <c r="BJ31" i="43"/>
  <c r="BI31" i="43"/>
  <c r="BN30" i="43"/>
  <c r="BM30" i="43"/>
  <c r="BJ30" i="43"/>
  <c r="BI30" i="43"/>
  <c r="BN29" i="43"/>
  <c r="BM29" i="43"/>
  <c r="BJ29" i="43"/>
  <c r="BI29" i="43"/>
  <c r="BN28" i="43"/>
  <c r="BM28" i="43"/>
  <c r="BJ28" i="43"/>
  <c r="BN27" i="43"/>
  <c r="BM27" i="43"/>
  <c r="BJ27" i="43"/>
  <c r="BN26" i="43"/>
  <c r="BJ26" i="43"/>
  <c r="BN25" i="43"/>
  <c r="BJ25" i="43"/>
  <c r="BN24" i="43"/>
  <c r="BJ24" i="43"/>
  <c r="BN23" i="43"/>
  <c r="BJ23" i="43"/>
  <c r="BN22" i="43"/>
  <c r="BJ22" i="43"/>
  <c r="BN21" i="43"/>
  <c r="BJ21" i="43"/>
  <c r="BJ20" i="43"/>
  <c r="BJ19" i="43"/>
  <c r="BN18" i="43"/>
  <c r="BM18" i="43"/>
  <c r="BK18" i="43"/>
  <c r="BJ18" i="43"/>
  <c r="BI18" i="43"/>
  <c r="BH18" i="43"/>
  <c r="BG18" i="43"/>
  <c r="AS32" i="43"/>
  <c r="AS31" i="43"/>
  <c r="AS30" i="43"/>
  <c r="AS29" i="43"/>
  <c r="AS28" i="43"/>
  <c r="AS27" i="43"/>
  <c r="AS26" i="43"/>
  <c r="AS25" i="43"/>
  <c r="AS24" i="43"/>
  <c r="AS23" i="43"/>
  <c r="AS22" i="43"/>
  <c r="AS21" i="43"/>
  <c r="AQ12" i="43"/>
  <c r="AQ11" i="43"/>
  <c r="AQ10" i="43"/>
  <c r="AQ9" i="43"/>
  <c r="AQ8" i="43"/>
  <c r="AQ7" i="43"/>
  <c r="AQ6" i="43"/>
  <c r="AQ5" i="43"/>
  <c r="AQ4" i="43"/>
  <c r="AK32" i="43"/>
  <c r="AK31" i="43"/>
  <c r="AK30" i="43"/>
  <c r="AK29" i="43"/>
  <c r="AK28" i="43"/>
  <c r="AK27" i="43"/>
  <c r="AK26" i="43"/>
  <c r="AK25" i="43"/>
  <c r="AK24" i="43"/>
  <c r="AK23" i="43"/>
  <c r="AK22" i="43"/>
  <c r="AK21" i="43"/>
  <c r="AK20" i="43"/>
  <c r="AK19" i="43"/>
  <c r="AK18" i="43"/>
  <c r="AK17" i="43"/>
  <c r="AK16" i="43"/>
  <c r="AK15" i="43"/>
  <c r="AK14" i="43"/>
  <c r="AK13" i="43"/>
  <c r="AK12" i="43"/>
  <c r="AK11" i="43"/>
  <c r="AK10" i="43"/>
  <c r="AK9" i="43"/>
  <c r="AK8" i="43"/>
  <c r="AK7" i="43"/>
  <c r="AK6" i="43"/>
  <c r="AK5" i="43"/>
  <c r="CB5" i="43"/>
  <c r="CB6" i="43" s="1"/>
  <c r="CB7" i="43" s="1"/>
  <c r="CB8" i="43" s="1"/>
  <c r="CB9" i="43" s="1"/>
  <c r="CB10" i="43" s="1"/>
  <c r="CB11" i="43" s="1"/>
  <c r="CB12" i="43" s="1"/>
  <c r="CB13" i="43" s="1"/>
  <c r="CB14" i="43" s="1"/>
  <c r="CB15" i="43" s="1"/>
  <c r="CB16" i="43" s="1"/>
  <c r="CB17" i="43" s="1"/>
  <c r="CB18" i="43" s="1"/>
  <c r="CB19" i="43" s="1"/>
  <c r="CB20" i="43" s="1"/>
  <c r="CB21" i="43" s="1"/>
  <c r="CB22" i="43" s="1"/>
  <c r="CB23" i="43" s="1"/>
  <c r="CB24" i="43" s="1"/>
  <c r="CB25" i="43" s="1"/>
  <c r="CB26" i="43" s="1"/>
  <c r="CB27" i="43" s="1"/>
  <c r="CB28" i="43" s="1"/>
  <c r="CB29" i="43" s="1"/>
  <c r="CB30" i="43" s="1"/>
  <c r="CB31" i="43" s="1"/>
  <c r="CB32" i="43" s="1"/>
  <c r="BQ5" i="43"/>
  <c r="BQ6" i="43" s="1"/>
  <c r="BQ7" i="43" s="1"/>
  <c r="BQ8" i="43" s="1"/>
  <c r="BQ9" i="43" s="1"/>
  <c r="BQ10" i="43" s="1"/>
  <c r="BQ11" i="43" s="1"/>
  <c r="BQ12" i="43" s="1"/>
  <c r="BQ13" i="43" s="1"/>
  <c r="BQ14" i="43" s="1"/>
  <c r="BQ15" i="43" s="1"/>
  <c r="BQ16" i="43" s="1"/>
  <c r="BQ17" i="43" s="1"/>
  <c r="BQ18" i="43" s="1"/>
  <c r="BQ19" i="43" s="1"/>
  <c r="BQ20" i="43" s="1"/>
  <c r="BQ21" i="43" s="1"/>
  <c r="BQ22" i="43" s="1"/>
  <c r="BQ23" i="43" s="1"/>
  <c r="BQ24" i="43" s="1"/>
  <c r="BQ25" i="43" s="1"/>
  <c r="BQ26" i="43" s="1"/>
  <c r="BQ27" i="43" s="1"/>
  <c r="BQ28" i="43" s="1"/>
  <c r="BQ29" i="43" s="1"/>
  <c r="BQ30" i="43" s="1"/>
  <c r="BQ31" i="43" s="1"/>
  <c r="BQ32" i="43" s="1"/>
  <c r="BF5" i="43"/>
  <c r="BF6" i="43" s="1"/>
  <c r="BF7" i="43" s="1"/>
  <c r="BF8" i="43" s="1"/>
  <c r="BF9" i="43" s="1"/>
  <c r="BF10" i="43" s="1"/>
  <c r="BF11" i="43" s="1"/>
  <c r="BF12" i="43" s="1"/>
  <c r="BF13" i="43" s="1"/>
  <c r="BF14" i="43" s="1"/>
  <c r="BF15" i="43" s="1"/>
  <c r="BF16" i="43" s="1"/>
  <c r="BF17" i="43" s="1"/>
  <c r="BF18" i="43" s="1"/>
  <c r="BF19" i="43" s="1"/>
  <c r="BF20" i="43" s="1"/>
  <c r="BF21" i="43" s="1"/>
  <c r="BF22" i="43" s="1"/>
  <c r="BF23" i="43" s="1"/>
  <c r="BF24" i="43" s="1"/>
  <c r="BF25" i="43" s="1"/>
  <c r="BF26" i="43" s="1"/>
  <c r="BF27" i="43" s="1"/>
  <c r="BF28" i="43" s="1"/>
  <c r="BF29" i="43" s="1"/>
  <c r="BF30" i="43" s="1"/>
  <c r="BF31" i="43" s="1"/>
  <c r="BF32" i="43" s="1"/>
  <c r="BA5" i="43"/>
  <c r="BA6" i="43" s="1"/>
  <c r="BA7" i="43" s="1"/>
  <c r="BA8" i="43" s="1"/>
  <c r="BA9" i="43" s="1"/>
  <c r="BA10" i="43" s="1"/>
  <c r="BA11" i="43" s="1"/>
  <c r="BA12" i="43" s="1"/>
  <c r="BA13" i="43" s="1"/>
  <c r="BA14" i="43" s="1"/>
  <c r="BA15" i="43" s="1"/>
  <c r="BA16" i="43" s="1"/>
  <c r="BA17" i="43" s="1"/>
  <c r="BA18" i="43" s="1"/>
  <c r="BA19" i="43" s="1"/>
  <c r="BA20" i="43" s="1"/>
  <c r="BA21" i="43" s="1"/>
  <c r="BA22" i="43" s="1"/>
  <c r="BA23" i="43" s="1"/>
  <c r="BA24" i="43" s="1"/>
  <c r="BA25" i="43" s="1"/>
  <c r="BA26" i="43" s="1"/>
  <c r="BA27" i="43" s="1"/>
  <c r="BA28" i="43" s="1"/>
  <c r="BA29" i="43" s="1"/>
  <c r="BA30" i="43" s="1"/>
  <c r="BA31" i="43" s="1"/>
  <c r="BA32" i="43" s="1"/>
  <c r="AV5" i="43"/>
  <c r="AV6" i="43" s="1"/>
  <c r="AV7" i="43" s="1"/>
  <c r="AV8" i="43" s="1"/>
  <c r="AV9" i="43" s="1"/>
  <c r="AV10" i="43" s="1"/>
  <c r="AV11" i="43" s="1"/>
  <c r="AV12" i="43" s="1"/>
  <c r="AV13" i="43" s="1"/>
  <c r="AV14" i="43" s="1"/>
  <c r="AV15" i="43" s="1"/>
  <c r="AV16" i="43" s="1"/>
  <c r="AV17" i="43" s="1"/>
  <c r="AV18" i="43" s="1"/>
  <c r="AV19" i="43" s="1"/>
  <c r="AV20" i="43" s="1"/>
  <c r="AV21" i="43" s="1"/>
  <c r="AV22" i="43" s="1"/>
  <c r="AV23" i="43" s="1"/>
  <c r="AV24" i="43" s="1"/>
  <c r="AV25" i="43" s="1"/>
  <c r="AV26" i="43" s="1"/>
  <c r="AV27" i="43" s="1"/>
  <c r="AV28" i="43" s="1"/>
  <c r="AV29" i="43" s="1"/>
  <c r="AV30" i="43" s="1"/>
  <c r="AV31" i="43" s="1"/>
  <c r="AV32" i="43" s="1"/>
  <c r="AP5" i="43"/>
  <c r="AP6" i="43" s="1"/>
  <c r="AP7" i="43" s="1"/>
  <c r="AP8" i="43" s="1"/>
  <c r="AP9" i="43" s="1"/>
  <c r="AP10" i="43" s="1"/>
  <c r="AP11" i="43" s="1"/>
  <c r="AP12" i="43" s="1"/>
  <c r="AP13" i="43" s="1"/>
  <c r="AP14" i="43" s="1"/>
  <c r="AP15" i="43" s="1"/>
  <c r="AP16" i="43" s="1"/>
  <c r="AP17" i="43" s="1"/>
  <c r="AP18" i="43" s="1"/>
  <c r="AP19" i="43" s="1"/>
  <c r="AP20" i="43" s="1"/>
  <c r="AP21" i="43" s="1"/>
  <c r="AP22" i="43" s="1"/>
  <c r="AP23" i="43" s="1"/>
  <c r="AP24" i="43" s="1"/>
  <c r="AP25" i="43" s="1"/>
  <c r="AP26" i="43" s="1"/>
  <c r="AP27" i="43" s="1"/>
  <c r="AP28" i="43" s="1"/>
  <c r="AP29" i="43" s="1"/>
  <c r="AP30" i="43" s="1"/>
  <c r="AP31" i="43" s="1"/>
  <c r="AP32" i="43" s="1"/>
  <c r="B5" i="43"/>
  <c r="B6" i="43" s="1"/>
  <c r="B7" i="43" s="1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AF3" i="43"/>
  <c r="AD3" i="43"/>
  <c r="W3" i="43"/>
  <c r="V3" i="43"/>
  <c r="U3" i="43"/>
  <c r="BU13" i="44" l="1"/>
  <c r="AT14" i="17"/>
  <c r="BK13" i="44"/>
  <c r="AS19" i="43"/>
  <c r="BU14" i="44" l="1"/>
  <c r="AT15" i="17"/>
  <c r="BK14" i="44"/>
  <c r="AQ14" i="43"/>
  <c r="AS20" i="43"/>
  <c r="AS18" i="43"/>
  <c r="AS17" i="43"/>
  <c r="BU15" i="44" l="1"/>
  <c r="AT16" i="17"/>
  <c r="BK15" i="44"/>
  <c r="AQ15" i="43"/>
  <c r="CD20" i="43"/>
  <c r="BU16" i="44" l="1"/>
  <c r="AT17" i="17"/>
  <c r="BK16" i="44"/>
  <c r="AQ16" i="43"/>
  <c r="BU17" i="44" l="1"/>
  <c r="BS19" i="43"/>
  <c r="CL19" i="44"/>
  <c r="AT18" i="17"/>
  <c r="BK17" i="44"/>
  <c r="AQ17" i="43"/>
  <c r="BI19" i="43"/>
  <c r="BM19" i="43"/>
  <c r="BN19" i="43"/>
  <c r="BN20" i="43"/>
  <c r="BH19" i="43"/>
  <c r="CE19" i="43"/>
  <c r="BU18" i="44" l="1"/>
  <c r="BT19" i="43"/>
  <c r="CM19" i="44"/>
  <c r="BX19" i="43"/>
  <c r="CQ19" i="44"/>
  <c r="AT19" i="17"/>
  <c r="BK18" i="44"/>
  <c r="AQ18" i="43"/>
  <c r="BR19" i="43"/>
  <c r="CK19" i="44"/>
  <c r="CE20" i="43"/>
  <c r="BI20" i="43"/>
  <c r="BG19" i="43"/>
  <c r="BK19" i="43"/>
  <c r="CF19" i="43"/>
  <c r="CG19" i="43"/>
  <c r="BH20" i="43"/>
  <c r="BM20" i="43"/>
  <c r="O35" i="9"/>
  <c r="BU19" i="44" l="1"/>
  <c r="BS20" i="43"/>
  <c r="CL20" i="44"/>
  <c r="BV19" i="43"/>
  <c r="CO19" i="44"/>
  <c r="BU19" i="43"/>
  <c r="CN19" i="44"/>
  <c r="BT20" i="43"/>
  <c r="CM20" i="44"/>
  <c r="BX20" i="43"/>
  <c r="CQ20" i="44"/>
  <c r="AT20" i="17"/>
  <c r="BK19" i="44"/>
  <c r="AQ19" i="43"/>
  <c r="BH21" i="43"/>
  <c r="CE21" i="43"/>
  <c r="BI21" i="43"/>
  <c r="BM21" i="43"/>
  <c r="CG20" i="43"/>
  <c r="CF20" i="43"/>
  <c r="BG20" i="43"/>
  <c r="BK20" i="43"/>
  <c r="CR18" i="44"/>
  <c r="CN20" i="17"/>
  <c r="CK20" i="43" s="1"/>
  <c r="CK19" i="43"/>
  <c r="CN18" i="17"/>
  <c r="CK18" i="43" s="1"/>
  <c r="CN17" i="17"/>
  <c r="CN16" i="17"/>
  <c r="CK16" i="43" s="1"/>
  <c r="CN15" i="17"/>
  <c r="CN14" i="17"/>
  <c r="CK14" i="43" s="1"/>
  <c r="CN13" i="17"/>
  <c r="CK13" i="43" s="1"/>
  <c r="CN12" i="17"/>
  <c r="CK12" i="43" s="1"/>
  <c r="CN11" i="17"/>
  <c r="CK11" i="43" s="1"/>
  <c r="CN10" i="17"/>
  <c r="CK10" i="43" s="1"/>
  <c r="CN9" i="17"/>
  <c r="CK9" i="43" s="1"/>
  <c r="CN8" i="17"/>
  <c r="CK8" i="43" s="1"/>
  <c r="CN7" i="17"/>
  <c r="CK7" i="43" s="1"/>
  <c r="CN6" i="17"/>
  <c r="CK6" i="43" s="1"/>
  <c r="CN5" i="17"/>
  <c r="CK5" i="43" s="1"/>
  <c r="CE5" i="17"/>
  <c r="CE6" i="17" s="1"/>
  <c r="CE7" i="17" s="1"/>
  <c r="CE8" i="17" s="1"/>
  <c r="CE9" i="17" s="1"/>
  <c r="CE10" i="17" s="1"/>
  <c r="CE11" i="17" s="1"/>
  <c r="CE12" i="17" s="1"/>
  <c r="CE13" i="17" s="1"/>
  <c r="CE14" i="17" s="1"/>
  <c r="CE15" i="17" s="1"/>
  <c r="CE16" i="17" s="1"/>
  <c r="CE17" i="17" s="1"/>
  <c r="CE18" i="17" s="1"/>
  <c r="CE19" i="17" s="1"/>
  <c r="CE20" i="17" s="1"/>
  <c r="CE21" i="17" s="1"/>
  <c r="CE22" i="17" s="1"/>
  <c r="CE23" i="17" s="1"/>
  <c r="CE24" i="17" s="1"/>
  <c r="CE25" i="17" s="1"/>
  <c r="CE26" i="17" s="1"/>
  <c r="CE27" i="17" s="1"/>
  <c r="CE28" i="17" s="1"/>
  <c r="CE29" i="17" s="1"/>
  <c r="CE30" i="17" s="1"/>
  <c r="CE31" i="17" s="1"/>
  <c r="CE32" i="17" s="1"/>
  <c r="CE33" i="17" s="1"/>
  <c r="CE34" i="17" s="1"/>
  <c r="CK4" i="43"/>
  <c r="CC17" i="17"/>
  <c r="BZ17" i="43" s="1"/>
  <c r="CC16" i="17"/>
  <c r="BZ16" i="43" s="1"/>
  <c r="CC15" i="17"/>
  <c r="BZ15" i="43" s="1"/>
  <c r="CC14" i="17"/>
  <c r="BZ14" i="43" s="1"/>
  <c r="CC13" i="17"/>
  <c r="BZ13" i="43" s="1"/>
  <c r="CC12" i="17"/>
  <c r="BZ12" i="43" s="1"/>
  <c r="CC11" i="17"/>
  <c r="BZ11" i="43" s="1"/>
  <c r="CC10" i="17"/>
  <c r="BZ10" i="43" s="1"/>
  <c r="CC9" i="17"/>
  <c r="BZ9" i="43" s="1"/>
  <c r="BZ8" i="43"/>
  <c r="CC7" i="17"/>
  <c r="BZ7" i="43" s="1"/>
  <c r="CC6" i="17"/>
  <c r="BZ6" i="43" s="1"/>
  <c r="CC5" i="17"/>
  <c r="BZ5" i="43" s="1"/>
  <c r="BT5" i="17"/>
  <c r="BT6" i="17" s="1"/>
  <c r="BT7" i="17" s="1"/>
  <c r="BT8" i="17" s="1"/>
  <c r="BT9" i="17" s="1"/>
  <c r="BT10" i="17" s="1"/>
  <c r="BT11" i="17" s="1"/>
  <c r="BT12" i="17" s="1"/>
  <c r="BT13" i="17" s="1"/>
  <c r="BT14" i="17" s="1"/>
  <c r="BT15" i="17" s="1"/>
  <c r="BT16" i="17" s="1"/>
  <c r="BT17" i="17" s="1"/>
  <c r="BT18" i="17" s="1"/>
  <c r="BT19" i="17" s="1"/>
  <c r="BT20" i="17" s="1"/>
  <c r="BT21" i="17" s="1"/>
  <c r="BT22" i="17" s="1"/>
  <c r="BT23" i="17" s="1"/>
  <c r="BT24" i="17" s="1"/>
  <c r="BT25" i="17" s="1"/>
  <c r="BT26" i="17" s="1"/>
  <c r="BT27" i="17" s="1"/>
  <c r="BT28" i="17" s="1"/>
  <c r="BT29" i="17" s="1"/>
  <c r="BT30" i="17" s="1"/>
  <c r="BT31" i="17" s="1"/>
  <c r="BT32" i="17" s="1"/>
  <c r="BT33" i="17" s="1"/>
  <c r="BT34" i="17" s="1"/>
  <c r="CC4" i="17"/>
  <c r="BZ4" i="43" s="1"/>
  <c r="BO4" i="43"/>
  <c r="BO5" i="43"/>
  <c r="BO6" i="43"/>
  <c r="BR7" i="17"/>
  <c r="BO7" i="43" s="1"/>
  <c r="BR8" i="17"/>
  <c r="BO8" i="43" s="1"/>
  <c r="BR9" i="17"/>
  <c r="BO9" i="43" s="1"/>
  <c r="BR10" i="17"/>
  <c r="BO10" i="43" s="1"/>
  <c r="BR11" i="17"/>
  <c r="BO11" i="43" s="1"/>
  <c r="BR12" i="17"/>
  <c r="BO12" i="43" s="1"/>
  <c r="BR13" i="17"/>
  <c r="BO13" i="43" s="1"/>
  <c r="BR14" i="17"/>
  <c r="BO14" i="43" s="1"/>
  <c r="BR15" i="17"/>
  <c r="BO15" i="43" s="1"/>
  <c r="BR16" i="17"/>
  <c r="BO16" i="43" s="1"/>
  <c r="BR17" i="17"/>
  <c r="BO17" i="43" s="1"/>
  <c r="BR18" i="17"/>
  <c r="BO18" i="43" s="1"/>
  <c r="CK17" i="43" l="1"/>
  <c r="CK15" i="43"/>
  <c r="BU21" i="44"/>
  <c r="BU20" i="44"/>
  <c r="BR18" i="43"/>
  <c r="CK18" i="44"/>
  <c r="BU18" i="43"/>
  <c r="CN18" i="44"/>
  <c r="BR20" i="43"/>
  <c r="CK20" i="44"/>
  <c r="BS21" i="43"/>
  <c r="CL21" i="44"/>
  <c r="BV18" i="43"/>
  <c r="CO18" i="44"/>
  <c r="BT18" i="43"/>
  <c r="CM18" i="44"/>
  <c r="BV20" i="43"/>
  <c r="CO20" i="44"/>
  <c r="BX21" i="43"/>
  <c r="CQ21" i="44"/>
  <c r="AT21" i="17"/>
  <c r="BK20" i="44"/>
  <c r="AQ20" i="43"/>
  <c r="BX18" i="43"/>
  <c r="CQ18" i="44"/>
  <c r="BS18" i="43"/>
  <c r="CL18" i="44"/>
  <c r="BU20" i="43"/>
  <c r="CN20" i="44"/>
  <c r="BT21" i="43"/>
  <c r="CM21" i="44"/>
  <c r="CE23" i="43"/>
  <c r="BI22" i="43"/>
  <c r="BM23" i="43"/>
  <c r="CL23" i="44"/>
  <c r="BH23" i="43"/>
  <c r="BY18" i="43"/>
  <c r="CR19" i="44"/>
  <c r="CS19" i="44" s="1"/>
  <c r="CG21" i="43"/>
  <c r="CE22" i="43"/>
  <c r="CK21" i="43"/>
  <c r="CF21" i="43"/>
  <c r="BG21" i="43"/>
  <c r="CK21" i="44"/>
  <c r="BK21" i="43"/>
  <c r="BM22" i="43"/>
  <c r="CL22" i="44"/>
  <c r="BH22" i="43"/>
  <c r="CC18" i="17"/>
  <c r="BZ18" i="43" s="1"/>
  <c r="AS16" i="43"/>
  <c r="AS15" i="43"/>
  <c r="AS13" i="43"/>
  <c r="AS11" i="43"/>
  <c r="AS10" i="43"/>
  <c r="AS8" i="43"/>
  <c r="AS7" i="43"/>
  <c r="AS6" i="43"/>
  <c r="AS5" i="43"/>
  <c r="AS4" i="43"/>
  <c r="BT22" i="43" l="1"/>
  <c r="CM22" i="44"/>
  <c r="BT23" i="43"/>
  <c r="CM23" i="44"/>
  <c r="CS18" i="44"/>
  <c r="BX22" i="43"/>
  <c r="CQ22" i="44"/>
  <c r="BV21" i="43"/>
  <c r="CO21" i="44"/>
  <c r="BS23" i="43"/>
  <c r="AT22" i="17"/>
  <c r="BK21" i="44"/>
  <c r="AQ21" i="43"/>
  <c r="BU21" i="43"/>
  <c r="CN21" i="44"/>
  <c r="BX23" i="43"/>
  <c r="CQ23" i="44"/>
  <c r="BS22" i="43"/>
  <c r="CN22" i="17"/>
  <c r="CK22" i="43" s="1"/>
  <c r="CG23" i="43"/>
  <c r="BM24" i="43"/>
  <c r="BK22" i="43"/>
  <c r="CN24" i="17"/>
  <c r="CK24" i="43" s="1"/>
  <c r="CF23" i="43"/>
  <c r="CL24" i="44"/>
  <c r="BH24" i="43"/>
  <c r="CN23" i="17"/>
  <c r="CK23" i="43" s="1"/>
  <c r="CK23" i="44"/>
  <c r="BG23" i="43"/>
  <c r="BI23" i="43"/>
  <c r="CE24" i="43"/>
  <c r="CG22" i="43"/>
  <c r="CF22" i="43"/>
  <c r="BY19" i="43"/>
  <c r="CR20" i="44"/>
  <c r="CS20" i="44" s="1"/>
  <c r="CC19" i="17"/>
  <c r="BZ19" i="43" s="1"/>
  <c r="BR21" i="43"/>
  <c r="CC21" i="17"/>
  <c r="AS12" i="43"/>
  <c r="CK22" i="44"/>
  <c r="BG22" i="43"/>
  <c r="AS9" i="43"/>
  <c r="AS14" i="43"/>
  <c r="X5" i="43"/>
  <c r="X6" i="43"/>
  <c r="X7" i="43"/>
  <c r="X8" i="43"/>
  <c r="X9" i="43"/>
  <c r="X10" i="43"/>
  <c r="X11" i="43"/>
  <c r="X12" i="43"/>
  <c r="X13" i="43"/>
  <c r="X14" i="43"/>
  <c r="X15" i="43"/>
  <c r="X16" i="43"/>
  <c r="X17" i="43"/>
  <c r="X18" i="43"/>
  <c r="X19" i="43"/>
  <c r="X20" i="43"/>
  <c r="X21" i="43"/>
  <c r="X22" i="43"/>
  <c r="X23" i="43"/>
  <c r="X24" i="43"/>
  <c r="X25" i="43"/>
  <c r="X26" i="43"/>
  <c r="X27" i="43"/>
  <c r="X28" i="43"/>
  <c r="X29" i="43"/>
  <c r="X30" i="43"/>
  <c r="X31" i="43"/>
  <c r="X32" i="43"/>
  <c r="AF5" i="43"/>
  <c r="AF6" i="43"/>
  <c r="AF7" i="43"/>
  <c r="AF8" i="43"/>
  <c r="AF9" i="43"/>
  <c r="AF10" i="43"/>
  <c r="AF11" i="43"/>
  <c r="AF12" i="43"/>
  <c r="AF13" i="43"/>
  <c r="AF14" i="43"/>
  <c r="AF15" i="43"/>
  <c r="AF16" i="43"/>
  <c r="AF17" i="43"/>
  <c r="AF18" i="43"/>
  <c r="AF19" i="43"/>
  <c r="AF20" i="43"/>
  <c r="AF21" i="43"/>
  <c r="AF22" i="43"/>
  <c r="AF23" i="43"/>
  <c r="AF24" i="43"/>
  <c r="AF25" i="43"/>
  <c r="AF26" i="43"/>
  <c r="AF27" i="43"/>
  <c r="AF28" i="43"/>
  <c r="AF29" i="43"/>
  <c r="AF30" i="43"/>
  <c r="AF31" i="43"/>
  <c r="AF32" i="43"/>
  <c r="BZ21" i="43" l="1"/>
  <c r="CS21" i="44"/>
  <c r="BV22" i="43"/>
  <c r="CO22" i="44"/>
  <c r="BS24" i="43"/>
  <c r="BU23" i="43"/>
  <c r="CN23" i="44"/>
  <c r="AT23" i="17"/>
  <c r="BK22" i="44"/>
  <c r="AQ22" i="43"/>
  <c r="BT24" i="43"/>
  <c r="CM24" i="44"/>
  <c r="BU22" i="43"/>
  <c r="CN22" i="44"/>
  <c r="BX24" i="43"/>
  <c r="CQ24" i="44"/>
  <c r="CK24" i="44"/>
  <c r="BG24" i="43"/>
  <c r="CL25" i="44"/>
  <c r="BH25" i="43"/>
  <c r="BI24" i="43"/>
  <c r="CE25" i="43"/>
  <c r="CF24" i="43"/>
  <c r="CG24" i="43"/>
  <c r="BK23" i="43"/>
  <c r="BR23" i="43"/>
  <c r="BM25" i="43"/>
  <c r="BR22" i="43"/>
  <c r="CC22" i="17"/>
  <c r="BZ22" i="43" s="1"/>
  <c r="BY20" i="43"/>
  <c r="CC20" i="17"/>
  <c r="BZ20" i="43" s="1"/>
  <c r="CS22" i="44" l="1"/>
  <c r="BS25" i="43"/>
  <c r="AT24" i="17"/>
  <c r="BK23" i="44"/>
  <c r="AQ23" i="43"/>
  <c r="BV23" i="43"/>
  <c r="CO23" i="44"/>
  <c r="CS23" i="44" s="1"/>
  <c r="BU24" i="43"/>
  <c r="CN24" i="44"/>
  <c r="BX25" i="43"/>
  <c r="CQ25" i="44"/>
  <c r="CG25" i="43"/>
  <c r="BM26" i="43"/>
  <c r="BK24" i="43"/>
  <c r="BI25" i="43"/>
  <c r="CC23" i="17"/>
  <c r="BZ23" i="43" s="1"/>
  <c r="BR24" i="43"/>
  <c r="CN25" i="17"/>
  <c r="CK25" i="43" s="1"/>
  <c r="BH26" i="43"/>
  <c r="CF25" i="43"/>
  <c r="CE26" i="43"/>
  <c r="CN26" i="17"/>
  <c r="CK26" i="43" s="1"/>
  <c r="CK25" i="44"/>
  <c r="BG25" i="43"/>
  <c r="BB4" i="43"/>
  <c r="BO19" i="43"/>
  <c r="BO20" i="43"/>
  <c r="BO21" i="43"/>
  <c r="BR22" i="17"/>
  <c r="BO22" i="43" s="1"/>
  <c r="BR23" i="17"/>
  <c r="BO23" i="43" s="1"/>
  <c r="BR24" i="17"/>
  <c r="BO24" i="43" s="1"/>
  <c r="BR25" i="17"/>
  <c r="BO25" i="43" s="1"/>
  <c r="BI5" i="17"/>
  <c r="BI6" i="17" s="1"/>
  <c r="BI7" i="17" s="1"/>
  <c r="BI8" i="17" s="1"/>
  <c r="BI9" i="17" s="1"/>
  <c r="BI10" i="17" s="1"/>
  <c r="BI11" i="17" s="1"/>
  <c r="BI12" i="17" s="1"/>
  <c r="BI13" i="17" s="1"/>
  <c r="BI14" i="17" s="1"/>
  <c r="BI15" i="17" s="1"/>
  <c r="BI16" i="17" s="1"/>
  <c r="BI17" i="17" s="1"/>
  <c r="BI18" i="17" s="1"/>
  <c r="BI19" i="17" s="1"/>
  <c r="BI20" i="17" s="1"/>
  <c r="BI21" i="17" s="1"/>
  <c r="BI22" i="17" s="1"/>
  <c r="BI23" i="17" s="1"/>
  <c r="BI24" i="17" s="1"/>
  <c r="BI25" i="17" s="1"/>
  <c r="BI26" i="17" s="1"/>
  <c r="BI27" i="17" s="1"/>
  <c r="BI28" i="17" s="1"/>
  <c r="BI29" i="17" s="1"/>
  <c r="BI30" i="17" s="1"/>
  <c r="BI31" i="17" s="1"/>
  <c r="BI32" i="17" s="1"/>
  <c r="BI33" i="17" s="1"/>
  <c r="BI34" i="17" s="1"/>
  <c r="BD5" i="17"/>
  <c r="BD6" i="17" s="1"/>
  <c r="BD7" i="17" s="1"/>
  <c r="BD8" i="17" s="1"/>
  <c r="BD9" i="17" s="1"/>
  <c r="BD10" i="17" s="1"/>
  <c r="BD11" i="17" s="1"/>
  <c r="BD12" i="17" s="1"/>
  <c r="BD13" i="17" s="1"/>
  <c r="BD14" i="17" s="1"/>
  <c r="BD15" i="17" s="1"/>
  <c r="BD16" i="17" s="1"/>
  <c r="BD17" i="17" s="1"/>
  <c r="BD18" i="17" s="1"/>
  <c r="BD19" i="17" s="1"/>
  <c r="BD20" i="17" s="1"/>
  <c r="BD21" i="17" s="1"/>
  <c r="BD22" i="17" s="1"/>
  <c r="BD23" i="17" s="1"/>
  <c r="BD24" i="17" s="1"/>
  <c r="BD25" i="17" s="1"/>
  <c r="BD26" i="17" s="1"/>
  <c r="BD27" i="17" s="1"/>
  <c r="BD28" i="17" s="1"/>
  <c r="BD29" i="17" s="1"/>
  <c r="BD30" i="17" s="1"/>
  <c r="BD31" i="17" s="1"/>
  <c r="BD32" i="17" s="1"/>
  <c r="BD33" i="17" s="1"/>
  <c r="BD34" i="17" s="1"/>
  <c r="AY5" i="17"/>
  <c r="AY6" i="17" s="1"/>
  <c r="AY7" i="17" s="1"/>
  <c r="AY8" i="17" s="1"/>
  <c r="AY9" i="17" s="1"/>
  <c r="AY10" i="17" s="1"/>
  <c r="AY11" i="17" s="1"/>
  <c r="AY12" i="17" s="1"/>
  <c r="AY13" i="17" s="1"/>
  <c r="AY14" i="17" s="1"/>
  <c r="AY15" i="17" s="1"/>
  <c r="AY16" i="17" s="1"/>
  <c r="AY17" i="17" s="1"/>
  <c r="AY18" i="17" s="1"/>
  <c r="AY19" i="17" s="1"/>
  <c r="AY20" i="17" s="1"/>
  <c r="AY21" i="17" s="1"/>
  <c r="AY22" i="17" s="1"/>
  <c r="AY23" i="17" s="1"/>
  <c r="AY24" i="17" s="1"/>
  <c r="AY25" i="17" s="1"/>
  <c r="AY26" i="17" s="1"/>
  <c r="AY27" i="17" s="1"/>
  <c r="AY28" i="17" s="1"/>
  <c r="AY29" i="17" s="1"/>
  <c r="AY30" i="17" s="1"/>
  <c r="AY31" i="17" s="1"/>
  <c r="AY32" i="17" s="1"/>
  <c r="AY33" i="17" s="1"/>
  <c r="AY34" i="17" s="1"/>
  <c r="AS5" i="17"/>
  <c r="AS6" i="17" s="1"/>
  <c r="AS7" i="17" s="1"/>
  <c r="AS8" i="17" s="1"/>
  <c r="AS9" i="17" s="1"/>
  <c r="AS10" i="17" s="1"/>
  <c r="AS11" i="17" s="1"/>
  <c r="AS12" i="17" s="1"/>
  <c r="AS13" i="17" s="1"/>
  <c r="AS14" i="17" s="1"/>
  <c r="AS15" i="17" s="1"/>
  <c r="AS16" i="17" s="1"/>
  <c r="AS17" i="17" s="1"/>
  <c r="AS18" i="17" s="1"/>
  <c r="AS19" i="17" s="1"/>
  <c r="AS20" i="17" s="1"/>
  <c r="AS21" i="17" s="1"/>
  <c r="AS22" i="17" s="1"/>
  <c r="AS23" i="17" s="1"/>
  <c r="AS24" i="17" s="1"/>
  <c r="AS25" i="17" s="1"/>
  <c r="AS26" i="17" s="1"/>
  <c r="AS27" i="17" s="1"/>
  <c r="AS28" i="17" s="1"/>
  <c r="AS29" i="17" s="1"/>
  <c r="AS30" i="17" s="1"/>
  <c r="AS31" i="17" s="1"/>
  <c r="AS32" i="17" s="1"/>
  <c r="AS33" i="17" s="1"/>
  <c r="AS34" i="17" s="1"/>
  <c r="BV24" i="43" l="1"/>
  <c r="CO24" i="44"/>
  <c r="CS24" i="44" s="1"/>
  <c r="BT25" i="43"/>
  <c r="CM25" i="44"/>
  <c r="AT25" i="17"/>
  <c r="BK24" i="44"/>
  <c r="AQ24" i="43"/>
  <c r="BS26" i="43"/>
  <c r="BX26" i="43"/>
  <c r="BU25" i="43"/>
  <c r="CN25" i="44"/>
  <c r="CE28" i="43"/>
  <c r="BH28" i="43"/>
  <c r="BH27" i="43"/>
  <c r="BI26" i="43"/>
  <c r="BR25" i="43"/>
  <c r="CE27" i="43"/>
  <c r="BK25" i="43"/>
  <c r="CF26" i="43"/>
  <c r="BG26" i="43"/>
  <c r="CC24" i="17"/>
  <c r="BZ24" i="43" s="1"/>
  <c r="CG26" i="43"/>
  <c r="BB5" i="43"/>
  <c r="BS28" i="43" l="1"/>
  <c r="BT26" i="43"/>
  <c r="BU26" i="43"/>
  <c r="BS27" i="43"/>
  <c r="BV25" i="43"/>
  <c r="CO25" i="44"/>
  <c r="CS25" i="44" s="1"/>
  <c r="AT26" i="17"/>
  <c r="BK25" i="44"/>
  <c r="AQ25" i="43"/>
  <c r="BH30" i="43"/>
  <c r="CG27" i="43"/>
  <c r="BG28" i="43"/>
  <c r="BS29" i="43"/>
  <c r="BH29" i="43"/>
  <c r="CF28" i="43"/>
  <c r="BI27" i="43"/>
  <c r="CF27" i="43"/>
  <c r="BK26" i="43"/>
  <c r="BO26" i="43"/>
  <c r="CC25" i="17"/>
  <c r="BZ25" i="43" s="1"/>
  <c r="BR26" i="43"/>
  <c r="CN27" i="17"/>
  <c r="CK27" i="43" s="1"/>
  <c r="BG27" i="43"/>
  <c r="BR27" i="17"/>
  <c r="BO27" i="43" s="1"/>
  <c r="BB6" i="43"/>
  <c r="F162" i="15"/>
  <c r="AT27" i="17" l="1"/>
  <c r="BK26" i="44"/>
  <c r="AQ26" i="43"/>
  <c r="BS30" i="43"/>
  <c r="BV26" i="43"/>
  <c r="CS26" i="44"/>
  <c r="BU28" i="43"/>
  <c r="BU27" i="43"/>
  <c r="BT27" i="43"/>
  <c r="C11" i="14"/>
  <c r="BR28" i="17"/>
  <c r="BO28" i="43" s="1"/>
  <c r="CF30" i="43"/>
  <c r="BG30" i="43"/>
  <c r="CF29" i="43"/>
  <c r="CG28" i="43"/>
  <c r="BG29" i="43"/>
  <c r="BI28" i="43"/>
  <c r="BK28" i="43"/>
  <c r="BR28" i="43"/>
  <c r="CN28" i="17"/>
  <c r="CK28" i="43" s="1"/>
  <c r="BR27" i="43"/>
  <c r="CC26" i="17"/>
  <c r="BZ26" i="43" s="1"/>
  <c r="BK27" i="43"/>
  <c r="BB7" i="43"/>
  <c r="AD11" i="44" l="1"/>
  <c r="AK11" i="17"/>
  <c r="T50" i="45"/>
  <c r="Z50" i="45" s="1"/>
  <c r="BV27" i="43"/>
  <c r="CS27" i="44"/>
  <c r="BU30" i="43"/>
  <c r="BU29" i="43"/>
  <c r="CS29" i="44"/>
  <c r="BV28" i="43"/>
  <c r="AT28" i="17"/>
  <c r="BK28" i="44" s="1"/>
  <c r="BK27" i="44"/>
  <c r="AQ27" i="43"/>
  <c r="BT28" i="43"/>
  <c r="BK30" i="43"/>
  <c r="CG29" i="43"/>
  <c r="BH32" i="43"/>
  <c r="BG31" i="43"/>
  <c r="CF31" i="43"/>
  <c r="BR30" i="43"/>
  <c r="BR30" i="17"/>
  <c r="BO30" i="43" s="1"/>
  <c r="BO29" i="43"/>
  <c r="CC28" i="17"/>
  <c r="BZ28" i="43" s="1"/>
  <c r="BR29" i="43"/>
  <c r="CK29" i="43"/>
  <c r="BV29" i="43"/>
  <c r="BK29" i="43"/>
  <c r="CC27" i="17"/>
  <c r="BZ27" i="43" s="1"/>
  <c r="BB8" i="43"/>
  <c r="AB11" i="17" l="1"/>
  <c r="AA11" i="17"/>
  <c r="J11" i="14" s="1"/>
  <c r="AG11" i="43"/>
  <c r="AT29" i="17"/>
  <c r="BK29" i="44" s="1"/>
  <c r="AQ28" i="43"/>
  <c r="CS28" i="44"/>
  <c r="BU31" i="43"/>
  <c r="BS32" i="43"/>
  <c r="BU32" i="43"/>
  <c r="CF32" i="43"/>
  <c r="BR31" i="43"/>
  <c r="CG30" i="43"/>
  <c r="CN30" i="17"/>
  <c r="CK30" i="43" s="1"/>
  <c r="CC29" i="17"/>
  <c r="BZ29" i="43" s="1"/>
  <c r="BK31" i="43"/>
  <c r="BB9" i="43"/>
  <c r="AT30" i="17" l="1"/>
  <c r="BK30" i="44" s="1"/>
  <c r="AQ29" i="43"/>
  <c r="BK32" i="43"/>
  <c r="BO32" i="43"/>
  <c r="BV30" i="43"/>
  <c r="CC30" i="17"/>
  <c r="BZ30" i="43" s="1"/>
  <c r="BR32" i="43"/>
  <c r="CG31" i="43"/>
  <c r="CK31" i="43"/>
  <c r="BB10" i="43"/>
  <c r="AT31" i="17" l="1"/>
  <c r="BK31" i="44" s="1"/>
  <c r="AQ30" i="43"/>
  <c r="BV31" i="43"/>
  <c r="CG32" i="43"/>
  <c r="CK32" i="43"/>
  <c r="BB11" i="43"/>
  <c r="AT32" i="17" l="1"/>
  <c r="BV32" i="43"/>
  <c r="BZ32" i="43"/>
  <c r="BB12" i="43"/>
  <c r="X3" i="5"/>
  <c r="C34" i="5"/>
  <c r="X4" i="17"/>
  <c r="X4" i="43" s="1"/>
  <c r="AF4" i="43"/>
  <c r="BK32" i="44" l="1"/>
  <c r="AT33" i="17"/>
  <c r="AQ32" i="43"/>
  <c r="C38" i="5"/>
  <c r="BB13" i="43"/>
  <c r="X35" i="17"/>
  <c r="X33" i="43" s="1"/>
  <c r="BK33" i="44" l="1"/>
  <c r="AT34" i="17"/>
  <c r="BB14" i="43"/>
  <c r="BK34" i="44" l="1"/>
  <c r="AQ31" i="43"/>
  <c r="BB15" i="43"/>
  <c r="BB16" i="43" l="1"/>
  <c r="BB17" i="43" l="1"/>
  <c r="BB18" i="43" l="1"/>
  <c r="H383" i="15"/>
  <c r="BB19" i="43" l="1"/>
  <c r="H35" i="37"/>
  <c r="BB20" i="43" l="1"/>
  <c r="BB21" i="43" l="1"/>
  <c r="H343" i="15"/>
  <c r="BB22" i="43" l="1"/>
  <c r="H328" i="15"/>
  <c r="BB23" i="43" l="1"/>
  <c r="H295" i="15"/>
  <c r="H297" i="15"/>
  <c r="H313" i="15"/>
  <c r="H314" i="15"/>
  <c r="H315" i="15"/>
  <c r="H321" i="15"/>
  <c r="H327" i="15"/>
  <c r="H303" i="15"/>
  <c r="BB24" i="43" l="1"/>
  <c r="H298" i="15"/>
  <c r="F299" i="15"/>
  <c r="H301" i="15"/>
  <c r="H302" i="15"/>
  <c r="C19" i="14" l="1"/>
  <c r="C35" i="14" s="1"/>
  <c r="BB25" i="43"/>
  <c r="H289" i="15"/>
  <c r="T73" i="45" l="1"/>
  <c r="Z73" i="45" s="1"/>
  <c r="AK34" i="17"/>
  <c r="AA34" i="17" s="1"/>
  <c r="J34" i="14" s="1"/>
  <c r="AD19" i="44"/>
  <c r="AG19" i="43"/>
  <c r="T58" i="45"/>
  <c r="Z58" i="45" s="1"/>
  <c r="BB28" i="43"/>
  <c r="BB27" i="43"/>
  <c r="BB26" i="43"/>
  <c r="AB34" i="17" l="1"/>
  <c r="AK19" i="17"/>
  <c r="AA19" i="17" s="1"/>
  <c r="J19" i="14" s="1"/>
  <c r="BB29" i="43"/>
  <c r="H246" i="15"/>
  <c r="H236" i="15"/>
  <c r="H247" i="15"/>
  <c r="AB19" i="17" l="1"/>
  <c r="BB30" i="43"/>
  <c r="BB32" i="43" l="1"/>
  <c r="BB31" i="43"/>
  <c r="H231" i="15"/>
  <c r="H194" i="15" l="1"/>
  <c r="H195" i="15"/>
  <c r="H196" i="15"/>
  <c r="H189" i="15"/>
  <c r="H172" i="15" l="1"/>
  <c r="H173" i="15"/>
  <c r="H174" i="15"/>
  <c r="H175" i="15"/>
  <c r="H176" i="15"/>
  <c r="H177" i="15"/>
  <c r="H178" i="15"/>
  <c r="H147" i="15" l="1"/>
  <c r="H148" i="15"/>
  <c r="H156" i="15"/>
  <c r="H158" i="15"/>
  <c r="H159" i="15"/>
  <c r="H160" i="15"/>
  <c r="H127" i="15" l="1"/>
  <c r="H128" i="15"/>
  <c r="H129" i="15"/>
  <c r="H139" i="15"/>
  <c r="H140" i="15"/>
  <c r="H141" i="15"/>
  <c r="H142" i="15"/>
  <c r="AD5" i="43"/>
  <c r="AD6" i="43"/>
  <c r="AD7" i="43"/>
  <c r="AD8" i="43"/>
  <c r="AD9" i="43"/>
  <c r="AD10" i="43"/>
  <c r="AD11" i="43"/>
  <c r="AD12" i="43"/>
  <c r="AD13" i="43"/>
  <c r="AD14" i="43"/>
  <c r="AD15" i="43"/>
  <c r="AD16" i="43"/>
  <c r="AD17" i="43"/>
  <c r="AD18" i="43"/>
  <c r="AD19" i="43"/>
  <c r="AD20" i="43"/>
  <c r="AD21" i="43"/>
  <c r="AD22" i="43"/>
  <c r="AD23" i="43"/>
  <c r="AD24" i="43"/>
  <c r="AD25" i="43"/>
  <c r="AD26" i="43"/>
  <c r="AD27" i="43"/>
  <c r="AD28" i="43"/>
  <c r="AD29" i="43"/>
  <c r="AD30" i="43"/>
  <c r="AD31" i="43"/>
  <c r="AD32" i="43"/>
  <c r="H122" i="15"/>
  <c r="AH19" i="43" l="1"/>
  <c r="AH11" i="43"/>
  <c r="I5" i="43"/>
  <c r="K5" i="43"/>
  <c r="M5" i="43"/>
  <c r="N5" i="43"/>
  <c r="R5" i="43"/>
  <c r="T5" i="43"/>
  <c r="U5" i="43"/>
  <c r="V5" i="43"/>
  <c r="W5" i="43"/>
  <c r="J6" i="43"/>
  <c r="K6" i="43"/>
  <c r="M6" i="43"/>
  <c r="N6" i="43"/>
  <c r="R6" i="43"/>
  <c r="S6" i="43"/>
  <c r="T6" i="43"/>
  <c r="U6" i="43"/>
  <c r="V6" i="43"/>
  <c r="W6" i="43"/>
  <c r="I7" i="43"/>
  <c r="J7" i="43"/>
  <c r="K7" i="43"/>
  <c r="M7" i="43"/>
  <c r="N7" i="43"/>
  <c r="R7" i="43"/>
  <c r="S7" i="43"/>
  <c r="T7" i="43"/>
  <c r="U7" i="43"/>
  <c r="V7" i="43"/>
  <c r="W7" i="43"/>
  <c r="I8" i="43"/>
  <c r="J8" i="43"/>
  <c r="K8" i="43"/>
  <c r="M8" i="43"/>
  <c r="N8" i="43"/>
  <c r="R8" i="43"/>
  <c r="S8" i="43"/>
  <c r="T8" i="43"/>
  <c r="U8" i="43"/>
  <c r="V8" i="43"/>
  <c r="W8" i="43"/>
  <c r="I9" i="43"/>
  <c r="J9" i="43"/>
  <c r="K9" i="43"/>
  <c r="M9" i="43"/>
  <c r="N9" i="43"/>
  <c r="R9" i="43"/>
  <c r="S9" i="43"/>
  <c r="T9" i="43"/>
  <c r="U9" i="43"/>
  <c r="V9" i="43"/>
  <c r="W9" i="43"/>
  <c r="I10" i="43"/>
  <c r="J10" i="43"/>
  <c r="K10" i="43"/>
  <c r="L10" i="43"/>
  <c r="M10" i="43"/>
  <c r="N10" i="43"/>
  <c r="R10" i="43"/>
  <c r="S10" i="43"/>
  <c r="T10" i="43"/>
  <c r="U10" i="43"/>
  <c r="V10" i="43"/>
  <c r="W10" i="43"/>
  <c r="I11" i="43"/>
  <c r="J11" i="43"/>
  <c r="K11" i="43"/>
  <c r="M11" i="43"/>
  <c r="N11" i="43"/>
  <c r="R11" i="43"/>
  <c r="S11" i="43"/>
  <c r="T11" i="43"/>
  <c r="U11" i="43"/>
  <c r="V11" i="43"/>
  <c r="W11" i="43"/>
  <c r="I12" i="43"/>
  <c r="J12" i="43"/>
  <c r="K12" i="43"/>
  <c r="M12" i="43"/>
  <c r="N12" i="43"/>
  <c r="R12" i="43"/>
  <c r="S12" i="43"/>
  <c r="T12" i="43"/>
  <c r="U12" i="43"/>
  <c r="V12" i="43"/>
  <c r="W12" i="43"/>
  <c r="I13" i="43"/>
  <c r="J13" i="43"/>
  <c r="K13" i="43"/>
  <c r="M13" i="43"/>
  <c r="N13" i="43"/>
  <c r="R13" i="43"/>
  <c r="T13" i="43"/>
  <c r="U13" i="43"/>
  <c r="V13" i="43"/>
  <c r="W13" i="43"/>
  <c r="I14" i="43"/>
  <c r="J14" i="43"/>
  <c r="K14" i="43"/>
  <c r="M14" i="43"/>
  <c r="N14" i="43"/>
  <c r="R14" i="43"/>
  <c r="S14" i="43"/>
  <c r="T14" i="43"/>
  <c r="U14" i="43"/>
  <c r="V14" i="43"/>
  <c r="W14" i="43"/>
  <c r="Y14" i="43"/>
  <c r="I15" i="43"/>
  <c r="J15" i="43"/>
  <c r="K15" i="43"/>
  <c r="M15" i="43"/>
  <c r="N15" i="43"/>
  <c r="R15" i="43"/>
  <c r="T15" i="43"/>
  <c r="U15" i="43"/>
  <c r="V15" i="43"/>
  <c r="W15" i="43"/>
  <c r="Y15" i="43"/>
  <c r="I16" i="43"/>
  <c r="J16" i="43"/>
  <c r="K16" i="43"/>
  <c r="M16" i="43"/>
  <c r="N16" i="43"/>
  <c r="R16" i="43"/>
  <c r="T16" i="43"/>
  <c r="U16" i="43"/>
  <c r="V16" i="43"/>
  <c r="W16" i="43"/>
  <c r="Y16" i="43"/>
  <c r="I17" i="43"/>
  <c r="J17" i="43"/>
  <c r="K17" i="43"/>
  <c r="M17" i="43"/>
  <c r="N17" i="43"/>
  <c r="R17" i="43"/>
  <c r="T17" i="43"/>
  <c r="U17" i="43"/>
  <c r="V17" i="43"/>
  <c r="W17" i="43"/>
  <c r="Y17" i="43"/>
  <c r="I18" i="43"/>
  <c r="J18" i="43"/>
  <c r="K18" i="43"/>
  <c r="M18" i="43"/>
  <c r="N18" i="43"/>
  <c r="R18" i="43"/>
  <c r="T18" i="43"/>
  <c r="U18" i="43"/>
  <c r="V18" i="43"/>
  <c r="W18" i="43"/>
  <c r="Y18" i="43"/>
  <c r="I19" i="43"/>
  <c r="J19" i="43"/>
  <c r="K19" i="43"/>
  <c r="M19" i="43"/>
  <c r="N19" i="43"/>
  <c r="R19" i="43"/>
  <c r="T19" i="43"/>
  <c r="U19" i="43"/>
  <c r="V19" i="43"/>
  <c r="W19" i="43"/>
  <c r="Y19" i="43"/>
  <c r="I20" i="43"/>
  <c r="J20" i="43"/>
  <c r="K20" i="43"/>
  <c r="M20" i="43"/>
  <c r="N20" i="43"/>
  <c r="R20" i="43"/>
  <c r="T20" i="43"/>
  <c r="U20" i="43"/>
  <c r="V20" i="43"/>
  <c r="W20" i="43"/>
  <c r="Y20" i="43"/>
  <c r="I21" i="43"/>
  <c r="J21" i="43"/>
  <c r="K21" i="43"/>
  <c r="M21" i="43"/>
  <c r="N21" i="43"/>
  <c r="R21" i="43"/>
  <c r="T21" i="43"/>
  <c r="U21" i="43"/>
  <c r="V21" i="43"/>
  <c r="W21" i="43"/>
  <c r="Y21" i="43"/>
  <c r="I22" i="43"/>
  <c r="J22" i="43"/>
  <c r="K22" i="43"/>
  <c r="M22" i="43"/>
  <c r="N22" i="43"/>
  <c r="R22" i="43"/>
  <c r="S22" i="43"/>
  <c r="T22" i="43"/>
  <c r="U22" i="43"/>
  <c r="V22" i="43"/>
  <c r="W22" i="43"/>
  <c r="Y22" i="43"/>
  <c r="I23" i="43"/>
  <c r="J23" i="43"/>
  <c r="K23" i="43"/>
  <c r="M23" i="43"/>
  <c r="N23" i="43"/>
  <c r="R23" i="43"/>
  <c r="S23" i="43"/>
  <c r="T23" i="43"/>
  <c r="U23" i="43"/>
  <c r="V23" i="43"/>
  <c r="W23" i="43"/>
  <c r="Y23" i="43"/>
  <c r="I24" i="43"/>
  <c r="J24" i="43"/>
  <c r="K24" i="43"/>
  <c r="M24" i="43"/>
  <c r="N24" i="43"/>
  <c r="R24" i="43"/>
  <c r="S24" i="43"/>
  <c r="T24" i="43"/>
  <c r="U24" i="43"/>
  <c r="V24" i="43"/>
  <c r="W24" i="43"/>
  <c r="Y24" i="43"/>
  <c r="I25" i="43"/>
  <c r="J25" i="43"/>
  <c r="K25" i="43"/>
  <c r="M25" i="43"/>
  <c r="N25" i="43"/>
  <c r="R25" i="43"/>
  <c r="T25" i="43"/>
  <c r="U25" i="43"/>
  <c r="V25" i="43"/>
  <c r="W25" i="43"/>
  <c r="Y25" i="43"/>
  <c r="I26" i="43"/>
  <c r="J26" i="43"/>
  <c r="K26" i="43"/>
  <c r="M26" i="43"/>
  <c r="N26" i="43"/>
  <c r="R26" i="43"/>
  <c r="T26" i="43"/>
  <c r="U26" i="43"/>
  <c r="V26" i="43"/>
  <c r="W26" i="43"/>
  <c r="Y26" i="43"/>
  <c r="I27" i="43"/>
  <c r="J27" i="43"/>
  <c r="K27" i="43"/>
  <c r="M27" i="43"/>
  <c r="N27" i="43"/>
  <c r="R27" i="43"/>
  <c r="T27" i="43"/>
  <c r="U27" i="43"/>
  <c r="V27" i="43"/>
  <c r="W27" i="43"/>
  <c r="Y27" i="43"/>
  <c r="I28" i="43"/>
  <c r="J28" i="43"/>
  <c r="K28" i="43"/>
  <c r="M28" i="43"/>
  <c r="N28" i="43"/>
  <c r="R28" i="43"/>
  <c r="T28" i="43"/>
  <c r="U28" i="43"/>
  <c r="V28" i="43"/>
  <c r="W28" i="43"/>
  <c r="Y28" i="43"/>
  <c r="I29" i="43"/>
  <c r="J29" i="43"/>
  <c r="K29" i="43"/>
  <c r="M29" i="43"/>
  <c r="N29" i="43"/>
  <c r="R29" i="43"/>
  <c r="T29" i="43"/>
  <c r="U29" i="43"/>
  <c r="V29" i="43"/>
  <c r="W29" i="43"/>
  <c r="Y29" i="43"/>
  <c r="I30" i="43"/>
  <c r="J30" i="43"/>
  <c r="K30" i="43"/>
  <c r="M30" i="43"/>
  <c r="N30" i="43"/>
  <c r="R30" i="43"/>
  <c r="T30" i="43"/>
  <c r="U30" i="43"/>
  <c r="V30" i="43"/>
  <c r="W30" i="43"/>
  <c r="Y30" i="43"/>
  <c r="I31" i="43"/>
  <c r="J31" i="43"/>
  <c r="K31" i="43"/>
  <c r="M31" i="43"/>
  <c r="N31" i="43"/>
  <c r="R31" i="43"/>
  <c r="V31" i="43"/>
  <c r="Y31" i="43"/>
  <c r="I32" i="43"/>
  <c r="K32" i="43"/>
  <c r="M32" i="43"/>
  <c r="N32" i="43"/>
  <c r="R32" i="43"/>
  <c r="S32" i="43"/>
  <c r="T32" i="43"/>
  <c r="U32" i="43"/>
  <c r="V32" i="43"/>
  <c r="W32" i="43"/>
  <c r="Y32" i="43"/>
  <c r="H98" i="15"/>
  <c r="H99" i="15"/>
  <c r="H100" i="15"/>
  <c r="J5" i="43" l="1"/>
  <c r="I6" i="43"/>
  <c r="S5" i="43"/>
  <c r="S31" i="43"/>
  <c r="S28" i="43"/>
  <c r="S29" i="43"/>
  <c r="S25" i="43"/>
  <c r="S30" i="43"/>
  <c r="S26" i="43"/>
  <c r="S27" i="43"/>
  <c r="S21" i="43"/>
  <c r="S20" i="43"/>
  <c r="S19" i="43"/>
  <c r="S18" i="43"/>
  <c r="S17" i="43"/>
  <c r="S16" i="43"/>
  <c r="S15" i="43"/>
  <c r="S13" i="43"/>
  <c r="Y13" i="43"/>
  <c r="Y11" i="43"/>
  <c r="Y7" i="43"/>
  <c r="Y6" i="43"/>
  <c r="Y12" i="43"/>
  <c r="Y8" i="43"/>
  <c r="Y9" i="43"/>
  <c r="Y5" i="43"/>
  <c r="G32" i="43"/>
  <c r="L29" i="43"/>
  <c r="H29" i="43"/>
  <c r="G28" i="43"/>
  <c r="L25" i="43"/>
  <c r="H25" i="43"/>
  <c r="G24" i="43"/>
  <c r="L21" i="43"/>
  <c r="H21" i="43"/>
  <c r="G20" i="43"/>
  <c r="G16" i="43"/>
  <c r="H13" i="43"/>
  <c r="Y10" i="43"/>
  <c r="L9" i="43"/>
  <c r="L5" i="43"/>
  <c r="L30" i="43"/>
  <c r="L26" i="43"/>
  <c r="G25" i="43"/>
  <c r="H22" i="43"/>
  <c r="G21" i="43"/>
  <c r="L18" i="43"/>
  <c r="H18" i="43"/>
  <c r="G17" i="43"/>
  <c r="H14" i="43"/>
  <c r="H10" i="43"/>
  <c r="G9" i="43"/>
  <c r="L6" i="43"/>
  <c r="G5" i="43"/>
  <c r="L31" i="43"/>
  <c r="H31" i="43"/>
  <c r="G30" i="43"/>
  <c r="L27" i="43"/>
  <c r="H27" i="43"/>
  <c r="G26" i="43"/>
  <c r="L23" i="43"/>
  <c r="H23" i="43"/>
  <c r="G22" i="43"/>
  <c r="L19" i="43"/>
  <c r="H19" i="43"/>
  <c r="G18" i="43"/>
  <c r="L15" i="43"/>
  <c r="H15" i="43"/>
  <c r="G14" i="43"/>
  <c r="L11" i="43"/>
  <c r="H11" i="43"/>
  <c r="G10" i="43"/>
  <c r="L7" i="43"/>
  <c r="H7" i="43"/>
  <c r="G6" i="43"/>
  <c r="L17" i="43"/>
  <c r="H17" i="43"/>
  <c r="L13" i="43"/>
  <c r="G12" i="43"/>
  <c r="H9" i="43"/>
  <c r="G8" i="43"/>
  <c r="H5" i="43"/>
  <c r="H30" i="43"/>
  <c r="G29" i="43"/>
  <c r="H26" i="43"/>
  <c r="L22" i="43"/>
  <c r="L14" i="43"/>
  <c r="G13" i="43"/>
  <c r="H6" i="43"/>
  <c r="L32" i="43"/>
  <c r="H32" i="43"/>
  <c r="G31" i="43"/>
  <c r="L28" i="43"/>
  <c r="H28" i="43"/>
  <c r="G27" i="43"/>
  <c r="L24" i="43"/>
  <c r="H24" i="43"/>
  <c r="G23" i="43"/>
  <c r="L20" i="43"/>
  <c r="H20" i="43"/>
  <c r="G19" i="43"/>
  <c r="L16" i="43"/>
  <c r="H16" i="43"/>
  <c r="G15" i="43"/>
  <c r="L12" i="43"/>
  <c r="H12" i="43"/>
  <c r="G11" i="43"/>
  <c r="L8" i="43"/>
  <c r="H8" i="43"/>
  <c r="G7" i="43"/>
  <c r="J32" i="43"/>
  <c r="V4" i="17"/>
  <c r="W4" i="43" s="1"/>
  <c r="V4" i="43"/>
  <c r="U4" i="17"/>
  <c r="D35" i="39"/>
  <c r="B5" i="39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D35" i="38"/>
  <c r="U31" i="43" s="1"/>
  <c r="B5" i="38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W31" i="43" l="1"/>
  <c r="P42" i="17"/>
  <c r="U4" i="43"/>
  <c r="E35" i="39"/>
  <c r="D37" i="39"/>
  <c r="B31" i="39"/>
  <c r="B32" i="39" s="1"/>
  <c r="B33" i="39" s="1"/>
  <c r="B34" i="39" s="1"/>
  <c r="B31" i="38"/>
  <c r="B32" i="38" s="1"/>
  <c r="B33" i="38" s="1"/>
  <c r="B34" i="38" s="1"/>
  <c r="V33" i="43"/>
  <c r="V35" i="17"/>
  <c r="E35" i="38"/>
  <c r="W33" i="43" l="1"/>
  <c r="AD4" i="43"/>
  <c r="F35" i="10" l="1"/>
  <c r="D36" i="25" l="1"/>
  <c r="H491" i="15" l="1"/>
  <c r="H419" i="15" l="1"/>
  <c r="H411" i="15"/>
  <c r="H412" i="15"/>
  <c r="H413" i="15"/>
  <c r="H399" i="15" l="1"/>
  <c r="H352" i="15" l="1"/>
  <c r="H338" i="15" l="1"/>
  <c r="H34" i="15"/>
  <c r="H35" i="15"/>
  <c r="H36" i="15"/>
  <c r="H212" i="15"/>
  <c r="H271" i="15" l="1"/>
  <c r="H282" i="15"/>
  <c r="H283" i="15"/>
  <c r="H42" i="15" l="1"/>
  <c r="H43" i="15"/>
  <c r="H49" i="15"/>
  <c r="H54" i="15"/>
  <c r="H55" i="15"/>
  <c r="H33" i="15" l="1"/>
  <c r="H32" i="15"/>
  <c r="H19" i="15" l="1"/>
  <c r="H248" i="15" l="1"/>
  <c r="H126" i="15"/>
  <c r="H78" i="15"/>
  <c r="H79" i="15"/>
  <c r="H104" i="15" l="1"/>
  <c r="E8" i="11"/>
  <c r="E47" i="45" s="1"/>
  <c r="X8" i="5"/>
  <c r="E8" i="43" l="1"/>
  <c r="F101" i="15"/>
  <c r="C8" i="14" s="1"/>
  <c r="AD8" i="44" l="1"/>
  <c r="AK8" i="17"/>
  <c r="T47" i="45"/>
  <c r="Z47" i="45" s="1"/>
  <c r="X7" i="5"/>
  <c r="AB8" i="17" l="1"/>
  <c r="AA8" i="17"/>
  <c r="J8" i="14" s="1"/>
  <c r="AG8" i="43"/>
  <c r="H61" i="15"/>
  <c r="AH8" i="43" l="1"/>
  <c r="H18" i="15"/>
  <c r="E4" i="11" l="1"/>
  <c r="E43" i="45" s="1"/>
  <c r="X33" i="5" l="1"/>
  <c r="X32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6" i="5"/>
  <c r="X5" i="5"/>
  <c r="X4" i="5"/>
  <c r="X34" i="5" l="1"/>
  <c r="H493" i="15"/>
  <c r="H446" i="15" l="1"/>
  <c r="AG30" i="43" l="1"/>
  <c r="AH30" i="43"/>
  <c r="AG29" i="43"/>
  <c r="AH29" i="43"/>
  <c r="H429" i="15" l="1"/>
  <c r="F370" i="15" l="1"/>
  <c r="H369" i="15"/>
  <c r="C24" i="14" l="1"/>
  <c r="H316" i="15"/>
  <c r="AD24" i="44" l="1"/>
  <c r="AK24" i="17"/>
  <c r="AA24" i="17" s="1"/>
  <c r="J24" i="14" s="1"/>
  <c r="T63" i="45"/>
  <c r="Z63" i="45" s="1"/>
  <c r="H266" i="15"/>
  <c r="AB24" i="17" l="1"/>
  <c r="AG24" i="43"/>
  <c r="F232" i="15"/>
  <c r="F143" i="15"/>
  <c r="H37" i="15"/>
  <c r="AH24" i="43" l="1"/>
  <c r="C15" i="14"/>
  <c r="C10" i="14"/>
  <c r="U35" i="17"/>
  <c r="U33" i="43" s="1"/>
  <c r="AD15" i="44" l="1"/>
  <c r="AK15" i="17"/>
  <c r="AD10" i="44"/>
  <c r="AK10" i="17"/>
  <c r="T54" i="45"/>
  <c r="Z54" i="45" s="1"/>
  <c r="T49" i="45"/>
  <c r="Z49" i="45" s="1"/>
  <c r="O34" i="19"/>
  <c r="V35" i="9"/>
  <c r="H35" i="24"/>
  <c r="P35" i="10"/>
  <c r="AB15" i="17" l="1"/>
  <c r="AA15" i="17"/>
  <c r="J15" i="14" s="1"/>
  <c r="AB10" i="17"/>
  <c r="AA10" i="17"/>
  <c r="J10" i="14" s="1"/>
  <c r="AG10" i="43"/>
  <c r="AG15" i="43"/>
  <c r="K34" i="36"/>
  <c r="L34" i="26"/>
  <c r="L34" i="23"/>
  <c r="AH10" i="43" l="1"/>
  <c r="AH15" i="43"/>
  <c r="L34" i="28"/>
  <c r="L34" i="24"/>
  <c r="O35" i="12"/>
  <c r="P34" i="5" l="1"/>
  <c r="T34" i="5" s="1"/>
  <c r="AH35" i="17" l="1"/>
  <c r="AF33" i="43" s="1"/>
  <c r="P38" i="5"/>
  <c r="F35" i="9" l="1"/>
  <c r="H161" i="15" l="1"/>
  <c r="T4" i="17" l="1"/>
  <c r="T4" i="43" s="1"/>
  <c r="J35" i="37"/>
  <c r="I35" i="37"/>
  <c r="G35" i="37"/>
  <c r="E35" i="37"/>
  <c r="B5" i="37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G34" i="44" l="1"/>
  <c r="F34" i="44"/>
  <c r="K73" i="45"/>
  <c r="T31" i="43"/>
  <c r="B31" i="37"/>
  <c r="B32" i="37" s="1"/>
  <c r="B33" i="37" s="1"/>
  <c r="B34" i="37" s="1"/>
  <c r="T35" i="17"/>
  <c r="O42" i="17" s="1"/>
  <c r="O43" i="17" s="1"/>
  <c r="AW34" i="44" l="1"/>
  <c r="K34" i="14"/>
  <c r="M73" i="45"/>
  <c r="L73" i="45"/>
  <c r="T33" i="43"/>
  <c r="J34" i="44" l="1"/>
  <c r="N34" i="44" s="1"/>
  <c r="O34" i="14"/>
  <c r="AF34" i="44"/>
  <c r="AH34" i="44" s="1"/>
  <c r="N34" i="14"/>
  <c r="L34" i="34"/>
  <c r="K34" i="44" l="1"/>
  <c r="AG34" i="44"/>
  <c r="AY34" i="44"/>
  <c r="K34" i="25"/>
  <c r="O35" i="11" l="1"/>
  <c r="H384" i="15" l="1"/>
  <c r="H368" i="15" l="1"/>
  <c r="H358" i="15" l="1"/>
  <c r="L35" i="9"/>
  <c r="H354" i="15"/>
  <c r="F330" i="15" l="1"/>
  <c r="C21" i="14" s="1"/>
  <c r="AD21" i="44" l="1"/>
  <c r="AK21" i="17"/>
  <c r="AA21" i="17" s="1"/>
  <c r="J21" i="14" s="1"/>
  <c r="T60" i="45"/>
  <c r="Z60" i="45" s="1"/>
  <c r="Z21" i="43"/>
  <c r="H470" i="15"/>
  <c r="AB21" i="17" l="1"/>
  <c r="AH21" i="43"/>
  <c r="AG21" i="43"/>
  <c r="O25" i="43" l="1"/>
  <c r="O17" i="43"/>
  <c r="M56" i="45"/>
  <c r="O13" i="43"/>
  <c r="M52" i="45"/>
  <c r="O18" i="43"/>
  <c r="M57" i="45"/>
  <c r="O20" i="43"/>
  <c r="M59" i="45"/>
  <c r="M55" i="45"/>
  <c r="M51" i="45"/>
  <c r="M53" i="45"/>
  <c r="O27" i="43"/>
  <c r="M58" i="45"/>
  <c r="M54" i="45"/>
  <c r="M50" i="45"/>
  <c r="K10" i="14"/>
  <c r="AF10" i="44" s="1"/>
  <c r="AH10" i="44" s="1"/>
  <c r="M49" i="45"/>
  <c r="O9" i="43"/>
  <c r="K8" i="14"/>
  <c r="AF8" i="44" s="1"/>
  <c r="AH8" i="44" s="1"/>
  <c r="O24" i="43"/>
  <c r="K29" i="14"/>
  <c r="AF29" i="44" s="1"/>
  <c r="AH29" i="44" s="1"/>
  <c r="K19" i="14"/>
  <c r="O29" i="43"/>
  <c r="M60" i="45"/>
  <c r="O12" i="43"/>
  <c r="Q28" i="43"/>
  <c r="Q31" i="43"/>
  <c r="Q30" i="43"/>
  <c r="Q26" i="43"/>
  <c r="P30" i="43"/>
  <c r="Q32" i="43"/>
  <c r="Q27" i="43"/>
  <c r="Q29" i="43"/>
  <c r="Q25" i="43"/>
  <c r="P25" i="43"/>
  <c r="Q24" i="43"/>
  <c r="Q23" i="43"/>
  <c r="Q22" i="43"/>
  <c r="Q6" i="43"/>
  <c r="P22" i="43"/>
  <c r="Q21" i="43"/>
  <c r="Q5" i="43"/>
  <c r="P21" i="43"/>
  <c r="Q20" i="43"/>
  <c r="P19" i="43"/>
  <c r="Q19" i="43"/>
  <c r="Q18" i="43"/>
  <c r="Q16" i="43"/>
  <c r="P16" i="43"/>
  <c r="Q15" i="43"/>
  <c r="P15" i="43"/>
  <c r="Q17" i="43"/>
  <c r="P17" i="43"/>
  <c r="Q14" i="43"/>
  <c r="Q13" i="43"/>
  <c r="P12" i="43"/>
  <c r="Q12" i="43"/>
  <c r="P11" i="43"/>
  <c r="Q9" i="43"/>
  <c r="Q10" i="43"/>
  <c r="P10" i="43"/>
  <c r="P9" i="43"/>
  <c r="Q8" i="43"/>
  <c r="P8" i="43"/>
  <c r="Q7" i="43"/>
  <c r="E4" i="32"/>
  <c r="E4" i="31"/>
  <c r="E4" i="27"/>
  <c r="H4" i="9"/>
  <c r="AF19" i="44" l="1"/>
  <c r="AH19" i="44" s="1"/>
  <c r="E35" i="32"/>
  <c r="K43" i="45"/>
  <c r="O6" i="43"/>
  <c r="AW28" i="44"/>
  <c r="O16" i="43"/>
  <c r="O11" i="43"/>
  <c r="K11" i="14"/>
  <c r="AF11" i="44" s="1"/>
  <c r="AH11" i="44" s="1"/>
  <c r="O14" i="43"/>
  <c r="K30" i="14"/>
  <c r="AF30" i="44" s="1"/>
  <c r="AH30" i="44" s="1"/>
  <c r="O32" i="43"/>
  <c r="K24" i="14"/>
  <c r="AF24" i="44" s="1"/>
  <c r="AH24" i="44" s="1"/>
  <c r="K15" i="14"/>
  <c r="AF15" i="44" s="1"/>
  <c r="AH15" i="44" s="1"/>
  <c r="O23" i="43"/>
  <c r="O22" i="43"/>
  <c r="K21" i="14"/>
  <c r="AF21" i="44" s="1"/>
  <c r="AH21" i="44" s="1"/>
  <c r="O21" i="43"/>
  <c r="O5" i="43"/>
  <c r="C43" i="45"/>
  <c r="P31" i="43"/>
  <c r="P26" i="43"/>
  <c r="P27" i="43"/>
  <c r="Q11" i="43"/>
  <c r="P29" i="43"/>
  <c r="P32" i="43"/>
  <c r="P24" i="43"/>
  <c r="P28" i="43"/>
  <c r="P6" i="43"/>
  <c r="P7" i="43"/>
  <c r="P14" i="43"/>
  <c r="P5" i="43"/>
  <c r="P23" i="43"/>
  <c r="P20" i="43"/>
  <c r="P18" i="43"/>
  <c r="P13" i="43"/>
  <c r="O19" i="43"/>
  <c r="O26" i="43"/>
  <c r="O31" i="43"/>
  <c r="O7" i="43"/>
  <c r="O10" i="43"/>
  <c r="O15" i="43"/>
  <c r="O28" i="43"/>
  <c r="O30" i="43"/>
  <c r="O8" i="43"/>
  <c r="S4" i="17"/>
  <c r="G35" i="36"/>
  <c r="E35" i="36"/>
  <c r="E36" i="36" s="1"/>
  <c r="B5" i="36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N4" i="17"/>
  <c r="N4" i="43" s="1"/>
  <c r="J35" i="34"/>
  <c r="I35" i="34"/>
  <c r="G35" i="34"/>
  <c r="E35" i="34"/>
  <c r="B5" i="34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E4" i="12"/>
  <c r="F43" i="45" s="1"/>
  <c r="E5" i="11"/>
  <c r="E6" i="11"/>
  <c r="E7" i="11"/>
  <c r="E9" i="11"/>
  <c r="E10" i="11"/>
  <c r="E49" i="45" s="1"/>
  <c r="E11" i="11"/>
  <c r="E12" i="11"/>
  <c r="E13" i="11"/>
  <c r="E14" i="11"/>
  <c r="E15" i="11"/>
  <c r="E16" i="11"/>
  <c r="E17" i="43"/>
  <c r="E18" i="11"/>
  <c r="E19" i="11"/>
  <c r="E58" i="45" s="1"/>
  <c r="E20" i="11"/>
  <c r="E21" i="11"/>
  <c r="E60" i="45" s="1"/>
  <c r="E22" i="11"/>
  <c r="E61" i="45" s="1"/>
  <c r="E23" i="11"/>
  <c r="E62" i="45" s="1"/>
  <c r="E25" i="11"/>
  <c r="E64" i="45" s="1"/>
  <c r="E26" i="11"/>
  <c r="E65" i="45" s="1"/>
  <c r="E27" i="11"/>
  <c r="E66" i="45" s="1"/>
  <c r="E28" i="11"/>
  <c r="E67" i="45" s="1"/>
  <c r="E68" i="45"/>
  <c r="E69" i="45"/>
  <c r="C4" i="43"/>
  <c r="T43" i="5"/>
  <c r="AW19" i="44" l="1"/>
  <c r="K74" i="45"/>
  <c r="K75" i="45" s="1"/>
  <c r="M43" i="45"/>
  <c r="AB21" i="43"/>
  <c r="O21" i="14"/>
  <c r="AG21" i="44" s="1"/>
  <c r="AA21" i="43"/>
  <c r="J21" i="44"/>
  <c r="N21" i="44" s="1"/>
  <c r="B31" i="36"/>
  <c r="B32" i="36" s="1"/>
  <c r="B33" i="36" s="1"/>
  <c r="B34" i="36" s="1"/>
  <c r="B31" i="34"/>
  <c r="B32" i="34" s="1"/>
  <c r="B33" i="34" s="1"/>
  <c r="B34" i="34" s="1"/>
  <c r="AW26" i="44"/>
  <c r="AW27" i="44"/>
  <c r="AW25" i="44"/>
  <c r="AW24" i="44"/>
  <c r="AW23" i="44"/>
  <c r="AW20" i="44"/>
  <c r="AW21" i="44"/>
  <c r="C63" i="45"/>
  <c r="E26" i="43"/>
  <c r="C66" i="45"/>
  <c r="E30" i="43"/>
  <c r="C62" i="45"/>
  <c r="E29" i="43"/>
  <c r="E25" i="43"/>
  <c r="C65" i="45"/>
  <c r="C61" i="45"/>
  <c r="E32" i="43"/>
  <c r="E28" i="43"/>
  <c r="E23" i="43"/>
  <c r="C67" i="45"/>
  <c r="C64" i="45"/>
  <c r="C60" i="45"/>
  <c r="E31" i="43"/>
  <c r="E27" i="43"/>
  <c r="E22" i="43"/>
  <c r="E20" i="43"/>
  <c r="E59" i="45"/>
  <c r="AW17" i="44"/>
  <c r="E18" i="43"/>
  <c r="E57" i="45"/>
  <c r="AW16" i="44"/>
  <c r="AW14" i="44"/>
  <c r="E16" i="43"/>
  <c r="E55" i="45"/>
  <c r="AW12" i="44"/>
  <c r="E15" i="43"/>
  <c r="E54" i="45"/>
  <c r="E14" i="43"/>
  <c r="E53" i="45"/>
  <c r="C53" i="45"/>
  <c r="E13" i="43"/>
  <c r="E52" i="45"/>
  <c r="C52" i="45"/>
  <c r="E12" i="43"/>
  <c r="E51" i="45"/>
  <c r="C51" i="45"/>
  <c r="E11" i="43"/>
  <c r="E50" i="45"/>
  <c r="C50" i="45"/>
  <c r="C49" i="45"/>
  <c r="AW6" i="44"/>
  <c r="E9" i="43"/>
  <c r="E48" i="45"/>
  <c r="C48" i="45"/>
  <c r="AW5" i="44"/>
  <c r="C47" i="45"/>
  <c r="AW7" i="44"/>
  <c r="E7" i="43"/>
  <c r="E46" i="45"/>
  <c r="C46" i="45"/>
  <c r="E6" i="43"/>
  <c r="E45" i="45"/>
  <c r="C45" i="45"/>
  <c r="E5" i="43"/>
  <c r="E44" i="45"/>
  <c r="C44" i="45"/>
  <c r="AW22" i="44"/>
  <c r="AW8" i="44"/>
  <c r="AW11" i="44"/>
  <c r="AW9" i="44"/>
  <c r="AW13" i="44"/>
  <c r="AW10" i="44"/>
  <c r="AW18" i="44"/>
  <c r="AW15" i="44"/>
  <c r="S4" i="43"/>
  <c r="E10" i="43"/>
  <c r="C13" i="43"/>
  <c r="C12" i="43"/>
  <c r="C8" i="43"/>
  <c r="C7" i="43"/>
  <c r="C6" i="43"/>
  <c r="C5" i="43"/>
  <c r="E19" i="43"/>
  <c r="C30" i="43"/>
  <c r="C18" i="43"/>
  <c r="C29" i="43"/>
  <c r="C21" i="43"/>
  <c r="C17" i="43"/>
  <c r="C28" i="43"/>
  <c r="C24" i="43"/>
  <c r="C20" i="43"/>
  <c r="C16" i="43"/>
  <c r="E24" i="43"/>
  <c r="C26" i="43"/>
  <c r="C22" i="43"/>
  <c r="C14" i="43"/>
  <c r="C25" i="43"/>
  <c r="E21" i="43"/>
  <c r="C32" i="43"/>
  <c r="C31" i="43"/>
  <c r="C27" i="43"/>
  <c r="C23" i="43"/>
  <c r="C19" i="43"/>
  <c r="C15" i="43"/>
  <c r="C11" i="43"/>
  <c r="C10" i="43"/>
  <c r="C9" i="43"/>
  <c r="F4" i="43"/>
  <c r="E4" i="43"/>
  <c r="E35" i="11"/>
  <c r="E37" i="11" s="1"/>
  <c r="N35" i="17"/>
  <c r="N33" i="43" s="1"/>
  <c r="S35" i="17"/>
  <c r="N43" i="17" s="1"/>
  <c r="N21" i="14" l="1"/>
  <c r="K21" i="44" s="1"/>
  <c r="U60" i="45"/>
  <c r="C74" i="45"/>
  <c r="C75" i="45" s="1"/>
  <c r="E74" i="45"/>
  <c r="E75" i="45" s="1"/>
  <c r="S33" i="43"/>
  <c r="I35" i="11"/>
  <c r="AY21" i="44" l="1"/>
  <c r="D32" i="43"/>
  <c r="G35" i="12"/>
  <c r="G35" i="11"/>
  <c r="T63" i="5" l="1"/>
  <c r="G35" i="25"/>
  <c r="AM19" i="43" l="1"/>
  <c r="AM9" i="43"/>
  <c r="AM25" i="43"/>
  <c r="AM29" i="43"/>
  <c r="AM15" i="43"/>
  <c r="AM28" i="43"/>
  <c r="AM20" i="43"/>
  <c r="AM12" i="43"/>
  <c r="AM17" i="43"/>
  <c r="AM11" i="43"/>
  <c r="AM21" i="43"/>
  <c r="AM7" i="43"/>
  <c r="AM26" i="43"/>
  <c r="AM18" i="43"/>
  <c r="AM10" i="43"/>
  <c r="AM13" i="43"/>
  <c r="AM31" i="43"/>
  <c r="AM32" i="43"/>
  <c r="AM24" i="43"/>
  <c r="AM16" i="43"/>
  <c r="AM8" i="43"/>
  <c r="AM4" i="43"/>
  <c r="AM27" i="43"/>
  <c r="AM5" i="43"/>
  <c r="AM23" i="43"/>
  <c r="AM30" i="43"/>
  <c r="AM22" i="43"/>
  <c r="AM14" i="43"/>
  <c r="AM6" i="43"/>
  <c r="H35" i="36"/>
  <c r="K35" i="31"/>
  <c r="K35" i="32"/>
  <c r="E5" i="12" l="1"/>
  <c r="E6" i="12"/>
  <c r="F45" i="45" s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D61" i="45" s="1"/>
  <c r="E23" i="10"/>
  <c r="D62" i="45" s="1"/>
  <c r="E24" i="10"/>
  <c r="D63" i="45" s="1"/>
  <c r="E25" i="10"/>
  <c r="D64" i="45" s="1"/>
  <c r="E27" i="10"/>
  <c r="D66" i="45" s="1"/>
  <c r="E28" i="10"/>
  <c r="D67" i="45" s="1"/>
  <c r="E29" i="10"/>
  <c r="E30" i="10"/>
  <c r="E4" i="10"/>
  <c r="D69" i="45" l="1"/>
  <c r="D68" i="45"/>
  <c r="D60" i="45"/>
  <c r="D59" i="45"/>
  <c r="D58" i="45"/>
  <c r="D57" i="45"/>
  <c r="D56" i="45"/>
  <c r="D55" i="45"/>
  <c r="D54" i="45"/>
  <c r="D53" i="45"/>
  <c r="D52" i="45"/>
  <c r="D51" i="45"/>
  <c r="D50" i="45"/>
  <c r="D49" i="45"/>
  <c r="D48" i="45"/>
  <c r="D47" i="45"/>
  <c r="D46" i="45"/>
  <c r="D45" i="45"/>
  <c r="F5" i="43"/>
  <c r="F44" i="45"/>
  <c r="D44" i="45"/>
  <c r="D43" i="45"/>
  <c r="D13" i="43"/>
  <c r="D12" i="43"/>
  <c r="D8" i="43"/>
  <c r="D7" i="43"/>
  <c r="D6" i="43"/>
  <c r="D5" i="43"/>
  <c r="D28" i="43"/>
  <c r="D24" i="43"/>
  <c r="D20" i="43"/>
  <c r="D16" i="43"/>
  <c r="F6" i="43"/>
  <c r="D29" i="43"/>
  <c r="D21" i="43"/>
  <c r="D31" i="43"/>
  <c r="D23" i="43"/>
  <c r="D15" i="43"/>
  <c r="D25" i="43"/>
  <c r="D17" i="43"/>
  <c r="D27" i="43"/>
  <c r="D19" i="43"/>
  <c r="D30" i="43"/>
  <c r="D26" i="43"/>
  <c r="D22" i="43"/>
  <c r="D18" i="43"/>
  <c r="D14" i="43"/>
  <c r="D11" i="43"/>
  <c r="D10" i="43"/>
  <c r="D9" i="43"/>
  <c r="D4" i="43"/>
  <c r="E37" i="10"/>
  <c r="E35" i="10"/>
  <c r="E36" i="10" s="1"/>
  <c r="D74" i="45" l="1"/>
  <c r="D75" i="45" s="1"/>
  <c r="J35" i="10"/>
  <c r="M48" i="26" l="1"/>
  <c r="A53" i="5" l="1"/>
  <c r="A54" i="5" s="1"/>
  <c r="A55" i="5" s="1"/>
  <c r="A56" i="5" s="1"/>
  <c r="K35" i="12" l="1"/>
  <c r="K35" i="11" l="1"/>
  <c r="N35" i="9"/>
  <c r="AN35" i="17" l="1"/>
  <c r="I56" i="17" l="1"/>
  <c r="AQ35" i="44"/>
  <c r="AQ38" i="44" s="1"/>
  <c r="AK33" i="43"/>
  <c r="Q4" i="17"/>
  <c r="P4" i="17"/>
  <c r="P4" i="43" s="1"/>
  <c r="Q4" i="43" l="1"/>
  <c r="AQ39" i="44"/>
  <c r="AQ40" i="44"/>
  <c r="P35" i="17"/>
  <c r="Q35" i="17"/>
  <c r="Q33" i="43" s="1"/>
  <c r="T41" i="5"/>
  <c r="P33" i="43" l="1"/>
  <c r="H35" i="32"/>
  <c r="G35" i="32"/>
  <c r="B5" i="32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H35" i="31"/>
  <c r="G35" i="31"/>
  <c r="E35" i="31"/>
  <c r="B5" i="3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2" l="1"/>
  <c r="B32" i="32" s="1"/>
  <c r="B33" i="32" s="1"/>
  <c r="B34" i="32" s="1"/>
  <c r="B31" i="31"/>
  <c r="B32" i="31" s="1"/>
  <c r="B33" i="31" s="1"/>
  <c r="B34" i="31" s="1"/>
  <c r="I35" i="32"/>
  <c r="I35" i="31"/>
  <c r="H35" i="25"/>
  <c r="E35" i="25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E36" i="25" l="1"/>
  <c r="E38" i="25"/>
  <c r="B31" i="25"/>
  <c r="B32" i="25" s="1"/>
  <c r="B33" i="25" s="1"/>
  <c r="B34" i="25" s="1"/>
  <c r="A58" i="5"/>
  <c r="R4" i="17" l="1"/>
  <c r="R4" i="43" s="1"/>
  <c r="O4" i="17"/>
  <c r="M4" i="17"/>
  <c r="M4" i="43" l="1"/>
  <c r="O4" i="43"/>
  <c r="M35" i="17"/>
  <c r="O35" i="17"/>
  <c r="R35" i="17"/>
  <c r="M42" i="17" s="1"/>
  <c r="M43" i="17" s="1"/>
  <c r="I35" i="28"/>
  <c r="G35" i="28"/>
  <c r="E35" i="28"/>
  <c r="B5" i="28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H35" i="27"/>
  <c r="G35" i="27"/>
  <c r="E35" i="27"/>
  <c r="B5" i="27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I35" i="26"/>
  <c r="G35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M33" i="43" l="1"/>
  <c r="K42" i="17"/>
  <c r="K43" i="17" s="1"/>
  <c r="B31" i="27"/>
  <c r="B32" i="27" s="1"/>
  <c r="B33" i="27" s="1"/>
  <c r="B34" i="27" s="1"/>
  <c r="O33" i="43"/>
  <c r="R33" i="43"/>
  <c r="L4" i="17"/>
  <c r="K4" i="17"/>
  <c r="J4" i="17"/>
  <c r="I4" i="17"/>
  <c r="I35" i="24"/>
  <c r="G35" i="24"/>
  <c r="B5" i="24"/>
  <c r="B6" i="24" s="1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I35" i="23"/>
  <c r="G35" i="23"/>
  <c r="B5" i="23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I35" i="22"/>
  <c r="G35" i="22"/>
  <c r="E35" i="22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J4" i="43" l="1"/>
  <c r="K4" i="43"/>
  <c r="B31" i="22"/>
  <c r="B32" i="22" s="1"/>
  <c r="B33" i="22" s="1"/>
  <c r="B34" i="22" s="1"/>
  <c r="B31" i="23"/>
  <c r="B32" i="23" s="1"/>
  <c r="B33" i="23" s="1"/>
  <c r="B34" i="23" s="1"/>
  <c r="I4" i="43"/>
  <c r="L4" i="43"/>
  <c r="L35" i="17"/>
  <c r="L33" i="43" s="1"/>
  <c r="I35" i="17"/>
  <c r="L42" i="17" s="1"/>
  <c r="J35" i="17"/>
  <c r="K35" i="17"/>
  <c r="J35" i="26"/>
  <c r="J35" i="28"/>
  <c r="I35" i="27"/>
  <c r="J33" i="43" l="1"/>
  <c r="I33" i="43"/>
  <c r="K33" i="43"/>
  <c r="J35" i="24"/>
  <c r="J35" i="23"/>
  <c r="J35" i="22"/>
  <c r="B5" i="17" l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5" i="14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5" i="20"/>
  <c r="B6" i="20" s="1"/>
  <c r="B7" i="20" s="1"/>
  <c r="B8" i="20" s="1"/>
  <c r="B9" i="20" s="1"/>
  <c r="B10" i="20" s="1"/>
  <c r="B11" i="20" s="1"/>
  <c r="B12" i="20" s="1"/>
  <c r="B13" i="20" s="1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5" i="19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5" i="13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5" i="1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5" i="10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4" l="1"/>
  <c r="B32" i="14" s="1"/>
  <c r="B33" i="14" s="1"/>
  <c r="B34" i="14" s="1"/>
  <c r="B31" i="19"/>
  <c r="B32" i="19" s="1"/>
  <c r="B33" i="19" s="1"/>
  <c r="B34" i="19" s="1"/>
  <c r="B31" i="12"/>
  <c r="B32" i="12" s="1"/>
  <c r="B33" i="12" s="1"/>
  <c r="B34" i="12" s="1"/>
  <c r="B31" i="11"/>
  <c r="B32" i="11" s="1"/>
  <c r="B33" i="11" s="1"/>
  <c r="B34" i="11" s="1"/>
  <c r="B31" i="13"/>
  <c r="B32" i="13" s="1"/>
  <c r="B33" i="13" s="1"/>
  <c r="B34" i="13" s="1"/>
  <c r="B31" i="10"/>
  <c r="B32" i="10" s="1"/>
  <c r="B33" i="10" s="1"/>
  <c r="B34" i="10" s="1"/>
  <c r="Q10" i="13"/>
  <c r="Q9" i="13"/>
  <c r="R35" i="9" l="1"/>
  <c r="Q35" i="9"/>
  <c r="N35" i="12"/>
  <c r="M35" i="13"/>
  <c r="N35" i="11"/>
  <c r="H4" i="17" l="1"/>
  <c r="G4" i="17"/>
  <c r="F4" i="44" l="1"/>
  <c r="G4" i="43"/>
  <c r="H35" i="17"/>
  <c r="H4" i="43"/>
  <c r="G35" i="17"/>
  <c r="G33" i="43" l="1"/>
  <c r="J42" i="17"/>
  <c r="J43" i="17" s="1"/>
  <c r="F35" i="44"/>
  <c r="H33" i="43"/>
  <c r="L35" i="13"/>
  <c r="I35" i="20"/>
  <c r="G35" i="20"/>
  <c r="F38" i="44" l="1"/>
  <c r="F40" i="44" s="1"/>
  <c r="J35" i="20"/>
  <c r="F39" i="44" l="1"/>
  <c r="R9" i="13"/>
  <c r="D23" i="15" l="1"/>
  <c r="D41" i="15" s="1"/>
  <c r="D60" i="15" s="1"/>
  <c r="D84" i="15" s="1"/>
  <c r="H56" i="15" l="1"/>
  <c r="K35" i="19" l="1"/>
  <c r="M35" i="19" s="1"/>
  <c r="S35" i="9" s="1"/>
  <c r="I44" i="17" s="1"/>
  <c r="I35" i="19"/>
  <c r="G35" i="19"/>
  <c r="G36" i="19" s="1"/>
  <c r="D35" i="19"/>
  <c r="I60" i="45"/>
  <c r="E20" i="19"/>
  <c r="I59" i="45" s="1"/>
  <c r="E19" i="19"/>
  <c r="I58" i="45" s="1"/>
  <c r="E18" i="19"/>
  <c r="I57" i="45" s="1"/>
  <c r="E17" i="19"/>
  <c r="I56" i="45" s="1"/>
  <c r="E16" i="19"/>
  <c r="I55" i="45" s="1"/>
  <c r="E15" i="19"/>
  <c r="I54" i="45" s="1"/>
  <c r="E14" i="19"/>
  <c r="I53" i="45" s="1"/>
  <c r="E13" i="19"/>
  <c r="I52" i="45" s="1"/>
  <c r="E12" i="19"/>
  <c r="I51" i="45" s="1"/>
  <c r="E11" i="19"/>
  <c r="I50" i="45" s="1"/>
  <c r="E10" i="19"/>
  <c r="I49" i="45" s="1"/>
  <c r="E9" i="19"/>
  <c r="I48" i="45" s="1"/>
  <c r="E8" i="19"/>
  <c r="I47" i="45" s="1"/>
  <c r="I46" i="45"/>
  <c r="E6" i="19"/>
  <c r="E5" i="19"/>
  <c r="E4" i="19"/>
  <c r="I43" i="45" l="1"/>
  <c r="E35" i="19"/>
  <c r="E36" i="19" s="1"/>
  <c r="I44" i="45"/>
  <c r="L44" i="45" s="1"/>
  <c r="O44" i="45"/>
  <c r="R44" i="45" s="1"/>
  <c r="I45" i="45"/>
  <c r="L45" i="45" s="1"/>
  <c r="O45" i="45"/>
  <c r="R45" i="45" s="1"/>
  <c r="L35" i="19"/>
  <c r="Y44" i="45" l="1"/>
  <c r="Y45" i="45"/>
  <c r="I74" i="45"/>
  <c r="I75" i="45" s="1"/>
  <c r="H329" i="15"/>
  <c r="H284" i="15" l="1"/>
  <c r="K35" i="13" l="1"/>
  <c r="K36" i="13" l="1"/>
  <c r="L35" i="12" l="1"/>
  <c r="L35" i="11"/>
  <c r="P35" i="9"/>
  <c r="AD3" i="17"/>
  <c r="D104" i="15"/>
  <c r="D126" i="15" s="1"/>
  <c r="D146" i="15" l="1"/>
  <c r="D165" i="15" s="1"/>
  <c r="D182" i="15" s="1"/>
  <c r="D200" i="15" s="1"/>
  <c r="D216" i="15" s="1"/>
  <c r="D235" i="15" s="1"/>
  <c r="D252" i="15" s="1"/>
  <c r="D270" i="15" s="1"/>
  <c r="D288" i="15" s="1"/>
  <c r="D302" i="15" l="1"/>
  <c r="D320" i="15" s="1"/>
  <c r="D333" i="15" s="1"/>
  <c r="D342" i="15" s="1"/>
  <c r="D358" i="15" s="1"/>
  <c r="D373" i="15" s="1"/>
  <c r="D388" i="15" s="1"/>
  <c r="D404" i="15" s="1"/>
  <c r="D418" i="15" s="1"/>
  <c r="D433" i="15" s="1"/>
  <c r="D450" i="15" s="1"/>
  <c r="D470" i="15" s="1"/>
  <c r="D498" i="15" s="1"/>
  <c r="D512" i="15" s="1"/>
  <c r="D529" i="15" s="1"/>
  <c r="D35" i="13"/>
  <c r="D35" i="10"/>
  <c r="D35" i="9"/>
  <c r="F509" i="15" l="1"/>
  <c r="C32" i="14" s="1"/>
  <c r="H498" i="15"/>
  <c r="H497" i="15"/>
  <c r="H492" i="15"/>
  <c r="H469" i="15"/>
  <c r="Z30" i="43"/>
  <c r="H450" i="15"/>
  <c r="H449" i="15"/>
  <c r="H433" i="15"/>
  <c r="H432" i="15"/>
  <c r="F430" i="15"/>
  <c r="C28" i="14" s="1"/>
  <c r="H418" i="15"/>
  <c r="H417" i="15"/>
  <c r="F415" i="15"/>
  <c r="C27" i="14" s="1"/>
  <c r="H404" i="15"/>
  <c r="H403" i="15"/>
  <c r="F401" i="15"/>
  <c r="C26" i="14" s="1"/>
  <c r="H388" i="15"/>
  <c r="H387" i="15"/>
  <c r="F385" i="15"/>
  <c r="C25" i="14" s="1"/>
  <c r="H373" i="15"/>
  <c r="H372" i="15"/>
  <c r="H357" i="15"/>
  <c r="F355" i="15"/>
  <c r="C23" i="14" s="1"/>
  <c r="H342" i="15"/>
  <c r="H341" i="15"/>
  <c r="F339" i="15"/>
  <c r="C22" i="14" s="1"/>
  <c r="H333" i="15"/>
  <c r="H332" i="15"/>
  <c r="H320" i="15"/>
  <c r="H319" i="15"/>
  <c r="F317" i="15"/>
  <c r="C20" i="14" s="1"/>
  <c r="H288" i="15"/>
  <c r="H287" i="15"/>
  <c r="F285" i="15"/>
  <c r="C18" i="14" s="1"/>
  <c r="H270" i="15"/>
  <c r="H269" i="15"/>
  <c r="F267" i="15"/>
  <c r="C17" i="14" s="1"/>
  <c r="H252" i="15"/>
  <c r="H251" i="15"/>
  <c r="F249" i="15"/>
  <c r="C16" i="14" s="1"/>
  <c r="H235" i="15"/>
  <c r="H234" i="15"/>
  <c r="H216" i="15"/>
  <c r="H215" i="15"/>
  <c r="F213" i="15"/>
  <c r="C14" i="14" s="1"/>
  <c r="H200" i="15"/>
  <c r="H199" i="15"/>
  <c r="F197" i="15"/>
  <c r="C13" i="14" s="1"/>
  <c r="H182" i="15"/>
  <c r="H181" i="15"/>
  <c r="F179" i="15"/>
  <c r="C12" i="14" s="1"/>
  <c r="H165" i="15"/>
  <c r="H164" i="15"/>
  <c r="H146" i="15"/>
  <c r="H145" i="15"/>
  <c r="H125" i="15"/>
  <c r="F123" i="15"/>
  <c r="C9" i="14" s="1"/>
  <c r="H103" i="15"/>
  <c r="H84" i="15"/>
  <c r="H83" i="15"/>
  <c r="C7" i="14"/>
  <c r="H60" i="15"/>
  <c r="H59" i="15"/>
  <c r="F57" i="15"/>
  <c r="C6" i="14" s="1"/>
  <c r="H41" i="15"/>
  <c r="H40" i="15"/>
  <c r="T71" i="45" l="1"/>
  <c r="Z71" i="45" s="1"/>
  <c r="AD32" i="44"/>
  <c r="AD25" i="44"/>
  <c r="AK25" i="17"/>
  <c r="AA25" i="17" s="1"/>
  <c r="J25" i="14" s="1"/>
  <c r="AD22" i="44"/>
  <c r="AK22" i="17"/>
  <c r="AA22" i="17" s="1"/>
  <c r="J22" i="14" s="1"/>
  <c r="AD28" i="44"/>
  <c r="AK28" i="17"/>
  <c r="AA28" i="17" s="1"/>
  <c r="J28" i="14" s="1"/>
  <c r="AD14" i="44"/>
  <c r="AK14" i="17"/>
  <c r="AD17" i="44"/>
  <c r="AK17" i="17"/>
  <c r="AD27" i="44"/>
  <c r="AK27" i="17"/>
  <c r="AA27" i="17" s="1"/>
  <c r="J27" i="14" s="1"/>
  <c r="AD12" i="44"/>
  <c r="AG12" i="43"/>
  <c r="AD20" i="44"/>
  <c r="AK20" i="17"/>
  <c r="AA20" i="17" s="1"/>
  <c r="J20" i="14" s="1"/>
  <c r="AD23" i="44"/>
  <c r="AK23" i="17"/>
  <c r="AA23" i="17" s="1"/>
  <c r="J23" i="14" s="1"/>
  <c r="AD18" i="44"/>
  <c r="AK18" i="17"/>
  <c r="AD13" i="44"/>
  <c r="AK13" i="17"/>
  <c r="AD16" i="44"/>
  <c r="AK16" i="17"/>
  <c r="AD26" i="44"/>
  <c r="AK26" i="17"/>
  <c r="AA26" i="17" s="1"/>
  <c r="J26" i="14" s="1"/>
  <c r="AK32" i="17"/>
  <c r="AA32" i="17" s="1"/>
  <c r="J32" i="14" s="1"/>
  <c r="AD9" i="44"/>
  <c r="AK9" i="17"/>
  <c r="AD7" i="44"/>
  <c r="AK7" i="17"/>
  <c r="AD6" i="44"/>
  <c r="AK6" i="17"/>
  <c r="T51" i="45"/>
  <c r="Z51" i="45" s="1"/>
  <c r="T59" i="45"/>
  <c r="Z59" i="45" s="1"/>
  <c r="T62" i="45"/>
  <c r="Z62" i="45" s="1"/>
  <c r="T64" i="45"/>
  <c r="Z64" i="45" s="1"/>
  <c r="T46" i="45"/>
  <c r="Z46" i="45" s="1"/>
  <c r="T57" i="45"/>
  <c r="Z57" i="45" s="1"/>
  <c r="T61" i="45"/>
  <c r="Z61" i="45" s="1"/>
  <c r="T67" i="45"/>
  <c r="Z67" i="45" s="1"/>
  <c r="T48" i="45"/>
  <c r="Z48" i="45" s="1"/>
  <c r="T53" i="45"/>
  <c r="Z53" i="45" s="1"/>
  <c r="T56" i="45"/>
  <c r="Z56" i="45" s="1"/>
  <c r="T66" i="45"/>
  <c r="Z66" i="45" s="1"/>
  <c r="T45" i="45"/>
  <c r="Z45" i="45" s="1"/>
  <c r="T52" i="45"/>
  <c r="Z52" i="45" s="1"/>
  <c r="T55" i="45"/>
  <c r="Z55" i="45" s="1"/>
  <c r="T65" i="45"/>
  <c r="Z65" i="45" s="1"/>
  <c r="Z22" i="43"/>
  <c r="Z18" i="43"/>
  <c r="H447" i="15"/>
  <c r="H495" i="15"/>
  <c r="E31" i="14" s="1"/>
  <c r="H467" i="15"/>
  <c r="H355" i="15"/>
  <c r="H162" i="15"/>
  <c r="E11" i="14" s="1"/>
  <c r="H285" i="15"/>
  <c r="H299" i="15"/>
  <c r="J30" i="44"/>
  <c r="N30" i="44" s="1"/>
  <c r="H370" i="15"/>
  <c r="E24" i="14" s="1"/>
  <c r="AE24" i="44" s="1"/>
  <c r="BG24" i="44" s="1"/>
  <c r="H143" i="15"/>
  <c r="E10" i="14" s="1"/>
  <c r="Z17" i="43"/>
  <c r="Z16" i="43"/>
  <c r="Z12" i="43"/>
  <c r="Z14" i="43"/>
  <c r="Z9" i="43"/>
  <c r="H57" i="15"/>
  <c r="E6" i="14" s="1"/>
  <c r="H249" i="15"/>
  <c r="E16" i="14" s="1"/>
  <c r="H385" i="15"/>
  <c r="E25" i="14" s="1"/>
  <c r="AE25" i="44" s="1"/>
  <c r="BG25" i="44" s="1"/>
  <c r="H317" i="15"/>
  <c r="E20" i="14" s="1"/>
  <c r="AE20" i="44" s="1"/>
  <c r="H232" i="15"/>
  <c r="E15" i="14" s="1"/>
  <c r="H267" i="15"/>
  <c r="E17" i="14" s="1"/>
  <c r="H213" i="15"/>
  <c r="E14" i="14" s="1"/>
  <c r="H330" i="15"/>
  <c r="E21" i="14" s="1"/>
  <c r="H123" i="15"/>
  <c r="E9" i="14" s="1"/>
  <c r="H430" i="15"/>
  <c r="E28" i="14" s="1"/>
  <c r="AE28" i="44" s="1"/>
  <c r="BG28" i="44" s="1"/>
  <c r="H509" i="15"/>
  <c r="H415" i="15"/>
  <c r="E27" i="14" s="1"/>
  <c r="AE27" i="44" s="1"/>
  <c r="H401" i="15"/>
  <c r="E26" i="14" s="1"/>
  <c r="AE26" i="44" s="1"/>
  <c r="H339" i="15"/>
  <c r="E22" i="14" s="1"/>
  <c r="AE22" i="44" s="1"/>
  <c r="H197" i="15"/>
  <c r="E13" i="14" s="1"/>
  <c r="H179" i="15"/>
  <c r="E12" i="14" s="1"/>
  <c r="H101" i="15"/>
  <c r="E8" i="14" s="1"/>
  <c r="H81" i="15"/>
  <c r="AA13" i="17" l="1"/>
  <c r="J13" i="14" s="1"/>
  <c r="AB13" i="17"/>
  <c r="K13" i="14" s="1"/>
  <c r="AF13" i="44" s="1"/>
  <c r="AH13" i="44" s="1"/>
  <c r="AA17" i="17"/>
  <c r="J17" i="14" s="1"/>
  <c r="AB17" i="17"/>
  <c r="K17" i="14" s="1"/>
  <c r="AF17" i="44" s="1"/>
  <c r="AH17" i="44" s="1"/>
  <c r="AB28" i="17"/>
  <c r="J25" i="44"/>
  <c r="N25" i="44" s="1"/>
  <c r="AB25" i="17"/>
  <c r="K25" i="14" s="1"/>
  <c r="AF25" i="44" s="1"/>
  <c r="AH25" i="44" s="1"/>
  <c r="AB16" i="17"/>
  <c r="K16" i="14" s="1"/>
  <c r="AA16" i="17"/>
  <c r="AB18" i="17"/>
  <c r="K18" i="14" s="1"/>
  <c r="AF18" i="44" s="1"/>
  <c r="AH18" i="44" s="1"/>
  <c r="AA18" i="17"/>
  <c r="J18" i="14" s="1"/>
  <c r="AB20" i="17"/>
  <c r="AB27" i="17"/>
  <c r="K27" i="14" s="1"/>
  <c r="AF27" i="44" s="1"/>
  <c r="AH27" i="44" s="1"/>
  <c r="AB14" i="17"/>
  <c r="K14" i="14" s="1"/>
  <c r="AF14" i="44" s="1"/>
  <c r="AH14" i="44" s="1"/>
  <c r="AA14" i="17"/>
  <c r="J14" i="14" s="1"/>
  <c r="AB22" i="17"/>
  <c r="K22" i="14" s="1"/>
  <c r="AF22" i="44" s="1"/>
  <c r="AH22" i="44" s="1"/>
  <c r="AB26" i="17"/>
  <c r="K26" i="14" s="1"/>
  <c r="AF26" i="44" s="1"/>
  <c r="AH26" i="44" s="1"/>
  <c r="AB23" i="17"/>
  <c r="K23" i="14" s="1"/>
  <c r="AF23" i="44" s="1"/>
  <c r="AH23" i="44" s="1"/>
  <c r="AB32" i="17"/>
  <c r="K32" i="14" s="1"/>
  <c r="AF32" i="44" s="1"/>
  <c r="AH32" i="44" s="1"/>
  <c r="J32" i="44"/>
  <c r="N32" i="44" s="1"/>
  <c r="AA9" i="17"/>
  <c r="AB9" i="17"/>
  <c r="K9" i="14" s="1"/>
  <c r="AA7" i="17"/>
  <c r="J7" i="14" s="1"/>
  <c r="AB7" i="17"/>
  <c r="K7" i="14" s="1"/>
  <c r="AF7" i="44" s="1"/>
  <c r="AH7" i="44" s="1"/>
  <c r="AB6" i="17"/>
  <c r="K6" i="14" s="1"/>
  <c r="AF6" i="44" s="1"/>
  <c r="AH6" i="44" s="1"/>
  <c r="AA6" i="17"/>
  <c r="J6" i="14" s="1"/>
  <c r="E7" i="14"/>
  <c r="AE7" i="44" s="1"/>
  <c r="BG7" i="44" s="1"/>
  <c r="G81" i="15"/>
  <c r="BG26" i="44"/>
  <c r="AK12" i="17"/>
  <c r="AE31" i="44"/>
  <c r="BG31" i="44" s="1"/>
  <c r="AE12" i="44"/>
  <c r="BG12" i="44" s="1"/>
  <c r="AE13" i="44"/>
  <c r="BG13" i="44" s="1"/>
  <c r="AE14" i="44"/>
  <c r="BG14" i="44" s="1"/>
  <c r="AE10" i="44"/>
  <c r="BG10" i="44" s="1"/>
  <c r="BG22" i="44"/>
  <c r="AE17" i="44"/>
  <c r="BG17" i="44" s="1"/>
  <c r="AE16" i="44"/>
  <c r="BG16" i="44" s="1"/>
  <c r="AE11" i="44"/>
  <c r="BG11" i="44" s="1"/>
  <c r="AE8" i="44"/>
  <c r="BG8" i="44" s="1"/>
  <c r="AE9" i="44"/>
  <c r="BG9" i="44" s="1"/>
  <c r="AE15" i="44"/>
  <c r="BG15" i="44" s="1"/>
  <c r="AE6" i="44"/>
  <c r="BG6" i="44" s="1"/>
  <c r="AE21" i="44"/>
  <c r="BG21" i="44" s="1"/>
  <c r="BG27" i="44"/>
  <c r="BG20" i="44"/>
  <c r="AG22" i="43"/>
  <c r="E18" i="14"/>
  <c r="AG17" i="43"/>
  <c r="AG9" i="43"/>
  <c r="K28" i="14"/>
  <c r="AF28" i="44" s="1"/>
  <c r="AH28" i="44" s="1"/>
  <c r="AG14" i="43"/>
  <c r="AG18" i="43"/>
  <c r="K20" i="14"/>
  <c r="AF20" i="44" s="1"/>
  <c r="AH20" i="44" s="1"/>
  <c r="U69" i="45"/>
  <c r="Z15" i="43"/>
  <c r="AH9" i="43"/>
  <c r="AH16" i="43"/>
  <c r="AH23" i="43"/>
  <c r="Z10" i="43"/>
  <c r="D31" i="14"/>
  <c r="Z11" i="43"/>
  <c r="Z19" i="43"/>
  <c r="E32" i="14"/>
  <c r="AE32" i="44" s="1"/>
  <c r="BG32" i="44" s="1"/>
  <c r="Z8" i="43"/>
  <c r="Z24" i="43"/>
  <c r="Z29" i="43"/>
  <c r="AG23" i="43"/>
  <c r="AG16" i="43"/>
  <c r="O30" i="14"/>
  <c r="AG30" i="44" s="1"/>
  <c r="N30" i="14"/>
  <c r="K30" i="44" s="1"/>
  <c r="D20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22" i="14"/>
  <c r="D24" i="14"/>
  <c r="D25" i="14"/>
  <c r="D26" i="14"/>
  <c r="D28" i="14"/>
  <c r="D27" i="14"/>
  <c r="D21" i="14"/>
  <c r="G447" i="15"/>
  <c r="E29" i="14"/>
  <c r="AE29" i="44" s="1"/>
  <c r="BG29" i="44" s="1"/>
  <c r="G495" i="15"/>
  <c r="E19" i="14"/>
  <c r="E35" i="14" s="1"/>
  <c r="D35" i="14" s="1"/>
  <c r="G299" i="15"/>
  <c r="G355" i="15"/>
  <c r="E23" i="14"/>
  <c r="AE23" i="44" s="1"/>
  <c r="BG23" i="44" s="1"/>
  <c r="G467" i="15"/>
  <c r="E30" i="14"/>
  <c r="AE30" i="44" s="1"/>
  <c r="BG30" i="44" s="1"/>
  <c r="O19" i="14"/>
  <c r="AG13" i="43"/>
  <c r="AG6" i="43"/>
  <c r="AG20" i="43"/>
  <c r="AG32" i="43"/>
  <c r="AG28" i="43"/>
  <c r="AG31" i="43"/>
  <c r="Z31" i="43"/>
  <c r="AG25" i="43"/>
  <c r="AG27" i="43"/>
  <c r="AG26" i="43"/>
  <c r="G370" i="15"/>
  <c r="AB30" i="43"/>
  <c r="AA30" i="43"/>
  <c r="J8" i="44"/>
  <c r="N8" i="44" s="1"/>
  <c r="O15" i="14"/>
  <c r="AG15" i="44" s="1"/>
  <c r="J15" i="44"/>
  <c r="N15" i="44" s="1"/>
  <c r="J11" i="44"/>
  <c r="N11" i="44" s="1"/>
  <c r="O10" i="14"/>
  <c r="AG10" i="44" s="1"/>
  <c r="J10" i="44"/>
  <c r="N10" i="44" s="1"/>
  <c r="G330" i="15"/>
  <c r="G57" i="15"/>
  <c r="G509" i="15"/>
  <c r="G213" i="15"/>
  <c r="G197" i="15"/>
  <c r="G101" i="15"/>
  <c r="G123" i="15"/>
  <c r="G143" i="15"/>
  <c r="G430" i="15"/>
  <c r="G385" i="15"/>
  <c r="G339" i="15"/>
  <c r="G317" i="15"/>
  <c r="G415" i="15"/>
  <c r="G401" i="15"/>
  <c r="G179" i="15"/>
  <c r="G249" i="15"/>
  <c r="G285" i="15"/>
  <c r="G267" i="15"/>
  <c r="G232" i="15"/>
  <c r="G162" i="15"/>
  <c r="J9" i="14" l="1"/>
  <c r="J9" i="44" s="1"/>
  <c r="N9" i="44" s="1"/>
  <c r="J16" i="14"/>
  <c r="J16" i="44" s="1"/>
  <c r="N16" i="44" s="1"/>
  <c r="AG19" i="44"/>
  <c r="AF16" i="44"/>
  <c r="AH16" i="44" s="1"/>
  <c r="O16" i="14"/>
  <c r="AG16" i="44" s="1"/>
  <c r="O18" i="14"/>
  <c r="AG18" i="44" s="1"/>
  <c r="AB12" i="17"/>
  <c r="K12" i="14" s="1"/>
  <c r="AF12" i="44" s="1"/>
  <c r="AH12" i="44" s="1"/>
  <c r="AA12" i="17"/>
  <c r="AF9" i="44"/>
  <c r="AH9" i="44" s="1"/>
  <c r="O9" i="14"/>
  <c r="AG9" i="44" s="1"/>
  <c r="AY30" i="44"/>
  <c r="U71" i="45"/>
  <c r="V71" i="45" s="1"/>
  <c r="U72" i="45"/>
  <c r="V72" i="45" s="1"/>
  <c r="AE19" i="44"/>
  <c r="BG19" i="44" s="1"/>
  <c r="D18" i="14"/>
  <c r="AE18" i="44"/>
  <c r="BG18" i="44" s="1"/>
  <c r="N8" i="14"/>
  <c r="K8" i="44" s="1"/>
  <c r="U47" i="45"/>
  <c r="N9" i="14"/>
  <c r="U48" i="45"/>
  <c r="N10" i="14"/>
  <c r="K10" i="44" s="1"/>
  <c r="U49" i="45"/>
  <c r="N11" i="14"/>
  <c r="U50" i="45"/>
  <c r="N15" i="14"/>
  <c r="U54" i="45"/>
  <c r="N16" i="14"/>
  <c r="U55" i="45"/>
  <c r="O32" i="14"/>
  <c r="AG32" i="44" s="1"/>
  <c r="AH22" i="43"/>
  <c r="D32" i="14"/>
  <c r="AH18" i="43"/>
  <c r="AH13" i="43"/>
  <c r="AH14" i="43"/>
  <c r="AH6" i="43"/>
  <c r="AH17" i="43"/>
  <c r="AH12" i="43"/>
  <c r="N32" i="14"/>
  <c r="K32" i="44" s="1"/>
  <c r="J22" i="44"/>
  <c r="N22" i="44" s="1"/>
  <c r="O11" i="14"/>
  <c r="AG11" i="44" s="1"/>
  <c r="O8" i="14"/>
  <c r="AG8" i="44" s="1"/>
  <c r="J18" i="44"/>
  <c r="N18" i="44" s="1"/>
  <c r="AB24" i="43"/>
  <c r="O24" i="14"/>
  <c r="AG24" i="44" s="1"/>
  <c r="J23" i="44"/>
  <c r="N23" i="44" s="1"/>
  <c r="O29" i="14"/>
  <c r="AG29" i="44" s="1"/>
  <c r="AA24" i="43"/>
  <c r="J24" i="44"/>
  <c r="N24" i="44" s="1"/>
  <c r="J29" i="44"/>
  <c r="N29" i="44" s="1"/>
  <c r="AA19" i="43"/>
  <c r="D19" i="14"/>
  <c r="D23" i="14"/>
  <c r="D29" i="14"/>
  <c r="D30" i="14"/>
  <c r="AB29" i="43"/>
  <c r="AA29" i="43"/>
  <c r="AB19" i="43"/>
  <c r="AA18" i="43"/>
  <c r="Z23" i="43"/>
  <c r="Z27" i="43"/>
  <c r="Z26" i="43"/>
  <c r="Z28" i="43"/>
  <c r="Z7" i="43"/>
  <c r="Z25" i="43"/>
  <c r="Z20" i="43"/>
  <c r="Z6" i="43"/>
  <c r="Z32" i="43"/>
  <c r="Z13" i="43"/>
  <c r="AA23" i="43"/>
  <c r="AH20" i="43"/>
  <c r="AH32" i="43"/>
  <c r="AH28" i="43"/>
  <c r="AH31" i="43"/>
  <c r="AH25" i="43"/>
  <c r="AH27" i="43"/>
  <c r="AH26" i="43"/>
  <c r="AB15" i="43"/>
  <c r="AB16" i="43"/>
  <c r="AA8" i="43"/>
  <c r="AA10" i="43"/>
  <c r="AB11" i="43"/>
  <c r="AA9" i="43"/>
  <c r="AB10" i="43"/>
  <c r="AA11" i="43"/>
  <c r="AB9" i="43"/>
  <c r="AG7" i="43"/>
  <c r="AA15" i="43"/>
  <c r="AA16" i="43"/>
  <c r="AB8" i="43"/>
  <c r="Y4" i="17"/>
  <c r="AA12" i="43" l="1"/>
  <c r="J12" i="14"/>
  <c r="J19" i="44"/>
  <c r="N19" i="44" s="1"/>
  <c r="K16" i="44"/>
  <c r="K15" i="44"/>
  <c r="K11" i="44"/>
  <c r="K9" i="44"/>
  <c r="AY32" i="44"/>
  <c r="D4" i="44"/>
  <c r="AO4" i="44"/>
  <c r="C4" i="44"/>
  <c r="U68" i="45"/>
  <c r="N19" i="14"/>
  <c r="U58" i="45"/>
  <c r="N18" i="14"/>
  <c r="K18" i="44" s="1"/>
  <c r="U57" i="45"/>
  <c r="N23" i="14"/>
  <c r="K23" i="44" s="1"/>
  <c r="U62" i="45"/>
  <c r="N22" i="14"/>
  <c r="K22" i="44" s="1"/>
  <c r="U61" i="45"/>
  <c r="N24" i="14"/>
  <c r="K24" i="44" s="1"/>
  <c r="U63" i="45"/>
  <c r="AB18" i="43"/>
  <c r="N29" i="14"/>
  <c r="K29" i="44" s="1"/>
  <c r="AA22" i="43"/>
  <c r="O14" i="14"/>
  <c r="AG14" i="44" s="1"/>
  <c r="O17" i="14"/>
  <c r="AG17" i="44" s="1"/>
  <c r="O22" i="14"/>
  <c r="AG22" i="44" s="1"/>
  <c r="J17" i="44"/>
  <c r="N17" i="44" s="1"/>
  <c r="O12" i="14"/>
  <c r="AG12" i="44" s="1"/>
  <c r="O23" i="14"/>
  <c r="AG23" i="44" s="1"/>
  <c r="J14" i="44"/>
  <c r="N14" i="44" s="1"/>
  <c r="J12" i="44"/>
  <c r="N12" i="44" s="1"/>
  <c r="AB12" i="43"/>
  <c r="AA14" i="43"/>
  <c r="AB14" i="43"/>
  <c r="AB22" i="43"/>
  <c r="AB17" i="43"/>
  <c r="AA17" i="43"/>
  <c r="Y4" i="43"/>
  <c r="AB23" i="43"/>
  <c r="AA31" i="43"/>
  <c r="AB31" i="43"/>
  <c r="AH7" i="43"/>
  <c r="J7" i="44"/>
  <c r="N7" i="44" s="1"/>
  <c r="O7" i="14"/>
  <c r="AG7" i="44" s="1"/>
  <c r="Y35" i="17"/>
  <c r="E35" i="17"/>
  <c r="E33" i="43" s="1"/>
  <c r="D35" i="17"/>
  <c r="D33" i="43" s="1"/>
  <c r="F38" i="15"/>
  <c r="C5" i="14" s="1"/>
  <c r="H25" i="15"/>
  <c r="H24" i="15"/>
  <c r="H23" i="15"/>
  <c r="H22" i="15"/>
  <c r="F20" i="15"/>
  <c r="C4" i="14" s="1"/>
  <c r="H11" i="15"/>
  <c r="H10" i="15"/>
  <c r="H9" i="15"/>
  <c r="K19" i="44" l="1"/>
  <c r="AY19" i="44" s="1"/>
  <c r="AO35" i="44"/>
  <c r="AO38" i="44" s="1"/>
  <c r="AO39" i="44" s="1"/>
  <c r="AY29" i="44"/>
  <c r="Y33" i="43"/>
  <c r="AY23" i="44"/>
  <c r="AY22" i="44"/>
  <c r="AY24" i="44"/>
  <c r="AY18" i="44"/>
  <c r="AD5" i="44"/>
  <c r="AK5" i="17"/>
  <c r="N12" i="14"/>
  <c r="K12" i="44" s="1"/>
  <c r="U51" i="45"/>
  <c r="N14" i="14"/>
  <c r="K14" i="44" s="1"/>
  <c r="U53" i="45"/>
  <c r="N7" i="14"/>
  <c r="K7" i="44" s="1"/>
  <c r="U46" i="45"/>
  <c r="N17" i="14"/>
  <c r="K17" i="44" s="1"/>
  <c r="U56" i="45"/>
  <c r="O26" i="14"/>
  <c r="AB20" i="43"/>
  <c r="O20" i="14"/>
  <c r="AG20" i="44" s="1"/>
  <c r="J26" i="44"/>
  <c r="N26" i="44" s="1"/>
  <c r="AA13" i="43"/>
  <c r="J13" i="44"/>
  <c r="N13" i="44" s="1"/>
  <c r="O13" i="14"/>
  <c r="AG13" i="44" s="1"/>
  <c r="AB28" i="43"/>
  <c r="O28" i="14"/>
  <c r="AG28" i="44" s="1"/>
  <c r="O25" i="14"/>
  <c r="AG25" i="44" s="1"/>
  <c r="J20" i="44"/>
  <c r="N20" i="44" s="1"/>
  <c r="AA28" i="43"/>
  <c r="J28" i="44"/>
  <c r="N28" i="44" s="1"/>
  <c r="AA25" i="43"/>
  <c r="O27" i="14"/>
  <c r="AG27" i="44" s="1"/>
  <c r="AA27" i="43"/>
  <c r="J27" i="44"/>
  <c r="N27" i="44" s="1"/>
  <c r="AB6" i="43"/>
  <c r="O6" i="14"/>
  <c r="AG6" i="44" s="1"/>
  <c r="AA6" i="43"/>
  <c r="J6" i="44"/>
  <c r="N6" i="44" s="1"/>
  <c r="AB32" i="43"/>
  <c r="T44" i="45"/>
  <c r="Z44" i="45" s="1"/>
  <c r="AD4" i="44"/>
  <c r="T43" i="45"/>
  <c r="Z43" i="45" s="1"/>
  <c r="AV4" i="44"/>
  <c r="AB25" i="43"/>
  <c r="AA20" i="43"/>
  <c r="AA32" i="43"/>
  <c r="AA26" i="43"/>
  <c r="AB26" i="43"/>
  <c r="AB13" i="43"/>
  <c r="AB27" i="43"/>
  <c r="AB7" i="43"/>
  <c r="AA7" i="43"/>
  <c r="H38" i="15"/>
  <c r="E5" i="14" s="1"/>
  <c r="H20" i="15"/>
  <c r="E4" i="14" s="1"/>
  <c r="AB5" i="17" l="1"/>
  <c r="K5" i="14" s="1"/>
  <c r="AF5" i="44" s="1"/>
  <c r="AH5" i="44" s="1"/>
  <c r="AA5" i="17"/>
  <c r="J5" i="14" s="1"/>
  <c r="AO40" i="44"/>
  <c r="AY12" i="44"/>
  <c r="AY14" i="44"/>
  <c r="AY17" i="44"/>
  <c r="U67" i="45"/>
  <c r="AG26" i="44"/>
  <c r="AE5" i="44"/>
  <c r="BG5" i="44" s="1"/>
  <c r="N26" i="14"/>
  <c r="K26" i="44" s="1"/>
  <c r="U65" i="45"/>
  <c r="N6" i="14"/>
  <c r="K6" i="44" s="1"/>
  <c r="U45" i="45"/>
  <c r="V45" i="45" s="1"/>
  <c r="N13" i="14"/>
  <c r="K13" i="44" s="1"/>
  <c r="U52" i="45"/>
  <c r="N27" i="14"/>
  <c r="K27" i="44" s="1"/>
  <c r="U66" i="45"/>
  <c r="N25" i="14"/>
  <c r="K25" i="44" s="1"/>
  <c r="U64" i="45"/>
  <c r="N20" i="14"/>
  <c r="K20" i="44" s="1"/>
  <c r="U59" i="45"/>
  <c r="N28" i="14"/>
  <c r="K28" i="44" s="1"/>
  <c r="AY15" i="44"/>
  <c r="AY16" i="44"/>
  <c r="AY10" i="44"/>
  <c r="AY11" i="44"/>
  <c r="AY8" i="44"/>
  <c r="AY9" i="44"/>
  <c r="AD35" i="44"/>
  <c r="AD38" i="44" s="1"/>
  <c r="T74" i="45"/>
  <c r="T75" i="45" s="1"/>
  <c r="Z74" i="45"/>
  <c r="D4" i="14"/>
  <c r="AE4" i="44"/>
  <c r="D5" i="14"/>
  <c r="Z4" i="17"/>
  <c r="Z4" i="43" s="1"/>
  <c r="AG5" i="43"/>
  <c r="AJ4" i="17"/>
  <c r="G20" i="15"/>
  <c r="G38" i="15"/>
  <c r="AY20" i="44" l="1"/>
  <c r="AY28" i="44"/>
  <c r="AY26" i="44"/>
  <c r="AH5" i="43"/>
  <c r="AD40" i="44"/>
  <c r="AD39" i="44"/>
  <c r="BG4" i="44"/>
  <c r="AE35" i="44"/>
  <c r="AE38" i="44" s="1"/>
  <c r="Z5" i="43"/>
  <c r="I55" i="17"/>
  <c r="AK4" i="17"/>
  <c r="AB4" i="17" s="1"/>
  <c r="AG4" i="43"/>
  <c r="I35" i="13"/>
  <c r="E4" i="13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AY25" i="44" l="1"/>
  <c r="B31" i="9"/>
  <c r="B32" i="9" s="1"/>
  <c r="B33" i="9" s="1"/>
  <c r="B34" i="9" s="1"/>
  <c r="AY27" i="44"/>
  <c r="AE40" i="44"/>
  <c r="AE39" i="44"/>
  <c r="AY13" i="44"/>
  <c r="AY7" i="44"/>
  <c r="AY6" i="44"/>
  <c r="H43" i="45"/>
  <c r="O43" i="45"/>
  <c r="AH4" i="43"/>
  <c r="AK35" i="17"/>
  <c r="AA4" i="17"/>
  <c r="AA4" i="43" s="1"/>
  <c r="E35" i="13"/>
  <c r="E36" i="13" s="1"/>
  <c r="AJ35" i="17"/>
  <c r="AG33" i="43" s="1"/>
  <c r="Z35" i="17"/>
  <c r="Z33" i="43" s="1"/>
  <c r="O5" i="14" l="1"/>
  <c r="AG5" i="44" s="1"/>
  <c r="AA5" i="43"/>
  <c r="J5" i="44"/>
  <c r="N5" i="44" s="1"/>
  <c r="R43" i="45"/>
  <c r="Y43" i="45"/>
  <c r="H74" i="45"/>
  <c r="H75" i="45" s="1"/>
  <c r="L43" i="45"/>
  <c r="AB5" i="43"/>
  <c r="AB4" i="43"/>
  <c r="J4" i="14"/>
  <c r="J4" i="44" l="1"/>
  <c r="N4" i="44" s="1"/>
  <c r="J35" i="14"/>
  <c r="N5" i="14"/>
  <c r="K5" i="44" s="1"/>
  <c r="U44" i="45"/>
  <c r="V44" i="45" s="1"/>
  <c r="N4" i="14"/>
  <c r="K4" i="14"/>
  <c r="N35" i="14" l="1"/>
  <c r="U43" i="45"/>
  <c r="V43" i="45" s="1"/>
  <c r="K35" i="14"/>
  <c r="U73" i="45" s="1"/>
  <c r="K4" i="44"/>
  <c r="AF4" i="44"/>
  <c r="O4" i="14"/>
  <c r="T48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V73" i="45" l="1"/>
  <c r="U74" i="45"/>
  <c r="U75" i="45" s="1"/>
  <c r="AG4" i="44"/>
  <c r="O35" i="14"/>
  <c r="AH4" i="44"/>
  <c r="U38" i="5"/>
  <c r="W42" i="5"/>
  <c r="AY5" i="44"/>
  <c r="AY4" i="44"/>
  <c r="AF35" i="44"/>
  <c r="AF38" i="44" s="1"/>
  <c r="D37" i="25"/>
  <c r="E37" i="25"/>
  <c r="G36" i="13"/>
  <c r="G37" i="13" s="1"/>
  <c r="L57" i="5"/>
  <c r="R15" i="19"/>
  <c r="R18" i="19" s="1"/>
  <c r="T39" i="5" l="1"/>
  <c r="AH35" i="44"/>
  <c r="AH38" i="44" s="1"/>
  <c r="AG35" i="44"/>
  <c r="AG38" i="44" s="1"/>
  <c r="AD35" i="17"/>
  <c r="AD33" i="43" s="1"/>
  <c r="AF39" i="44" l="1"/>
  <c r="AF40" i="44"/>
  <c r="L52" i="5"/>
  <c r="AH33" i="43"/>
  <c r="L38" i="5"/>
  <c r="AG39" i="44" l="1"/>
  <c r="AG40" i="44"/>
  <c r="AH40" i="44"/>
  <c r="AH39" i="44"/>
  <c r="L56" i="5" l="1"/>
  <c r="L55" i="5" l="1"/>
  <c r="L54" i="5"/>
  <c r="L53" i="5"/>
  <c r="M35" i="9"/>
  <c r="H35" i="9"/>
  <c r="H36" i="9" l="1"/>
  <c r="H37" i="9" s="1"/>
  <c r="H38" i="9"/>
  <c r="C35" i="17"/>
  <c r="C33" i="43" l="1"/>
  <c r="I47" i="17" l="1"/>
  <c r="F67" i="45"/>
  <c r="L67" i="45" s="1"/>
  <c r="E20" i="12"/>
  <c r="E8" i="12"/>
  <c r="F66" i="45"/>
  <c r="L66" i="45" s="1"/>
  <c r="F62" i="45"/>
  <c r="L62" i="45" s="1"/>
  <c r="E19" i="12"/>
  <c r="E15" i="12"/>
  <c r="E11" i="12"/>
  <c r="H35" i="12"/>
  <c r="K38" i="9" s="1"/>
  <c r="E7" i="12"/>
  <c r="F63" i="45"/>
  <c r="L63" i="45" s="1"/>
  <c r="E12" i="12"/>
  <c r="F65" i="45"/>
  <c r="L65" i="45" s="1"/>
  <c r="E22" i="12"/>
  <c r="F61" i="45" s="1"/>
  <c r="L61" i="45" s="1"/>
  <c r="E18" i="12"/>
  <c r="E14" i="12"/>
  <c r="E10" i="12"/>
  <c r="E16" i="12"/>
  <c r="F64" i="45"/>
  <c r="L64" i="45" s="1"/>
  <c r="E21" i="12"/>
  <c r="E17" i="12"/>
  <c r="E13" i="12"/>
  <c r="E9" i="12"/>
  <c r="I42" i="17" l="1"/>
  <c r="I45" i="17" s="1"/>
  <c r="AB35" i="17"/>
  <c r="AA35" i="17"/>
  <c r="F69" i="45"/>
  <c r="L69" i="45" s="1"/>
  <c r="O69" i="45"/>
  <c r="R69" i="45" s="1"/>
  <c r="F68" i="45"/>
  <c r="L68" i="45" s="1"/>
  <c r="O68" i="45"/>
  <c r="R68" i="45" s="1"/>
  <c r="H36" i="12"/>
  <c r="F25" i="43"/>
  <c r="O64" i="45"/>
  <c r="R64" i="45" s="1"/>
  <c r="F29" i="43"/>
  <c r="F30" i="43"/>
  <c r="F23" i="43"/>
  <c r="O62" i="45"/>
  <c r="R62" i="45" s="1"/>
  <c r="F26" i="43"/>
  <c r="O65" i="45"/>
  <c r="R65" i="45" s="1"/>
  <c r="F27" i="43"/>
  <c r="O66" i="45"/>
  <c r="R66" i="45" s="1"/>
  <c r="F28" i="43"/>
  <c r="O67" i="45"/>
  <c r="R67" i="45" s="1"/>
  <c r="F21" i="43"/>
  <c r="F60" i="45"/>
  <c r="L60" i="45" s="1"/>
  <c r="O60" i="45"/>
  <c r="R60" i="45" s="1"/>
  <c r="F32" i="43"/>
  <c r="F22" i="43"/>
  <c r="O61" i="45"/>
  <c r="R61" i="45" s="1"/>
  <c r="F24" i="43"/>
  <c r="O63" i="45"/>
  <c r="R63" i="45" s="1"/>
  <c r="F31" i="43"/>
  <c r="V70" i="45"/>
  <c r="F20" i="43"/>
  <c r="F59" i="45"/>
  <c r="L59" i="45" s="1"/>
  <c r="O59" i="45"/>
  <c r="R59" i="45" s="1"/>
  <c r="F19" i="43"/>
  <c r="F58" i="45"/>
  <c r="L58" i="45" s="1"/>
  <c r="O58" i="45"/>
  <c r="R58" i="45" s="1"/>
  <c r="F18" i="43"/>
  <c r="F57" i="45"/>
  <c r="L57" i="45" s="1"/>
  <c r="O57" i="45"/>
  <c r="R57" i="45" s="1"/>
  <c r="F17" i="43"/>
  <c r="F56" i="45"/>
  <c r="L56" i="45" s="1"/>
  <c r="O56" i="45"/>
  <c r="R56" i="45" s="1"/>
  <c r="F16" i="43"/>
  <c r="F55" i="45"/>
  <c r="L55" i="45" s="1"/>
  <c r="O55" i="45"/>
  <c r="R55" i="45" s="1"/>
  <c r="F15" i="43"/>
  <c r="F54" i="45"/>
  <c r="L54" i="45" s="1"/>
  <c r="O54" i="45"/>
  <c r="R54" i="45" s="1"/>
  <c r="F14" i="43"/>
  <c r="F53" i="45"/>
  <c r="L53" i="45" s="1"/>
  <c r="O53" i="45"/>
  <c r="R53" i="45" s="1"/>
  <c r="F13" i="43"/>
  <c r="F52" i="45"/>
  <c r="L52" i="45" s="1"/>
  <c r="O52" i="45"/>
  <c r="R52" i="45" s="1"/>
  <c r="F12" i="43"/>
  <c r="F51" i="45"/>
  <c r="L51" i="45" s="1"/>
  <c r="O51" i="45"/>
  <c r="R51" i="45" s="1"/>
  <c r="F11" i="43"/>
  <c r="F50" i="45"/>
  <c r="L50" i="45" s="1"/>
  <c r="O50" i="45"/>
  <c r="R50" i="45" s="1"/>
  <c r="F10" i="43"/>
  <c r="F49" i="45"/>
  <c r="L49" i="45" s="1"/>
  <c r="O49" i="45"/>
  <c r="R49" i="45" s="1"/>
  <c r="F9" i="43"/>
  <c r="F48" i="45"/>
  <c r="L48" i="45" s="1"/>
  <c r="O48" i="45"/>
  <c r="R48" i="45" s="1"/>
  <c r="F8" i="43"/>
  <c r="F47" i="45"/>
  <c r="L47" i="45" s="1"/>
  <c r="O47" i="45"/>
  <c r="R47" i="45" s="1"/>
  <c r="F7" i="43"/>
  <c r="F46" i="45"/>
  <c r="O46" i="45"/>
  <c r="R46" i="45" s="1"/>
  <c r="H36" i="11"/>
  <c r="E35" i="12"/>
  <c r="J45" i="17" l="1"/>
  <c r="I43" i="17"/>
  <c r="Q43" i="17" s="1"/>
  <c r="Q42" i="17"/>
  <c r="Q44" i="17" s="1"/>
  <c r="J44" i="17"/>
  <c r="E36" i="12"/>
  <c r="E36" i="11"/>
  <c r="J35" i="44"/>
  <c r="J38" i="44" s="1"/>
  <c r="V60" i="45"/>
  <c r="Y60" i="45"/>
  <c r="V65" i="45"/>
  <c r="Y65" i="45"/>
  <c r="Y64" i="45"/>
  <c r="V64" i="45"/>
  <c r="V61" i="45"/>
  <c r="Y61" i="45"/>
  <c r="Y66" i="45"/>
  <c r="V66" i="45"/>
  <c r="V68" i="45"/>
  <c r="Y68" i="45"/>
  <c r="Y62" i="45"/>
  <c r="V62" i="45"/>
  <c r="V63" i="45"/>
  <c r="Y63" i="45"/>
  <c r="Y67" i="45"/>
  <c r="V67" i="45"/>
  <c r="V69" i="45"/>
  <c r="Y69" i="45"/>
  <c r="Y59" i="45"/>
  <c r="V59" i="45"/>
  <c r="V58" i="45"/>
  <c r="Y58" i="45"/>
  <c r="V57" i="45"/>
  <c r="Y57" i="45"/>
  <c r="V56" i="45"/>
  <c r="Y56" i="45"/>
  <c r="V55" i="45"/>
  <c r="Y55" i="45"/>
  <c r="Y54" i="45"/>
  <c r="V54" i="45"/>
  <c r="V53" i="45"/>
  <c r="Y53" i="45"/>
  <c r="Y52" i="45"/>
  <c r="V52" i="45"/>
  <c r="V51" i="45"/>
  <c r="Y51" i="45"/>
  <c r="V50" i="45"/>
  <c r="Y50" i="45"/>
  <c r="V49" i="45"/>
  <c r="Y49" i="45"/>
  <c r="Y48" i="45"/>
  <c r="V48" i="45"/>
  <c r="V47" i="45"/>
  <c r="Y47" i="45"/>
  <c r="F74" i="45"/>
  <c r="F75" i="45" s="1"/>
  <c r="L46" i="45"/>
  <c r="M74" i="45" s="1"/>
  <c r="M75" i="45" s="1"/>
  <c r="Y46" i="45"/>
  <c r="O74" i="45"/>
  <c r="O75" i="45" s="1"/>
  <c r="AA33" i="43"/>
  <c r="AB33" i="43"/>
  <c r="S42" i="17"/>
  <c r="F35" i="17"/>
  <c r="I35" i="12"/>
  <c r="V46" i="45" l="1"/>
  <c r="V74" i="45" s="1"/>
  <c r="V75" i="45" s="1"/>
  <c r="T76" i="45" s="1"/>
  <c r="R42" i="17"/>
  <c r="K35" i="44"/>
  <c r="K38" i="44" s="1"/>
  <c r="Y74" i="45"/>
  <c r="R74" i="45"/>
  <c r="R75" i="45" s="1"/>
  <c r="L74" i="45"/>
  <c r="L75" i="45" s="1"/>
  <c r="F33" i="43"/>
  <c r="X35" i="5"/>
  <c r="I54" i="17"/>
  <c r="AP35" i="17"/>
  <c r="AM33" i="43" s="1"/>
  <c r="D35" i="44" l="1"/>
  <c r="D38" i="44" s="1"/>
  <c r="C44" i="44"/>
  <c r="C46" i="44" s="1"/>
  <c r="C35" i="44"/>
  <c r="C38" i="44" s="1"/>
  <c r="N35" i="44"/>
  <c r="N38" i="44" s="1"/>
  <c r="I46" i="17"/>
  <c r="I48" i="17" s="1"/>
  <c r="J40" i="44"/>
  <c r="J39" i="44"/>
  <c r="K40" i="44"/>
  <c r="K39" i="44"/>
  <c r="D39" i="44" l="1"/>
  <c r="D40" i="44"/>
  <c r="C39" i="44"/>
  <c r="C40" i="44"/>
  <c r="C47" i="44"/>
  <c r="N40" i="44"/>
  <c r="N39" i="44"/>
  <c r="BO31" i="43" l="1"/>
  <c r="BH31" i="43"/>
  <c r="BS31" i="43" l="1"/>
  <c r="BZ31" i="43"/>
  <c r="S36" i="5"/>
  <c r="U4" i="5" l="1"/>
  <c r="Z4" i="5" s="1"/>
  <c r="BB5" i="17" s="1"/>
  <c r="AC33" i="44"/>
  <c r="AC32" i="44"/>
  <c r="AC34" i="44"/>
  <c r="U20" i="5"/>
  <c r="V20" i="5" s="1"/>
  <c r="U5" i="5"/>
  <c r="V5" i="5" s="1"/>
  <c r="AM6" i="17" s="1"/>
  <c r="U9" i="5"/>
  <c r="V9" i="5" s="1"/>
  <c r="AM10" i="17" s="1"/>
  <c r="AC13" i="44"/>
  <c r="AI13" i="44" s="1"/>
  <c r="BP13" i="44" s="1"/>
  <c r="U21" i="5"/>
  <c r="V21" i="5" s="1"/>
  <c r="AC30" i="44"/>
  <c r="BF30" i="44" s="1"/>
  <c r="AC11" i="44"/>
  <c r="BF11" i="44" s="1"/>
  <c r="U13" i="5"/>
  <c r="Z13" i="5" s="1"/>
  <c r="AA13" i="5" s="1"/>
  <c r="U30" i="5"/>
  <c r="V30" i="5" s="1"/>
  <c r="U33" i="5"/>
  <c r="V33" i="5" s="1"/>
  <c r="U17" i="5"/>
  <c r="Z17" i="5" s="1"/>
  <c r="AA17" i="5" s="1"/>
  <c r="U14" i="5"/>
  <c r="Z14" i="5" s="1"/>
  <c r="AA14" i="5" s="1"/>
  <c r="U26" i="5"/>
  <c r="Z26" i="5" s="1"/>
  <c r="AA26" i="5" s="1"/>
  <c r="M27" i="44" s="1"/>
  <c r="O27" i="44" s="1"/>
  <c r="AC9" i="44"/>
  <c r="BF9" i="44" s="1"/>
  <c r="AC29" i="44"/>
  <c r="BF29" i="44" s="1"/>
  <c r="AC24" i="44"/>
  <c r="AC22" i="44"/>
  <c r="BF22" i="44" s="1"/>
  <c r="U10" i="5"/>
  <c r="U7" i="5"/>
  <c r="V7" i="5" s="1"/>
  <c r="AM8" i="17" s="1"/>
  <c r="U28" i="5"/>
  <c r="V28" i="5" s="1"/>
  <c r="U16" i="5"/>
  <c r="Z16" i="5" s="1"/>
  <c r="AA16" i="5" s="1"/>
  <c r="AC25" i="44"/>
  <c r="U19" i="5"/>
  <c r="Z19" i="5" s="1"/>
  <c r="AA19" i="5" s="1"/>
  <c r="M20" i="44" s="1"/>
  <c r="O20" i="44" s="1"/>
  <c r="U12" i="5"/>
  <c r="U22" i="5"/>
  <c r="V22" i="5" s="1"/>
  <c r="S38" i="5"/>
  <c r="T38" i="5" s="1"/>
  <c r="U37" i="5" s="1"/>
  <c r="AC15" i="44"/>
  <c r="AC4" i="44"/>
  <c r="AI4" i="44" s="1"/>
  <c r="AC21" i="44"/>
  <c r="AC16" i="44"/>
  <c r="AC8" i="44"/>
  <c r="BF8" i="44" s="1"/>
  <c r="AC7" i="44"/>
  <c r="BF7" i="44" s="1"/>
  <c r="AC17" i="44"/>
  <c r="U15" i="5"/>
  <c r="V15" i="5" s="1"/>
  <c r="AM16" i="17" s="1"/>
  <c r="U23" i="5"/>
  <c r="V23" i="5" s="1"/>
  <c r="AC12" i="44"/>
  <c r="BF12" i="44" s="1"/>
  <c r="U18" i="5"/>
  <c r="Z18" i="5" s="1"/>
  <c r="AA18" i="5" s="1"/>
  <c r="AC28" i="44"/>
  <c r="BF28" i="44" s="1"/>
  <c r="U6" i="5"/>
  <c r="Z6" i="5" s="1"/>
  <c r="AA6" i="5" s="1"/>
  <c r="AC26" i="44"/>
  <c r="AI26" i="44" s="1"/>
  <c r="AL26" i="44" s="1"/>
  <c r="U29" i="5"/>
  <c r="AC31" i="44"/>
  <c r="BF31" i="44" s="1"/>
  <c r="AC10" i="44"/>
  <c r="AC18" i="44"/>
  <c r="AC19" i="44"/>
  <c r="AI19" i="44" s="1"/>
  <c r="BP19" i="44" s="1"/>
  <c r="BL19" i="44" s="1"/>
  <c r="BN19" i="44" s="1"/>
  <c r="AC23" i="44"/>
  <c r="AC14" i="44"/>
  <c r="BF14" i="44" s="1"/>
  <c r="U8" i="5"/>
  <c r="Z8" i="5" s="1"/>
  <c r="AA8" i="5" s="1"/>
  <c r="U31" i="5"/>
  <c r="U25" i="5"/>
  <c r="V25" i="5" s="1"/>
  <c r="U24" i="5"/>
  <c r="Z24" i="5" s="1"/>
  <c r="AA24" i="5" s="1"/>
  <c r="M25" i="44" s="1"/>
  <c r="O25" i="44" s="1"/>
  <c r="U3" i="5"/>
  <c r="AA4" i="5"/>
  <c r="M5" i="44" s="1"/>
  <c r="O5" i="44" s="1"/>
  <c r="AC27" i="44"/>
  <c r="AC6" i="44"/>
  <c r="U11" i="5"/>
  <c r="AC20" i="44"/>
  <c r="U27" i="5"/>
  <c r="U32" i="5"/>
  <c r="AC5" i="44"/>
  <c r="V4" i="5"/>
  <c r="AM5" i="17" s="1"/>
  <c r="M19" i="44" l="1"/>
  <c r="O19" i="44" s="1"/>
  <c r="BQ19" i="44" s="1"/>
  <c r="BG19" i="17"/>
  <c r="BF19" i="17" s="1"/>
  <c r="M18" i="44"/>
  <c r="O18" i="44" s="1"/>
  <c r="BG18" i="17"/>
  <c r="BF18" i="17" s="1"/>
  <c r="M17" i="44"/>
  <c r="O17" i="44" s="1"/>
  <c r="BQ17" i="44" s="1"/>
  <c r="BG17" i="17"/>
  <c r="BF17" i="17" s="1"/>
  <c r="M15" i="44"/>
  <c r="O15" i="44" s="1"/>
  <c r="BQ15" i="44" s="1"/>
  <c r="BG15" i="17"/>
  <c r="BF15" i="17" s="1"/>
  <c r="M14" i="44"/>
  <c r="O14" i="44" s="1"/>
  <c r="BG14" i="17"/>
  <c r="BF14" i="17" s="1"/>
  <c r="BF32" i="44"/>
  <c r="AI32" i="44"/>
  <c r="BF34" i="44"/>
  <c r="AI34" i="44"/>
  <c r="BF33" i="44"/>
  <c r="AI33" i="44"/>
  <c r="M9" i="44"/>
  <c r="O9" i="44" s="1"/>
  <c r="M7" i="44"/>
  <c r="O7" i="44" s="1"/>
  <c r="AL4" i="44"/>
  <c r="Z5" i="5"/>
  <c r="AA5" i="5" s="1"/>
  <c r="AJ29" i="43"/>
  <c r="Z20" i="5"/>
  <c r="AA20" i="5" s="1"/>
  <c r="AO10" i="17"/>
  <c r="V14" i="5"/>
  <c r="AM15" i="17" s="1"/>
  <c r="AL13" i="44"/>
  <c r="AO8" i="17"/>
  <c r="V6" i="5"/>
  <c r="AM7" i="17" s="1"/>
  <c r="AO6" i="17"/>
  <c r="Z30" i="5"/>
  <c r="AA30" i="5" s="1"/>
  <c r="M31" i="44" s="1"/>
  <c r="O31" i="44" s="1"/>
  <c r="V13" i="5"/>
  <c r="AM14" i="17" s="1"/>
  <c r="BP4" i="44"/>
  <c r="BL4" i="44" s="1"/>
  <c r="BN4" i="44" s="1"/>
  <c r="BF13" i="44"/>
  <c r="AQ31" i="17"/>
  <c r="AI12" i="44"/>
  <c r="BP12" i="44" s="1"/>
  <c r="AI30" i="44"/>
  <c r="BP30" i="44" s="1"/>
  <c r="BL30" i="44" s="1"/>
  <c r="AJ32" i="43"/>
  <c r="Z28" i="5"/>
  <c r="AA28" i="5" s="1"/>
  <c r="M29" i="44" s="1"/>
  <c r="O29" i="44" s="1"/>
  <c r="AI14" i="44"/>
  <c r="BP14" i="44" s="1"/>
  <c r="AJ21" i="43"/>
  <c r="V24" i="5"/>
  <c r="Z21" i="5"/>
  <c r="AA21" i="5" s="1"/>
  <c r="M22" i="44" s="1"/>
  <c r="O22" i="44" s="1"/>
  <c r="AI7" i="44"/>
  <c r="AL7" i="44" s="1"/>
  <c r="Z22" i="5"/>
  <c r="AA22" i="5" s="1"/>
  <c r="M23" i="44" s="1"/>
  <c r="O23" i="44" s="1"/>
  <c r="BF4" i="44"/>
  <c r="AI9" i="44"/>
  <c r="AL9" i="44" s="1"/>
  <c r="AO16" i="17"/>
  <c r="AQ16" i="17" s="1"/>
  <c r="AN16" i="43" s="1"/>
  <c r="AM20" i="44"/>
  <c r="BF19" i="44"/>
  <c r="AZ19" i="17"/>
  <c r="AU19" i="17" s="1"/>
  <c r="BQ18" i="44"/>
  <c r="V16" i="5"/>
  <c r="AM17" i="17" s="1"/>
  <c r="Z15" i="5"/>
  <c r="AA15" i="5" s="1"/>
  <c r="AL19" i="44"/>
  <c r="Z9" i="5"/>
  <c r="AA9" i="5" s="1"/>
  <c r="V18" i="5"/>
  <c r="AM19" i="17" s="1"/>
  <c r="BF26" i="44"/>
  <c r="BP26" i="44"/>
  <c r="BL26" i="44" s="1"/>
  <c r="BN26" i="44" s="1"/>
  <c r="AI29" i="44"/>
  <c r="V8" i="5"/>
  <c r="AM9" i="17" s="1"/>
  <c r="AI31" i="44"/>
  <c r="BP31" i="44" s="1"/>
  <c r="BL31" i="44" s="1"/>
  <c r="Z33" i="5"/>
  <c r="AA33" i="5" s="1"/>
  <c r="M34" i="44" s="1"/>
  <c r="O34" i="44" s="1"/>
  <c r="V26" i="5"/>
  <c r="V17" i="5"/>
  <c r="AM18" i="17" s="1"/>
  <c r="AI11" i="44"/>
  <c r="AL11" i="44" s="1"/>
  <c r="AI15" i="44"/>
  <c r="BF15" i="44"/>
  <c r="V31" i="5"/>
  <c r="Z31" i="5"/>
  <c r="AA31" i="5" s="1"/>
  <c r="M32" i="44" s="1"/>
  <c r="O32" i="44" s="1"/>
  <c r="V29" i="5"/>
  <c r="Z29" i="5"/>
  <c r="AA29" i="5" s="1"/>
  <c r="M30" i="44" s="1"/>
  <c r="O30" i="44" s="1"/>
  <c r="BF16" i="44"/>
  <c r="AI16" i="44"/>
  <c r="AI25" i="44"/>
  <c r="BF25" i="44"/>
  <c r="AI24" i="44"/>
  <c r="BF24" i="44"/>
  <c r="AI28" i="44"/>
  <c r="BP28" i="44" s="1"/>
  <c r="BL28" i="44" s="1"/>
  <c r="AI8" i="44"/>
  <c r="AL8" i="44" s="1"/>
  <c r="Z25" i="5"/>
  <c r="AA25" i="5" s="1"/>
  <c r="M26" i="44" s="1"/>
  <c r="O26" i="44" s="1"/>
  <c r="Z23" i="5"/>
  <c r="AA23" i="5" s="1"/>
  <c r="M24" i="44" s="1"/>
  <c r="O24" i="44" s="1"/>
  <c r="Z3" i="5"/>
  <c r="V3" i="5"/>
  <c r="AM4" i="17" s="1"/>
  <c r="AI18" i="44"/>
  <c r="BF18" i="44"/>
  <c r="AI17" i="44"/>
  <c r="BF17" i="44"/>
  <c r="AI21" i="44"/>
  <c r="BF21" i="44"/>
  <c r="Z10" i="5"/>
  <c r="AA10" i="5" s="1"/>
  <c r="V10" i="5"/>
  <c r="AM11" i="17" s="1"/>
  <c r="AI23" i="44"/>
  <c r="BF23" i="44"/>
  <c r="V19" i="5"/>
  <c r="AO20" i="17" s="1"/>
  <c r="Z7" i="5"/>
  <c r="AA7" i="5" s="1"/>
  <c r="AI22" i="44"/>
  <c r="BP22" i="44" s="1"/>
  <c r="AI10" i="44"/>
  <c r="BF10" i="44"/>
  <c r="Z12" i="5"/>
  <c r="AA12" i="5" s="1"/>
  <c r="V12" i="5"/>
  <c r="AM13" i="17" s="1"/>
  <c r="AC35" i="44"/>
  <c r="AC38" i="44" s="1"/>
  <c r="AZ5" i="44"/>
  <c r="V11" i="5"/>
  <c r="AM12" i="17" s="1"/>
  <c r="Z11" i="5"/>
  <c r="AA11" i="5" s="1"/>
  <c r="V32" i="5"/>
  <c r="Z32" i="5"/>
  <c r="AA32" i="5" s="1"/>
  <c r="M33" i="44" s="1"/>
  <c r="O33" i="44" s="1"/>
  <c r="AI6" i="44"/>
  <c r="BF6" i="44"/>
  <c r="AO5" i="17"/>
  <c r="AJ5" i="43"/>
  <c r="AI20" i="44"/>
  <c r="BF20" i="44"/>
  <c r="AI5" i="44"/>
  <c r="BF5" i="44"/>
  <c r="Z27" i="5"/>
  <c r="AA27" i="5" s="1"/>
  <c r="M28" i="44" s="1"/>
  <c r="O28" i="44" s="1"/>
  <c r="V27" i="5"/>
  <c r="BF27" i="44"/>
  <c r="AI27" i="44"/>
  <c r="AJ23" i="43"/>
  <c r="AZ13" i="17"/>
  <c r="BL13" i="44"/>
  <c r="BN13" i="44" s="1"/>
  <c r="M16" i="44" l="1"/>
  <c r="O16" i="44" s="1"/>
  <c r="BQ16" i="44" s="1"/>
  <c r="BA16" i="17" s="1"/>
  <c r="BG16" i="17"/>
  <c r="BF16" i="17" s="1"/>
  <c r="M13" i="44"/>
  <c r="O13" i="44" s="1"/>
  <c r="BG13" i="17"/>
  <c r="BF13" i="17" s="1"/>
  <c r="M12" i="44"/>
  <c r="O12" i="44" s="1"/>
  <c r="BG12" i="17"/>
  <c r="BF12" i="17" s="1"/>
  <c r="M11" i="44"/>
  <c r="O11" i="44" s="1"/>
  <c r="BG11" i="17"/>
  <c r="BF11" i="17" s="1"/>
  <c r="BP34" i="44"/>
  <c r="AL34" i="44"/>
  <c r="M21" i="44"/>
  <c r="O21" i="44" s="1"/>
  <c r="AM21" i="44" s="1"/>
  <c r="AL33" i="44"/>
  <c r="BP33" i="44"/>
  <c r="BP32" i="44"/>
  <c r="AL32" i="44"/>
  <c r="M10" i="44"/>
  <c r="O10" i="44" s="1"/>
  <c r="BQ10" i="44" s="1"/>
  <c r="M8" i="44"/>
  <c r="O8" i="44" s="1"/>
  <c r="M6" i="44"/>
  <c r="O6" i="44" s="1"/>
  <c r="AZ31" i="44"/>
  <c r="BQ31" i="44"/>
  <c r="AZ33" i="44"/>
  <c r="AZ29" i="44"/>
  <c r="BQ29" i="44"/>
  <c r="AZ30" i="44"/>
  <c r="BQ30" i="44"/>
  <c r="AZ32" i="44"/>
  <c r="BQ32" i="44"/>
  <c r="AZ34" i="44"/>
  <c r="AL29" i="44"/>
  <c r="BP29" i="44"/>
  <c r="BL29" i="44" s="1"/>
  <c r="AZ15" i="44"/>
  <c r="AC39" i="44"/>
  <c r="BB6" i="17"/>
  <c r="AJ7" i="43"/>
  <c r="AM17" i="44"/>
  <c r="AL29" i="43"/>
  <c r="AM15" i="44"/>
  <c r="AL26" i="43"/>
  <c r="AQ26" i="17"/>
  <c r="AN26" i="43" s="1"/>
  <c r="AJ26" i="43"/>
  <c r="AJ25" i="43"/>
  <c r="AL24" i="43"/>
  <c r="AQ24" i="17"/>
  <c r="AN24" i="43" s="1"/>
  <c r="AJ24" i="43"/>
  <c r="AJ10" i="43"/>
  <c r="AQ22" i="17"/>
  <c r="AN22" i="43" s="1"/>
  <c r="AL22" i="43"/>
  <c r="AJ22" i="43"/>
  <c r="AZ17" i="44"/>
  <c r="AQ10" i="17"/>
  <c r="AN10" i="43" s="1"/>
  <c r="AL10" i="43"/>
  <c r="AO15" i="17"/>
  <c r="AL15" i="43" s="1"/>
  <c r="AJ14" i="43"/>
  <c r="AO9" i="17"/>
  <c r="AL8" i="43"/>
  <c r="AQ8" i="17"/>
  <c r="AN8" i="43" s="1"/>
  <c r="AJ8" i="43"/>
  <c r="AZ4" i="17"/>
  <c r="AU4" i="17" s="1"/>
  <c r="AQ6" i="17"/>
  <c r="AN6" i="43" s="1"/>
  <c r="AL6" i="43"/>
  <c r="AJ6" i="43"/>
  <c r="BP9" i="44"/>
  <c r="AZ9" i="17" s="1"/>
  <c r="AL12" i="44"/>
  <c r="AL30" i="44"/>
  <c r="AM18" i="44"/>
  <c r="AZ18" i="44"/>
  <c r="AZ7" i="44"/>
  <c r="AZ25" i="44"/>
  <c r="AZ19" i="44"/>
  <c r="AL32" i="43"/>
  <c r="AN32" i="43"/>
  <c r="AQ32" i="17"/>
  <c r="AL14" i="44"/>
  <c r="BP7" i="44"/>
  <c r="BL7" i="44" s="1"/>
  <c r="BN7" i="44" s="1"/>
  <c r="AL31" i="44"/>
  <c r="AL16" i="43"/>
  <c r="AJ27" i="43"/>
  <c r="AZ27" i="44"/>
  <c r="AM26" i="44"/>
  <c r="AN26" i="44" s="1"/>
  <c r="AS26" i="44" s="1"/>
  <c r="AM24" i="44"/>
  <c r="AZ26" i="17"/>
  <c r="AW26" i="43" s="1"/>
  <c r="AZ20" i="44"/>
  <c r="AO17" i="17"/>
  <c r="AJ17" i="43"/>
  <c r="BQ20" i="44"/>
  <c r="BA20" i="17" s="1"/>
  <c r="AJ18" i="43"/>
  <c r="AO18" i="17"/>
  <c r="AJ16" i="43"/>
  <c r="AM19" i="44"/>
  <c r="AN19" i="44" s="1"/>
  <c r="AS19" i="44" s="1"/>
  <c r="AW19" i="43"/>
  <c r="AJ19" i="43"/>
  <c r="AZ14" i="44"/>
  <c r="BP11" i="44"/>
  <c r="AO13" i="17"/>
  <c r="AZ11" i="44"/>
  <c r="AJ11" i="43"/>
  <c r="AO11" i="17"/>
  <c r="AZ9" i="44"/>
  <c r="BP8" i="44"/>
  <c r="AZ8" i="17" s="1"/>
  <c r="AL21" i="44"/>
  <c r="BP21" i="44"/>
  <c r="BP18" i="44"/>
  <c r="BR18" i="44" s="1"/>
  <c r="AL18" i="44"/>
  <c r="AJ4" i="43"/>
  <c r="AM38" i="17"/>
  <c r="AO4" i="17"/>
  <c r="BP23" i="44"/>
  <c r="AL23" i="44"/>
  <c r="AL22" i="44"/>
  <c r="AL10" i="44"/>
  <c r="BP10" i="44"/>
  <c r="AL17" i="44"/>
  <c r="BP17" i="44"/>
  <c r="BR17" i="44" s="1"/>
  <c r="AA3" i="5"/>
  <c r="AA34" i="5" s="1"/>
  <c r="U34" i="5"/>
  <c r="AL28" i="44"/>
  <c r="AL16" i="44"/>
  <c r="BP16" i="44"/>
  <c r="AL24" i="44"/>
  <c r="BP24" i="44"/>
  <c r="BP25" i="44"/>
  <c r="AL25" i="44"/>
  <c r="BP15" i="44"/>
  <c r="BR15" i="44" s="1"/>
  <c r="AL15" i="44"/>
  <c r="AM7" i="44"/>
  <c r="AN7" i="44" s="1"/>
  <c r="AS7" i="44" s="1"/>
  <c r="BQ7" i="44"/>
  <c r="BA7" i="17" s="1"/>
  <c r="AX7" i="43" s="1"/>
  <c r="BQ5" i="44"/>
  <c r="BA5" i="17" s="1"/>
  <c r="AX5" i="43" s="1"/>
  <c r="AM5" i="44"/>
  <c r="AJ31" i="43"/>
  <c r="AN37" i="17"/>
  <c r="AZ31" i="17"/>
  <c r="AU31" i="17" s="1"/>
  <c r="AW31" i="17" s="1"/>
  <c r="BN31" i="44"/>
  <c r="BA17" i="17"/>
  <c r="AJ28" i="43"/>
  <c r="BP5" i="44"/>
  <c r="AL5" i="44"/>
  <c r="AI35" i="44"/>
  <c r="AI38" i="44" s="1"/>
  <c r="AL5" i="43"/>
  <c r="AQ5" i="17"/>
  <c r="AN5" i="43" s="1"/>
  <c r="BA19" i="17"/>
  <c r="BR19" i="44"/>
  <c r="AM25" i="44"/>
  <c r="BQ25" i="44"/>
  <c r="AQ23" i="17"/>
  <c r="AN23" i="43" s="1"/>
  <c r="AL23" i="43"/>
  <c r="AL27" i="44"/>
  <c r="BP27" i="44"/>
  <c r="AL20" i="44"/>
  <c r="AN20" i="44" s="1"/>
  <c r="AS20" i="44" s="1"/>
  <c r="BP20" i="44"/>
  <c r="AW19" i="17"/>
  <c r="AR19" i="43"/>
  <c r="BP6" i="44"/>
  <c r="AL6" i="44"/>
  <c r="AZ22" i="17"/>
  <c r="BL22" i="44"/>
  <c r="BN22" i="44" s="1"/>
  <c r="BN30" i="44"/>
  <c r="AZ30" i="17"/>
  <c r="AW13" i="43"/>
  <c r="AU13" i="17"/>
  <c r="BA18" i="17"/>
  <c r="AZ14" i="17"/>
  <c r="BL14" i="44"/>
  <c r="BN14" i="44" s="1"/>
  <c r="AZ12" i="17"/>
  <c r="BL12" i="44"/>
  <c r="BN12" i="44" s="1"/>
  <c r="BA15" i="17"/>
  <c r="AO12" i="17"/>
  <c r="AJ12" i="43"/>
  <c r="BQ21" i="44" l="1"/>
  <c r="BA21" i="17" s="1"/>
  <c r="AX21" i="43" s="1"/>
  <c r="BL32" i="44"/>
  <c r="BN32" i="44" s="1"/>
  <c r="AZ32" i="17"/>
  <c r="AU32" i="17" s="1"/>
  <c r="AW32" i="17" s="1"/>
  <c r="BL33" i="44"/>
  <c r="BN33" i="44" s="1"/>
  <c r="AZ33" i="17"/>
  <c r="AU33" i="17" s="1"/>
  <c r="AW33" i="17" s="1"/>
  <c r="AN21" i="44"/>
  <c r="AS21" i="44" s="1"/>
  <c r="AZ21" i="44"/>
  <c r="BL34" i="44"/>
  <c r="BN34" i="44" s="1"/>
  <c r="AZ34" i="17"/>
  <c r="AU34" i="17" s="1"/>
  <c r="AW34" i="17" s="1"/>
  <c r="AM31" i="44"/>
  <c r="AN31" i="44" s="1"/>
  <c r="AS31" i="44" s="1"/>
  <c r="AM34" i="44"/>
  <c r="AN34" i="44" s="1"/>
  <c r="AS34" i="44" s="1"/>
  <c r="BQ34" i="44"/>
  <c r="BQ33" i="44"/>
  <c r="AM33" i="44"/>
  <c r="AN33" i="44" s="1"/>
  <c r="AS33" i="44" s="1"/>
  <c r="AZ29" i="17"/>
  <c r="BQ28" i="44"/>
  <c r="AZ28" i="44"/>
  <c r="AO7" i="17"/>
  <c r="AQ7" i="17" s="1"/>
  <c r="AN7" i="43" s="1"/>
  <c r="BR31" i="44"/>
  <c r="AZ16" i="44"/>
  <c r="AN15" i="44"/>
  <c r="AS15" i="44" s="1"/>
  <c r="AQ29" i="17"/>
  <c r="AN29" i="43" s="1"/>
  <c r="AQ25" i="17"/>
  <c r="AN25" i="43" s="1"/>
  <c r="BR16" i="44"/>
  <c r="AQ20" i="17"/>
  <c r="AN20" i="43" s="1"/>
  <c r="AL20" i="43"/>
  <c r="AJ20" i="43"/>
  <c r="AN17" i="44"/>
  <c r="AS17" i="44" s="1"/>
  <c r="AM16" i="44"/>
  <c r="AN16" i="44" s="1"/>
  <c r="AS16" i="44" s="1"/>
  <c r="AM10" i="44"/>
  <c r="AN10" i="44" s="1"/>
  <c r="AS10" i="44" s="1"/>
  <c r="AM11" i="44"/>
  <c r="AN11" i="44" s="1"/>
  <c r="AS11" i="44" s="1"/>
  <c r="AZ10" i="44"/>
  <c r="AQ15" i="17"/>
  <c r="AN15" i="43" s="1"/>
  <c r="AJ15" i="43"/>
  <c r="AO14" i="17"/>
  <c r="AQ14" i="17" s="1"/>
  <c r="AN14" i="43" s="1"/>
  <c r="AW4" i="43"/>
  <c r="AJ9" i="43"/>
  <c r="AQ9" i="17"/>
  <c r="AN9" i="43" s="1"/>
  <c r="AL9" i="43"/>
  <c r="BL9" i="44"/>
  <c r="BN9" i="44" s="1"/>
  <c r="AN18" i="44"/>
  <c r="AS18" i="44" s="1"/>
  <c r="BN29" i="44"/>
  <c r="AZ7" i="17"/>
  <c r="AW7" i="43" s="1"/>
  <c r="BQ26" i="44"/>
  <c r="BR26" i="44" s="1"/>
  <c r="BR20" i="44"/>
  <c r="AJ30" i="43"/>
  <c r="AQ30" i="17"/>
  <c r="AN30" i="43" s="1"/>
  <c r="AL30" i="43"/>
  <c r="BQ24" i="44"/>
  <c r="BA24" i="17" s="1"/>
  <c r="AZ24" i="44"/>
  <c r="AL21" i="43"/>
  <c r="AQ21" i="17"/>
  <c r="AN21" i="43" s="1"/>
  <c r="BQ27" i="44"/>
  <c r="BA27" i="17" s="1"/>
  <c r="AX27" i="43" s="1"/>
  <c r="AM27" i="44"/>
  <c r="AN27" i="44" s="1"/>
  <c r="AS27" i="44" s="1"/>
  <c r="AU26" i="17"/>
  <c r="AR26" i="43" s="1"/>
  <c r="AZ26" i="44"/>
  <c r="AZ23" i="44"/>
  <c r="AZ22" i="44"/>
  <c r="AZ12" i="44"/>
  <c r="AQ18" i="17"/>
  <c r="AN18" i="43" s="1"/>
  <c r="AL18" i="43"/>
  <c r="AL17" i="43"/>
  <c r="AQ17" i="17"/>
  <c r="AN17" i="43" s="1"/>
  <c r="AO19" i="17"/>
  <c r="BL8" i="44"/>
  <c r="BN8" i="44" s="1"/>
  <c r="AZ13" i="44"/>
  <c r="AM14" i="44"/>
  <c r="AN14" i="44" s="1"/>
  <c r="AS14" i="44" s="1"/>
  <c r="BQ14" i="44"/>
  <c r="AN25" i="44"/>
  <c r="AS25" i="44" s="1"/>
  <c r="AN24" i="44"/>
  <c r="AS24" i="44" s="1"/>
  <c r="BL11" i="44"/>
  <c r="BN11" i="44" s="1"/>
  <c r="AZ11" i="17"/>
  <c r="AM35" i="17"/>
  <c r="AJ33" i="43" s="1"/>
  <c r="AL13" i="43"/>
  <c r="AQ13" i="17"/>
  <c r="AN13" i="43" s="1"/>
  <c r="AJ13" i="43"/>
  <c r="AQ11" i="17"/>
  <c r="AN11" i="43" s="1"/>
  <c r="AL11" i="43"/>
  <c r="BQ9" i="44"/>
  <c r="AM9" i="44"/>
  <c r="AN9" i="44" s="1"/>
  <c r="AS9" i="44" s="1"/>
  <c r="AZ8" i="44"/>
  <c r="BL23" i="44"/>
  <c r="BN23" i="44" s="1"/>
  <c r="AZ23" i="17"/>
  <c r="AZ21" i="17"/>
  <c r="BL21" i="44"/>
  <c r="BN21" i="44" s="1"/>
  <c r="AZ24" i="17"/>
  <c r="BL24" i="44"/>
  <c r="BN24" i="44" s="1"/>
  <c r="AL4" i="43"/>
  <c r="AQ4" i="17"/>
  <c r="AN4" i="43" s="1"/>
  <c r="AM32" i="44"/>
  <c r="AN32" i="44" s="1"/>
  <c r="AS32" i="44" s="1"/>
  <c r="AZ25" i="17"/>
  <c r="BL25" i="44"/>
  <c r="BN25" i="44" s="1"/>
  <c r="AM30" i="44"/>
  <c r="AN30" i="44" s="1"/>
  <c r="AS30" i="44" s="1"/>
  <c r="BL15" i="44"/>
  <c r="BN15" i="44" s="1"/>
  <c r="AZ15" i="17"/>
  <c r="BB15" i="17" s="1"/>
  <c r="AZ28" i="17"/>
  <c r="BN28" i="44"/>
  <c r="M4" i="44"/>
  <c r="BG4" i="17"/>
  <c r="BG5" i="17" s="1"/>
  <c r="BG6" i="17" s="1"/>
  <c r="BL16" i="44"/>
  <c r="BN16" i="44" s="1"/>
  <c r="AZ16" i="17"/>
  <c r="BL17" i="44"/>
  <c r="AZ17" i="17"/>
  <c r="BB17" i="17" s="1"/>
  <c r="BL10" i="44"/>
  <c r="BN10" i="44" s="1"/>
  <c r="AZ10" i="17"/>
  <c r="BL18" i="44"/>
  <c r="BN18" i="44" s="1"/>
  <c r="AZ18" i="17"/>
  <c r="BB18" i="17" s="1"/>
  <c r="AM13" i="44"/>
  <c r="AN13" i="44" s="1"/>
  <c r="AS13" i="44" s="1"/>
  <c r="BQ13" i="44"/>
  <c r="BR7" i="44"/>
  <c r="BR10" i="44"/>
  <c r="BA10" i="17"/>
  <c r="AI40" i="44"/>
  <c r="AI39" i="44"/>
  <c r="AU12" i="17"/>
  <c r="AW12" i="43"/>
  <c r="AZ20" i="17"/>
  <c r="BB20" i="17" s="1"/>
  <c r="BL20" i="44"/>
  <c r="BN20" i="44" s="1"/>
  <c r="BA25" i="17"/>
  <c r="BR25" i="44"/>
  <c r="AZ6" i="44"/>
  <c r="AQ28" i="17"/>
  <c r="AN28" i="43" s="1"/>
  <c r="AL28" i="43"/>
  <c r="AX17" i="43"/>
  <c r="AU30" i="17"/>
  <c r="AW30" i="43"/>
  <c r="AN5" i="44"/>
  <c r="AS5" i="44" s="1"/>
  <c r="AL35" i="44"/>
  <c r="AL38" i="44" s="1"/>
  <c r="AU29" i="17"/>
  <c r="AW29" i="43"/>
  <c r="AM28" i="44"/>
  <c r="AN28" i="44" s="1"/>
  <c r="AS28" i="44" s="1"/>
  <c r="AN31" i="43"/>
  <c r="AL31" i="43"/>
  <c r="AL12" i="43"/>
  <c r="AQ12" i="17"/>
  <c r="AN12" i="43" s="1"/>
  <c r="AW13" i="17"/>
  <c r="AR13" i="43"/>
  <c r="BL6" i="44"/>
  <c r="BN6" i="44" s="1"/>
  <c r="AZ6" i="17"/>
  <c r="Z34" i="5"/>
  <c r="W38" i="5"/>
  <c r="I53" i="17"/>
  <c r="I57" i="17" s="1"/>
  <c r="I58" i="17" s="1"/>
  <c r="AX16" i="43"/>
  <c r="AW8" i="43"/>
  <c r="AU8" i="17"/>
  <c r="AX20" i="43"/>
  <c r="AX15" i="43"/>
  <c r="AU14" i="17"/>
  <c r="AW14" i="43"/>
  <c r="AX18" i="43"/>
  <c r="AU22" i="17"/>
  <c r="AW22" i="43"/>
  <c r="BQ12" i="44"/>
  <c r="AM12" i="44"/>
  <c r="AN12" i="44" s="1"/>
  <c r="AS12" i="44" s="1"/>
  <c r="AZ27" i="17"/>
  <c r="BL27" i="44"/>
  <c r="BN27" i="44" s="1"/>
  <c r="AX19" i="43"/>
  <c r="BB19" i="17"/>
  <c r="AW9" i="43"/>
  <c r="AU9" i="17"/>
  <c r="BL5" i="44"/>
  <c r="BN5" i="44" s="1"/>
  <c r="AZ5" i="17"/>
  <c r="BR5" i="44"/>
  <c r="AR4" i="43"/>
  <c r="AW4" i="17"/>
  <c r="BB21" i="17" l="1"/>
  <c r="BR21" i="44"/>
  <c r="BF6" i="17"/>
  <c r="BG7" i="17"/>
  <c r="BR33" i="44"/>
  <c r="BA33" i="17"/>
  <c r="BB33" i="17" s="1"/>
  <c r="BR34" i="44"/>
  <c r="BA34" i="17"/>
  <c r="BB34" i="17" s="1"/>
  <c r="AL7" i="43"/>
  <c r="BA31" i="17"/>
  <c r="BB31" i="17" s="1"/>
  <c r="AL25" i="43"/>
  <c r="AX32" i="43"/>
  <c r="BQ11" i="44"/>
  <c r="BR11" i="44" s="1"/>
  <c r="AU7" i="17"/>
  <c r="AW7" i="17" s="1"/>
  <c r="AL14" i="43"/>
  <c r="BB7" i="17"/>
  <c r="BA26" i="17"/>
  <c r="BB26" i="17" s="1"/>
  <c r="BB27" i="17"/>
  <c r="BR24" i="44"/>
  <c r="AM29" i="44"/>
  <c r="AN29" i="44" s="1"/>
  <c r="AS29" i="44" s="1"/>
  <c r="AW26" i="17"/>
  <c r="AO35" i="17"/>
  <c r="I59" i="17" s="1"/>
  <c r="AL27" i="43"/>
  <c r="AQ27" i="17"/>
  <c r="AN27" i="43" s="1"/>
  <c r="BR27" i="44"/>
  <c r="AM23" i="44"/>
  <c r="AN23" i="44" s="1"/>
  <c r="AS23" i="44" s="1"/>
  <c r="BQ23" i="44"/>
  <c r="BQ22" i="44"/>
  <c r="AM22" i="44"/>
  <c r="AN22" i="44" s="1"/>
  <c r="AS22" i="44" s="1"/>
  <c r="AQ19" i="17"/>
  <c r="AN19" i="43" s="1"/>
  <c r="AL19" i="43"/>
  <c r="BR14" i="44"/>
  <c r="BA14" i="17"/>
  <c r="AU11" i="17"/>
  <c r="AW11" i="43"/>
  <c r="BR9" i="44"/>
  <c r="BA9" i="17"/>
  <c r="BQ8" i="44"/>
  <c r="AM8" i="44"/>
  <c r="AN8" i="44" s="1"/>
  <c r="AS8" i="44" s="1"/>
  <c r="BA13" i="17"/>
  <c r="BR13" i="44"/>
  <c r="AW16" i="43"/>
  <c r="AU16" i="17"/>
  <c r="AZ4" i="44"/>
  <c r="BB16" i="17"/>
  <c r="AW25" i="43"/>
  <c r="AU25" i="17"/>
  <c r="AW21" i="43"/>
  <c r="AU21" i="17"/>
  <c r="AW10" i="43"/>
  <c r="AU10" i="17"/>
  <c r="M35" i="44"/>
  <c r="M38" i="44" s="1"/>
  <c r="AU18" i="17"/>
  <c r="AW18" i="43"/>
  <c r="AW17" i="43"/>
  <c r="AU17" i="17"/>
  <c r="AR17" i="43" s="1"/>
  <c r="AU28" i="17"/>
  <c r="AW28" i="43"/>
  <c r="BA30" i="17"/>
  <c r="BR30" i="44"/>
  <c r="AU23" i="17"/>
  <c r="AW23" i="43"/>
  <c r="AW31" i="43"/>
  <c r="BD4" i="43"/>
  <c r="BW4" i="44"/>
  <c r="BV4" i="44" s="1"/>
  <c r="BF4" i="17"/>
  <c r="BC4" i="43" s="1"/>
  <c r="AW15" i="43"/>
  <c r="AU15" i="17"/>
  <c r="BR32" i="44"/>
  <c r="BA32" i="17"/>
  <c r="BB32" i="17" s="1"/>
  <c r="AW24" i="43"/>
  <c r="AU24" i="17"/>
  <c r="AX10" i="43"/>
  <c r="BB10" i="17"/>
  <c r="AL39" i="44"/>
  <c r="AL40" i="44"/>
  <c r="AU5" i="17"/>
  <c r="AW5" i="43"/>
  <c r="AR14" i="43"/>
  <c r="AW14" i="17"/>
  <c r="AR29" i="43"/>
  <c r="AW29" i="17"/>
  <c r="BQ6" i="44"/>
  <c r="AM6" i="44"/>
  <c r="BB25" i="17"/>
  <c r="AX25" i="43"/>
  <c r="AW12" i="17"/>
  <c r="AR12" i="43"/>
  <c r="AW9" i="17"/>
  <c r="AR9" i="43"/>
  <c r="BA12" i="17"/>
  <c r="BR12" i="44"/>
  <c r="BB24" i="17"/>
  <c r="AX24" i="43"/>
  <c r="AR22" i="43"/>
  <c r="AW22" i="17"/>
  <c r="AW32" i="43"/>
  <c r="AU6" i="17"/>
  <c r="AW6" i="43"/>
  <c r="AW30" i="17"/>
  <c r="AR30" i="43"/>
  <c r="AW27" i="43"/>
  <c r="AU27" i="17"/>
  <c r="AR8" i="43"/>
  <c r="AW8" i="17"/>
  <c r="BA28" i="17"/>
  <c r="BR28" i="44"/>
  <c r="AU20" i="17"/>
  <c r="AW20" i="43"/>
  <c r="BF7" i="17" l="1"/>
  <c r="BG8" i="17"/>
  <c r="M39" i="44"/>
  <c r="BA11" i="17"/>
  <c r="BB11" i="17" s="1"/>
  <c r="AR7" i="43"/>
  <c r="AX26" i="43"/>
  <c r="BA29" i="17"/>
  <c r="BR29" i="44"/>
  <c r="AO37" i="17"/>
  <c r="AL33" i="43"/>
  <c r="BR23" i="44"/>
  <c r="BA23" i="17"/>
  <c r="BR22" i="44"/>
  <c r="BA22" i="17"/>
  <c r="AQ35" i="17"/>
  <c r="AN33" i="43" s="1"/>
  <c r="AX14" i="43"/>
  <c r="BB14" i="17"/>
  <c r="AR11" i="43"/>
  <c r="AW11" i="17"/>
  <c r="BB9" i="17"/>
  <c r="AX9" i="43"/>
  <c r="BA8" i="17"/>
  <c r="BR8" i="44"/>
  <c r="BD5" i="43"/>
  <c r="BF5" i="17"/>
  <c r="BC5" i="43" s="1"/>
  <c r="BW5" i="44"/>
  <c r="BV5" i="44" s="1"/>
  <c r="AR31" i="43"/>
  <c r="AX30" i="43"/>
  <c r="BB30" i="17"/>
  <c r="AR18" i="43"/>
  <c r="AW18" i="17"/>
  <c r="AW21" i="17"/>
  <c r="AR21" i="43"/>
  <c r="AR16" i="43"/>
  <c r="AW16" i="17"/>
  <c r="AW24" i="17"/>
  <c r="AR24" i="43"/>
  <c r="AW15" i="17"/>
  <c r="AR15" i="43"/>
  <c r="AR23" i="43"/>
  <c r="AW23" i="17"/>
  <c r="AR28" i="43"/>
  <c r="AW28" i="17"/>
  <c r="AR10" i="43"/>
  <c r="AW10" i="17"/>
  <c r="AR25" i="43"/>
  <c r="AW25" i="17"/>
  <c r="AX13" i="43"/>
  <c r="BB13" i="17"/>
  <c r="AR32" i="43"/>
  <c r="AW6" i="17"/>
  <c r="AR6" i="43"/>
  <c r="AN6" i="44"/>
  <c r="AX31" i="43"/>
  <c r="AX28" i="43"/>
  <c r="BB28" i="17"/>
  <c r="AR27" i="43"/>
  <c r="AW27" i="17"/>
  <c r="AR20" i="43"/>
  <c r="AW20" i="17"/>
  <c r="BB12" i="17"/>
  <c r="AX12" i="43"/>
  <c r="BR6" i="44"/>
  <c r="BA6" i="17"/>
  <c r="AX6" i="43" s="1"/>
  <c r="AR5" i="43"/>
  <c r="AW5" i="17"/>
  <c r="BF8" i="17" l="1"/>
  <c r="BG9" i="17"/>
  <c r="AX11" i="43"/>
  <c r="BB29" i="17"/>
  <c r="AX29" i="43"/>
  <c r="AX23" i="43"/>
  <c r="BB23" i="17"/>
  <c r="BB22" i="17"/>
  <c r="AX22" i="43"/>
  <c r="BW7" i="44"/>
  <c r="BD7" i="43"/>
  <c r="BB8" i="17"/>
  <c r="AX8" i="43"/>
  <c r="BW6" i="44"/>
  <c r="BD6" i="43"/>
  <c r="AS6" i="44"/>
  <c r="BF9" i="17" l="1"/>
  <c r="BG10" i="17"/>
  <c r="BF10" i="17" s="1"/>
  <c r="BD8" i="43"/>
  <c r="BW8" i="44"/>
  <c r="BC7" i="43"/>
  <c r="BV7" i="44"/>
  <c r="BV6" i="44"/>
  <c r="BC6" i="43"/>
  <c r="BW9" i="44" l="1"/>
  <c r="BD9" i="43"/>
  <c r="BV8" i="44"/>
  <c r="BC8" i="43"/>
  <c r="BD10" i="43" l="1"/>
  <c r="BW10" i="44"/>
  <c r="BV9" i="44"/>
  <c r="BC9" i="43"/>
  <c r="BW11" i="44" l="1"/>
  <c r="BD11" i="43"/>
  <c r="BV10" i="44"/>
  <c r="BC10" i="43"/>
  <c r="BD12" i="43" l="1"/>
  <c r="BW12" i="44"/>
  <c r="BV11" i="44"/>
  <c r="BC11" i="43"/>
  <c r="BD14" i="43" l="1"/>
  <c r="BW13" i="44"/>
  <c r="BD13" i="43"/>
  <c r="BV12" i="44"/>
  <c r="BC12" i="43"/>
  <c r="BV14" i="44" l="1"/>
  <c r="BW14" i="44"/>
  <c r="BV13" i="44"/>
  <c r="BC13" i="43"/>
  <c r="BC14" i="43" l="1"/>
  <c r="BW16" i="44"/>
  <c r="BW15" i="44"/>
  <c r="BD15" i="43"/>
  <c r="BD16" i="43" l="1"/>
  <c r="BC15" i="43"/>
  <c r="BV15" i="44"/>
  <c r="BV17" i="44" l="1"/>
  <c r="BD18" i="43"/>
  <c r="BW17" i="44"/>
  <c r="BC16" i="43"/>
  <c r="BV16" i="44"/>
  <c r="BD17" i="43"/>
  <c r="BC17" i="43" l="1"/>
  <c r="BD19" i="43"/>
  <c r="BW18" i="44"/>
  <c r="BW19" i="44" l="1"/>
  <c r="BD20" i="43"/>
  <c r="BC18" i="43"/>
  <c r="BV18" i="44"/>
  <c r="BV20" i="44" l="1"/>
  <c r="BW20" i="44"/>
  <c r="BV19" i="44"/>
  <c r="BC19" i="43"/>
  <c r="BC20" i="43" l="1"/>
  <c r="BW23" i="44"/>
  <c r="BW21" i="44"/>
  <c r="BD21" i="43"/>
  <c r="BD23" i="43" l="1"/>
  <c r="BW22" i="44"/>
  <c r="BV23" i="44"/>
  <c r="BD24" i="43"/>
  <c r="BD22" i="43"/>
  <c r="BC21" i="43"/>
  <c r="BV21" i="44"/>
  <c r="BW24" i="44" l="1"/>
  <c r="BV24" i="44"/>
  <c r="BD25" i="43"/>
  <c r="BC22" i="43"/>
  <c r="BV22" i="44"/>
  <c r="BC23" i="43"/>
  <c r="BC25" i="43" l="1"/>
  <c r="BD26" i="43"/>
  <c r="BC24" i="43"/>
  <c r="BW25" i="44"/>
  <c r="BC26" i="43" l="1"/>
  <c r="BW27" i="44"/>
  <c r="BV25" i="44"/>
  <c r="BW26" i="44"/>
  <c r="BV27" i="44" l="1"/>
  <c r="BD28" i="43"/>
  <c r="BV26" i="44"/>
  <c r="BD27" i="43"/>
  <c r="BC27" i="43"/>
  <c r="BD29" i="43" l="1"/>
  <c r="BD30" i="43" l="1"/>
  <c r="BC28" i="43"/>
  <c r="BC29" i="43" l="1"/>
  <c r="BC30" i="43" l="1"/>
  <c r="BD31" i="43" l="1"/>
  <c r="BC31" i="43" l="1"/>
  <c r="BD32" i="43" l="1"/>
  <c r="BC32" i="43" l="1"/>
  <c r="F4" i="48" l="1"/>
  <c r="F35" i="48" l="1"/>
  <c r="E35" i="48" s="1"/>
  <c r="G4" i="44"/>
  <c r="AW4" i="44" l="1"/>
  <c r="G35" i="44"/>
  <c r="G38" i="44" s="1"/>
  <c r="O4" i="44"/>
  <c r="BQ4" i="44" l="1"/>
  <c r="AM4" i="44"/>
  <c r="O35" i="44"/>
  <c r="O38" i="44" s="1"/>
  <c r="G40" i="44"/>
  <c r="G39" i="44"/>
  <c r="O39" i="44" l="1"/>
  <c r="O40" i="44"/>
  <c r="AN4" i="44"/>
  <c r="AM35" i="44"/>
  <c r="AM38" i="44" s="1"/>
  <c r="BA4" i="17"/>
  <c r="BR4" i="44"/>
  <c r="AM40" i="44" l="1"/>
  <c r="AM39" i="44"/>
  <c r="AS4" i="44"/>
  <c r="AS35" i="44" s="1"/>
  <c r="AS38" i="44" s="1"/>
  <c r="AN35" i="44"/>
  <c r="AX4" i="43"/>
  <c r="BB4" i="17"/>
  <c r="AS40" i="44" l="1"/>
  <c r="AS39" i="44"/>
  <c r="AT35" i="44"/>
  <c r="AT36" i="44" s="1"/>
  <c r="AN38" i="44"/>
  <c r="AN39" i="44" l="1"/>
  <c r="AN40" i="44"/>
</calcChain>
</file>

<file path=xl/sharedStrings.xml><?xml version="1.0" encoding="utf-8"?>
<sst xmlns="http://schemas.openxmlformats.org/spreadsheetml/2006/main" count="1429" uniqueCount="394">
  <si>
    <t>Общо</t>
  </si>
  <si>
    <t>лева/МВтч</t>
  </si>
  <si>
    <t>Брутен марж от продажба на Топлофикационни дружества</t>
  </si>
  <si>
    <t>Холдинг</t>
  </si>
  <si>
    <t>Марж</t>
  </si>
  <si>
    <t>Утвърдена цена на "Булгаргаз" за 1 МВтч природен  газ</t>
  </si>
  <si>
    <t>ТИБИЕЛ</t>
  </si>
  <si>
    <t>Цена на санкция за 1 МВтч (10% от утвърдената цена на "Булгаргаз")</t>
  </si>
  <si>
    <t>Дата</t>
  </si>
  <si>
    <t>общо</t>
  </si>
  <si>
    <t>Общо, МВтч</t>
  </si>
  <si>
    <t>Покупна цена, лв/МВтч</t>
  </si>
  <si>
    <t>Стойност общо, лева</t>
  </si>
  <si>
    <t>Покупна цена, евро/МВтч</t>
  </si>
  <si>
    <t>Плевен</t>
  </si>
  <si>
    <t>Бургас</t>
  </si>
  <si>
    <t>Враца 1</t>
  </si>
  <si>
    <t>Враца 2</t>
  </si>
  <si>
    <t>Булгаргаз</t>
  </si>
  <si>
    <t>Продажна цена при отрицателен дисбаланс по чл.12, ал.3 от Методиката (92% от утвърдената цена на "Булгаргаз", лв/МВтч</t>
  </si>
  <si>
    <t>ДДК</t>
  </si>
  <si>
    <t>Прогноза</t>
  </si>
  <si>
    <t xml:space="preserve">Общо доставено </t>
  </si>
  <si>
    <t>АЛУКОМ АД</t>
  </si>
  <si>
    <t>ИЛИНДЕН ЕООД</t>
  </si>
  <si>
    <t>ВАП ИНДЪСТРИ ЕООД</t>
  </si>
  <si>
    <t xml:space="preserve">Номинация </t>
  </si>
  <si>
    <t>Неустойка</t>
  </si>
  <si>
    <t>Капацитет на ТБЛ</t>
  </si>
  <si>
    <t>Овергаз</t>
  </si>
  <si>
    <t>Номинация</t>
  </si>
  <si>
    <t>ГАЗОВ ХЪБ БАЛКАН</t>
  </si>
  <si>
    <t>Обща 
стойност на сделките, лв</t>
  </si>
  <si>
    <t>Газов ден</t>
  </si>
  <si>
    <t>Тип на
сделката,
WD/DA</t>
  </si>
  <si>
    <t xml:space="preserve">Количество газ, MWh
</t>
  </si>
  <si>
    <t>Цена на 
сделката, 
BGN/MWh</t>
  </si>
  <si>
    <t>Перник</t>
  </si>
  <si>
    <t>ТИБИЕЛ балансиране</t>
  </si>
  <si>
    <t>MWh</t>
  </si>
  <si>
    <t>цена</t>
  </si>
  <si>
    <t>стойност</t>
  </si>
  <si>
    <t>излишък MWh</t>
  </si>
  <si>
    <t xml:space="preserve">цена излишък </t>
  </si>
  <si>
    <t>цена недостиг</t>
  </si>
  <si>
    <t>стойност излишък</t>
  </si>
  <si>
    <t>стойност недостиг</t>
  </si>
  <si>
    <t>ТИБИЕЛ купува борса</t>
  </si>
  <si>
    <t>ТИБИЕЛ продава борса</t>
  </si>
  <si>
    <t>Доставено на ТИБИЕЛ (MWh)</t>
  </si>
  <si>
    <t>Борса продажби</t>
  </si>
  <si>
    <t>Излишък</t>
  </si>
  <si>
    <t>Недостиг</t>
  </si>
  <si>
    <t>Борса покупки</t>
  </si>
  <si>
    <t>средно претеглена цена</t>
  </si>
  <si>
    <t>Неустойка, лева</t>
  </si>
  <si>
    <t>Брутен марж</t>
  </si>
  <si>
    <t>Финансов ефект, лева</t>
  </si>
  <si>
    <t>ГИС Чирен (добив), лв/МВтч/ден</t>
  </si>
  <si>
    <t>ВТП</t>
  </si>
  <si>
    <t>лева</t>
  </si>
  <si>
    <t>вид на сделката покупка/продажба</t>
  </si>
  <si>
    <t>доставчик/клиент</t>
  </si>
  <si>
    <t>сделки ТИБИЕЛ</t>
  </si>
  <si>
    <t>МВт/ден</t>
  </si>
  <si>
    <t>спестени разходи от по-ниска цена</t>
  </si>
  <si>
    <t>спестени разходи от дневен капацитет</t>
  </si>
  <si>
    <t>спестени разходи от превишен капацитет</t>
  </si>
  <si>
    <t>недостиг MWh</t>
  </si>
  <si>
    <t>Среднопретеглена покупна цена, лв/МВтч</t>
  </si>
  <si>
    <t>закупен допълнителен дневен капацитет</t>
  </si>
  <si>
    <t>Закупен от</t>
  </si>
  <si>
    <t>продажби ТфД, борса и балансиращ пазар</t>
  </si>
  <si>
    <t xml:space="preserve"> </t>
  </si>
  <si>
    <t>Русе</t>
  </si>
  <si>
    <t>ден на пред</t>
  </si>
  <si>
    <t>в рамките на деня</t>
  </si>
  <si>
    <t>ефект за ТфД от по-ниска покупна цена</t>
  </si>
  <si>
    <t>цена за пренос на вход</t>
  </si>
  <si>
    <t>Русе Кемикълс</t>
  </si>
  <si>
    <t>месечен</t>
  </si>
  <si>
    <t xml:space="preserve">   </t>
  </si>
  <si>
    <t>Стойност на входяща точка</t>
  </si>
  <si>
    <t>закупен допълнителен  капацитет</t>
  </si>
  <si>
    <t>входящ</t>
  </si>
  <si>
    <t>изходящ</t>
  </si>
  <si>
    <t xml:space="preserve">общо </t>
  </si>
  <si>
    <t>стари</t>
  </si>
  <si>
    <t>Годишен капацитет</t>
  </si>
  <si>
    <t>Тримесечен капацитет</t>
  </si>
  <si>
    <t>Месечен капацитет</t>
  </si>
  <si>
    <t>Общо пренос:</t>
  </si>
  <si>
    <t>старо</t>
  </si>
  <si>
    <t>Компонента пренос *</t>
  </si>
  <si>
    <t>Технологична компонента  **</t>
  </si>
  <si>
    <t>Компонента задължение към обществото ***</t>
  </si>
  <si>
    <t>Старо</t>
  </si>
  <si>
    <t>Превишен капацитет</t>
  </si>
  <si>
    <t>Дневен капацитет</t>
  </si>
  <si>
    <t>годишен</t>
  </si>
  <si>
    <t>стойност на изх.точка</t>
  </si>
  <si>
    <t>цена на дневен капацитет на изх. точка</t>
  </si>
  <si>
    <t>Стойност на изх. точка</t>
  </si>
  <si>
    <t>Обща стойност на капацитет</t>
  </si>
  <si>
    <t>стойност на изх. точка</t>
  </si>
  <si>
    <t>Обща цена на природния газ с разходи за пренос и капацитет</t>
  </si>
  <si>
    <t>Обща цена на природния газ с разходи за пренос и капацитет, лв/МВтч</t>
  </si>
  <si>
    <t>Топлофикация Велико Търново</t>
  </si>
  <si>
    <t>Ирис</t>
  </si>
  <si>
    <t>Доминекс про</t>
  </si>
  <si>
    <t>Труд</t>
  </si>
  <si>
    <t>тримесечен</t>
  </si>
  <si>
    <t>Берус</t>
  </si>
  <si>
    <t>РВД</t>
  </si>
  <si>
    <t>Брутен марж от продажба на РВД</t>
  </si>
  <si>
    <t>Велико Търново</t>
  </si>
  <si>
    <t>…......01.2021</t>
  </si>
  <si>
    <t>Административни и други разходи</t>
  </si>
  <si>
    <t>лв/ден</t>
  </si>
  <si>
    <t>други клиенти</t>
  </si>
  <si>
    <t>Враца</t>
  </si>
  <si>
    <t>превишен</t>
  </si>
  <si>
    <t>Индивидуална обща цена на природния газ с разходи за входящ пренос и входящ капацитет, лв/МВтч</t>
  </si>
  <si>
    <t>Странджа/Малкочлар</t>
  </si>
  <si>
    <t>Kапацитет в рамките на деня</t>
  </si>
  <si>
    <t>Брутен марж от продажба на БГК</t>
  </si>
  <si>
    <t>Брутен марж от продажба на Русенска група</t>
  </si>
  <si>
    <t>Брутен марж от продажба на Плевенска група</t>
  </si>
  <si>
    <t>БГК</t>
  </si>
  <si>
    <t>Бултекс 1</t>
  </si>
  <si>
    <t>Алуком</t>
  </si>
  <si>
    <t>Илинден</t>
  </si>
  <si>
    <t>Ваптех АМ</t>
  </si>
  <si>
    <t>Тенекс С</t>
  </si>
  <si>
    <t>Декотекс</t>
  </si>
  <si>
    <t>ТИБИЕЛ и БГК</t>
  </si>
  <si>
    <t>дневен капацитет</t>
  </si>
  <si>
    <t>капацитет в рамките на деня</t>
  </si>
  <si>
    <t>,</t>
  </si>
  <si>
    <t>Цена</t>
  </si>
  <si>
    <t>МЕСЕЧЕН</t>
  </si>
  <si>
    <t>разходи</t>
  </si>
  <si>
    <t>Чирен нагнетяване</t>
  </si>
  <si>
    <t xml:space="preserve">ДХТ </t>
  </si>
  <si>
    <t>ТБЛ</t>
  </si>
  <si>
    <t>Средно претеглена продажна цена</t>
  </si>
  <si>
    <t>Средно претеглена покупна цена</t>
  </si>
  <si>
    <t>Нагнетени количества в Чирен, МВтч</t>
  </si>
  <si>
    <t>Стойност, лева</t>
  </si>
  <si>
    <t>Средно претеглена  цена, лв/МВтч</t>
  </si>
  <si>
    <t xml:space="preserve">Враца </t>
  </si>
  <si>
    <t>ОБЩО</t>
  </si>
  <si>
    <t>ПГХ Чирен</t>
  </si>
  <si>
    <t>Цени, лв/МВтч</t>
  </si>
  <si>
    <t>Доставено от ТИБИЕЛ  (MWh)</t>
  </si>
  <si>
    <t>Разлика 3=1-2</t>
  </si>
  <si>
    <t>Положителен ефект за ТфД от по-ниска покупна цена и разходи за капацитети</t>
  </si>
  <si>
    <t>Цена на Булгаргаз</t>
  </si>
  <si>
    <t>TTF</t>
  </si>
  <si>
    <t>Текущи задължения към Булгаргаз и доставчици на газ, лева</t>
  </si>
  <si>
    <t>Просрочени задължения към Булгаргаз и доставчици на газ, лева</t>
  </si>
  <si>
    <t>Общо задължения към Булгаргаз и доставчици на газ, лева</t>
  </si>
  <si>
    <t>Адм. и други разходи</t>
  </si>
  <si>
    <t>ТФ Велико Търново</t>
  </si>
  <si>
    <t>Продажна цена на ТИБИЕЛ за Топлофикационни дружества (100% от цената на "Булгаргаз")</t>
  </si>
  <si>
    <t>чирен нагнетяване</t>
  </si>
  <si>
    <t>неустойка</t>
  </si>
  <si>
    <t>прев.капацитет</t>
  </si>
  <si>
    <t>Сделки покупка</t>
  </si>
  <si>
    <t>Сделки продажба</t>
  </si>
  <si>
    <t xml:space="preserve">Реализирано от ТИБИЕЛ/БГК </t>
  </si>
  <si>
    <t>Продажби на топлофикационни дружества, МВтч</t>
  </si>
  <si>
    <t>Излишък, МВтч</t>
  </si>
  <si>
    <t>Общо продажби на природен газ, МВтч</t>
  </si>
  <si>
    <t>Природен газ за нагнетяване в ПГХ Чирен, МВтч</t>
  </si>
  <si>
    <t>Стойност на нагнетения природен газ в ПГХ Чирен, лева</t>
  </si>
  <si>
    <t>Стойност на продадения и нагнетен  природен газ, лева</t>
  </si>
  <si>
    <t>Стойност на продажбите за ТфД, лева</t>
  </si>
  <si>
    <t>Стойност на излишък, лева</t>
  </si>
  <si>
    <t>Приходи от капацитет и пренос на вх.точка, лева</t>
  </si>
  <si>
    <t xml:space="preserve">Доставено на ТИБИЕЛ/БГК </t>
  </si>
  <si>
    <t>Покупки от борса (без вътрешни сделки), МВтч</t>
  </si>
  <si>
    <t>Стойност на покупките от борса (без вътрешни сделки), лева</t>
  </si>
  <si>
    <t>Недостиг, МВтч</t>
  </si>
  <si>
    <t>Стойност на недостига, лева</t>
  </si>
  <si>
    <t>Общо покупки на природен газ, МВтч</t>
  </si>
  <si>
    <t>Стойност на закупения и добит природен газ, лева</t>
  </si>
  <si>
    <t>Административни разходи, лева</t>
  </si>
  <si>
    <t>Общ размер на разходите, лева</t>
  </si>
  <si>
    <t>Неустойки, лева</t>
  </si>
  <si>
    <t>Продажби на борса(без вътрешни сделки), МВтч</t>
  </si>
  <si>
    <t>Стойност на продажбите на борса(без вътрешни сделки), лв</t>
  </si>
  <si>
    <t>Продаждни цени, лв/МВтч</t>
  </si>
  <si>
    <t>Цена за крайни клиенти</t>
  </si>
  <si>
    <t>Цена на борса</t>
  </si>
  <si>
    <t>Цена за излишък</t>
  </si>
  <si>
    <t>Цена на газа в Чирен</t>
  </si>
  <si>
    <t>Покупни цени, лв/МВтч</t>
  </si>
  <si>
    <t>Цена за недостиг</t>
  </si>
  <si>
    <t>Средна цена на ТфД</t>
  </si>
  <si>
    <t>Търговски резултат</t>
  </si>
  <si>
    <t>Разлика до пълна себестойност в Чирен</t>
  </si>
  <si>
    <t>ФИНАНСОВ РЕЗУЛТАТ</t>
  </si>
  <si>
    <t>Продажна цена на БГК за Топлофикация Плевен (цената на "Булгаргаз")</t>
  </si>
  <si>
    <t>Продажна цена на ТИБИЕЛ за РВД( цената на ГХБ)</t>
  </si>
  <si>
    <t>общ капацитет</t>
  </si>
  <si>
    <t xml:space="preserve">прев. Кап.вх. </t>
  </si>
  <si>
    <t>общо:</t>
  </si>
  <si>
    <t>Общ размер на приходитe от продажба на природен газ, лева</t>
  </si>
  <si>
    <t>СПЦ по договори</t>
  </si>
  <si>
    <t>ДОСТАВЕНО</t>
  </si>
  <si>
    <t>ТВТ</t>
  </si>
  <si>
    <t>Кр. Кл.</t>
  </si>
  <si>
    <t>ТИБИЕЛ Чирен</t>
  </si>
  <si>
    <t>регулирани количества</t>
  </si>
  <si>
    <t>свободно договорени количества</t>
  </si>
  <si>
    <t xml:space="preserve">  </t>
  </si>
  <si>
    <t>консумация, отчет</t>
  </si>
  <si>
    <t>доставки, отчет</t>
  </si>
  <si>
    <t>Борса</t>
  </si>
  <si>
    <t>балансиращ пазар</t>
  </si>
  <si>
    <t>продажби борса</t>
  </si>
  <si>
    <t>Доставчици</t>
  </si>
  <si>
    <t>Отклонение от прогнозата</t>
  </si>
  <si>
    <t>Чирен - нагнетяване</t>
  </si>
  <si>
    <t>Прогнозен баланс на групата (MWh/ден)</t>
  </si>
  <si>
    <t>месец</t>
  </si>
  <si>
    <t>Покупки</t>
  </si>
  <si>
    <t>Продажби</t>
  </si>
  <si>
    <t>КК</t>
  </si>
  <si>
    <t>Булгаргаз*</t>
  </si>
  <si>
    <t>Търговци</t>
  </si>
  <si>
    <t>Чирен - теглене</t>
  </si>
  <si>
    <t>Баланс - Ден напред</t>
  </si>
  <si>
    <t>ТфД</t>
  </si>
  <si>
    <t>*количествата са намалени с 10% и с 7%</t>
  </si>
  <si>
    <t>Продажна цена на ТИБИЕЛ за Илинден, Ваптех АМ, Нова пауър , Алуком, Берус, Бултекс 1, Доминекс про, Ирис, Кемикълс, Труд и ТЕНЕКС С (месечната  цената на ГХБ + 2 лв)</t>
  </si>
  <si>
    <t>консумация, разчет</t>
  </si>
  <si>
    <t>доставки, разчет</t>
  </si>
  <si>
    <t>Александруполис</t>
  </si>
  <si>
    <t>Баланс</t>
  </si>
  <si>
    <t>% от доставките</t>
  </si>
  <si>
    <t>петък</t>
  </si>
  <si>
    <t>събота</t>
  </si>
  <si>
    <t>неделя</t>
  </si>
  <si>
    <t>понеделник</t>
  </si>
  <si>
    <t>вторник</t>
  </si>
  <si>
    <t>сряда</t>
  </si>
  <si>
    <t>четвъртък</t>
  </si>
  <si>
    <t>топлофикации</t>
  </si>
  <si>
    <t>русенска група</t>
  </si>
  <si>
    <t>Плевенска група</t>
  </si>
  <si>
    <t>количества</t>
  </si>
  <si>
    <t>приходи</t>
  </si>
  <si>
    <t>капацитет</t>
  </si>
  <si>
    <t>пренос</t>
  </si>
  <si>
    <t>БП</t>
  </si>
  <si>
    <t>борса</t>
  </si>
  <si>
    <t>Разходи за газ</t>
  </si>
  <si>
    <t>Административни</t>
  </si>
  <si>
    <t>Общо покупки</t>
  </si>
  <si>
    <t>Общо продажби</t>
  </si>
  <si>
    <t>дни в месеца</t>
  </si>
  <si>
    <t>Булгаргаз 90%</t>
  </si>
  <si>
    <t>Булгаргаз 10%</t>
  </si>
  <si>
    <t>Чирен - добив</t>
  </si>
  <si>
    <t>LNG</t>
  </si>
  <si>
    <t>средно</t>
  </si>
  <si>
    <t>Q1-25</t>
  </si>
  <si>
    <t>Прогнозен баланс на групата (MWh/месец)</t>
  </si>
  <si>
    <t>Прогнозни цени (EUR/MWh)</t>
  </si>
  <si>
    <t>КЕВР - Булгаргаз</t>
  </si>
  <si>
    <t>TTF futures</t>
  </si>
  <si>
    <t>Газов хъб Балкан spot</t>
  </si>
  <si>
    <t>Постигнати цени от търговци</t>
  </si>
  <si>
    <t>Средни прогн. цени на покупки</t>
  </si>
  <si>
    <t>Доставки от Булгаргаз, МВтч</t>
  </si>
  <si>
    <t>Стойност на доставения природен газ от Булгаргаз, лева</t>
  </si>
  <si>
    <t>Цена от  Булгаргаз</t>
  </si>
  <si>
    <t>MET</t>
  </si>
  <si>
    <t>Mytilineos</t>
  </si>
  <si>
    <t>Доставки от Mytilineos, МВтч</t>
  </si>
  <si>
    <t>Стойност на доставения природен газ от Mytilineos, лева</t>
  </si>
  <si>
    <t>Цена от Mytilineos</t>
  </si>
  <si>
    <t>ВИТОЛ</t>
  </si>
  <si>
    <t>SOCAR</t>
  </si>
  <si>
    <t>Доставки от SOCAR, МВтч</t>
  </si>
  <si>
    <t>Стойност на доставения природен газ от SOCAR, лева</t>
  </si>
  <si>
    <t>Цена от SOCAR</t>
  </si>
  <si>
    <t>ОЗБОР</t>
  </si>
  <si>
    <t>Доставки от ОЗБОР, МВтч</t>
  </si>
  <si>
    <t>Стойност на доставения природен газ от ОЗБОР, лева</t>
  </si>
  <si>
    <t>Цена от ОЗБОР</t>
  </si>
  <si>
    <t>Доставки от SOCAR</t>
  </si>
  <si>
    <t>Димитровград</t>
  </si>
  <si>
    <t>ЦЕНИ ЗА ДОСТЪП И ПРЕНОС ЗА ГАЗОВАТА ГОДИНА 2024/2025</t>
  </si>
  <si>
    <t>I. (X - XII.2024)</t>
  </si>
  <si>
    <t>II. (I - III.2025)</t>
  </si>
  <si>
    <t>III. (IV - VI.2025)</t>
  </si>
  <si>
    <t>IV. (VII - IX.2025)</t>
  </si>
  <si>
    <t>октомври 2024</t>
  </si>
  <si>
    <t>ноември 2024</t>
  </si>
  <si>
    <t>декември 2024</t>
  </si>
  <si>
    <t>януари 2025</t>
  </si>
  <si>
    <t>февруари 2025</t>
  </si>
  <si>
    <t>март 2025</t>
  </si>
  <si>
    <t>април 2025</t>
  </si>
  <si>
    <t>май 2025</t>
  </si>
  <si>
    <t>юни  2025</t>
  </si>
  <si>
    <t>юли  20245</t>
  </si>
  <si>
    <t>август  2025</t>
  </si>
  <si>
    <t>септември  2025</t>
  </si>
  <si>
    <t>PPC</t>
  </si>
  <si>
    <t>PPC Гърция</t>
  </si>
  <si>
    <t>Разходи за годишен капацитет за Александрополис</t>
  </si>
  <si>
    <t>надбавка</t>
  </si>
  <si>
    <t>Продажна цена на ТИБИЕЛ за Марица 3 Димитровград (Регулирана цена +6,10)</t>
  </si>
  <si>
    <t>HERON</t>
  </si>
  <si>
    <t>ТБЛ-ЧИРЕН добив</t>
  </si>
  <si>
    <t>ЧИРЕН добив, МВтч</t>
  </si>
  <si>
    <t>Стойност на добития природен газ от ЧИРЕН, лева</t>
  </si>
  <si>
    <t>Доставчици(  SOCAR )</t>
  </si>
  <si>
    <t>Цена от ЧИРЕН</t>
  </si>
  <si>
    <t>Булмаш</t>
  </si>
  <si>
    <t>Продажна цена на ЛКМК и Булмаш  (Регулирана цена +15)</t>
  </si>
  <si>
    <t>ЛКМК</t>
  </si>
  <si>
    <t>Продажби на крайни клиенти и търговци, МВтч</t>
  </si>
  <si>
    <t>Стойност на продажбите на кр.клиенти и търговци, лева</t>
  </si>
  <si>
    <t>ВИТОЛ 500 МВт/ден 42 евро</t>
  </si>
  <si>
    <t>ВИТОЛ 500 МВт/ден 40,25 евро</t>
  </si>
  <si>
    <t>МЕТ 400 МВт/ден 42,25 евро</t>
  </si>
  <si>
    <t>МЕТ 600 МВт/ден 42,30 евро</t>
  </si>
  <si>
    <t>ДХТ 500 МВт/ден 44,10 евро</t>
  </si>
  <si>
    <t>търговци на природен газ</t>
  </si>
  <si>
    <t>Кр. Кл. И търговци</t>
  </si>
  <si>
    <t>Общо разчет Декември</t>
  </si>
  <si>
    <t>Очаквано изпълнение Декември</t>
  </si>
  <si>
    <t>OMV 500 МВт/ден 45,50 евро</t>
  </si>
  <si>
    <t>OMV 700 МВт/ден 45,25 евро</t>
  </si>
  <si>
    <t>ВИТОЛ 250 МВт/ден 46 евро</t>
  </si>
  <si>
    <t>купува</t>
  </si>
  <si>
    <t>Състейнабъл Енерджи Съплай ООД</t>
  </si>
  <si>
    <t>OZBOR ENTERPRISES LIMITED</t>
  </si>
  <si>
    <t>DA    171925</t>
  </si>
  <si>
    <t>DA    171926</t>
  </si>
  <si>
    <t>DA    171953</t>
  </si>
  <si>
    <t>продава</t>
  </si>
  <si>
    <t>Gaz Trading 2002 Ltd</t>
  </si>
  <si>
    <t>АЛИАНЗ ЕНЕРДЖИ БЪЛГАРИЯ ЕООД</t>
  </si>
  <si>
    <t>ЕНЕМОНА ЕКОГАЗ ООД</t>
  </si>
  <si>
    <t>ГЛОБЪЛ КОММЕРС - 1 ООД</t>
  </si>
  <si>
    <t>МЕТ ЕНЕРДЖИ ТРЕЙДИНГ Б-Я ЕАД</t>
  </si>
  <si>
    <t>DA    172000</t>
  </si>
  <si>
    <t>WD   172050</t>
  </si>
  <si>
    <t>WD   172051</t>
  </si>
  <si>
    <t>WD   172087</t>
  </si>
  <si>
    <t>WD   172089</t>
  </si>
  <si>
    <t>ARVI INVEST RO S.R.L.</t>
  </si>
  <si>
    <t>АКТАЕЛ ЕООД</t>
  </si>
  <si>
    <t>DA    172149</t>
  </si>
  <si>
    <t>DA    172198</t>
  </si>
  <si>
    <t>Хенекс 46,30 Е</t>
  </si>
  <si>
    <t>WD   172308</t>
  </si>
  <si>
    <t>WD   172309</t>
  </si>
  <si>
    <t>Хенекс 49,80 Е</t>
  </si>
  <si>
    <t>Socar Trading Gas &amp; Power SARL</t>
  </si>
  <si>
    <t>DA    172333</t>
  </si>
  <si>
    <t>WD   172415</t>
  </si>
  <si>
    <t>WD   172416</t>
  </si>
  <si>
    <t>DEPA Commercial SA</t>
  </si>
  <si>
    <t>DA    172426</t>
  </si>
  <si>
    <t>DA    172428</t>
  </si>
  <si>
    <t>WD   172539</t>
  </si>
  <si>
    <t>WD   172547</t>
  </si>
  <si>
    <t>BTGBalancingGas</t>
  </si>
  <si>
    <t>M-GAZ LTD</t>
  </si>
  <si>
    <t>WE   172539</t>
  </si>
  <si>
    <t>WD   172610</t>
  </si>
  <si>
    <t>WD   172612</t>
  </si>
  <si>
    <t>WD   172613</t>
  </si>
  <si>
    <t>WD   172618</t>
  </si>
  <si>
    <t>ЕНЕРГИКО ЕООД</t>
  </si>
  <si>
    <t>ТЕРА УЕЙ ЕНЕРДЖИ ГРУП ЕООД</t>
  </si>
  <si>
    <t>WE   173099</t>
  </si>
  <si>
    <t>WE   173108</t>
  </si>
  <si>
    <t>WE   173170</t>
  </si>
  <si>
    <t>WE   173138</t>
  </si>
  <si>
    <t>Ecogas Engineering LTD</t>
  </si>
  <si>
    <t>DA    173221</t>
  </si>
  <si>
    <t>DA    173223</t>
  </si>
  <si>
    <t>DA    173224</t>
  </si>
  <si>
    <t>DA    173230</t>
  </si>
  <si>
    <t>WD   173350</t>
  </si>
  <si>
    <t>WD   173351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</si>
</sst>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_-* #,##0.00\ _л_в_._-;\-* #,##0.00\ _л_в_._-;_-* &quot;-&quot;??\ _л_в_._-;_-@_-"/>
    <numFmt numFmtId="165" formatCode="#,##0.000"/>
    <numFmt numFmtId="166" formatCode="0.000"/>
    <numFmt numFmtId="167" formatCode="#,##0.00000"/>
    <numFmt numFmtId="168" formatCode="[$-409]d\-mmm\-yyyy;@"/>
    <numFmt numFmtId="169" formatCode="0.00000"/>
    <numFmt numFmtId="170" formatCode="0.0000"/>
    <numFmt numFmtId="171" formatCode="#,##0.00;[Red]#,##0.00"/>
    <numFmt numFmtId="172" formatCode="#,##0.000;[Red]#,##0.000"/>
    <numFmt numFmtId="173" formatCode="0.000;[Red]0.000"/>
    <numFmt numFmtId="174" formatCode="0.0000000"/>
    <numFmt numFmtId="175" formatCode="0.00;[Red]0.00"/>
    <numFmt numFmtId="176" formatCode="0.00_ ;[Red]\-0.00\ "/>
    <numFmt numFmtId="177" formatCode="#,##0.0000;[Red]#,##0.0000"/>
    <numFmt numFmtId="178" formatCode="[$-409]d\-mmm\-yy;@"/>
    <numFmt numFmtId="179" formatCode="_-* #,##0_-;\-* #,##0_-;_-* &quot;-&quot;??_-;_-@_-"/>
    <numFmt numFmtId="180" formatCode="#,##0.0000"/>
    <numFmt numFmtId="181" formatCode="#,##0_ ;[Red]\-#,##0\ "/>
    <numFmt numFmtId="182" formatCode="#,##0_ ;\-#,##0\ "/>
    <numFmt numFmtId="183" formatCode="#,##0.00\ [$€-1]"/>
    <numFmt numFmtId="184" formatCode="#,##0.00\ &quot;лв.&quot;"/>
    <numFmt numFmtId="185" formatCode="#,##0.00000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12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</font>
    <font>
      <sz val="9"/>
      <color indexed="8"/>
      <name val="Tahoma"/>
      <family val="2"/>
      <charset val="204"/>
    </font>
    <font>
      <b/>
      <sz val="11"/>
      <color indexed="10"/>
      <name val="Calibri"/>
      <family val="2"/>
      <charset val="204"/>
    </font>
    <font>
      <b/>
      <sz val="11"/>
      <color indexed="10"/>
      <name val="Calibri"/>
      <family val="2"/>
    </font>
    <font>
      <sz val="11"/>
      <color theme="1"/>
      <name val="Times New Roman"/>
      <family val="1"/>
      <charset val="204"/>
    </font>
    <font>
      <b/>
      <sz val="11"/>
      <name val="Times New Roman"/>
      <family val="1"/>
    </font>
    <font>
      <sz val="10"/>
      <name val="Times New Roman"/>
      <family val="1"/>
      <charset val="204"/>
    </font>
    <font>
      <b/>
      <u/>
      <sz val="11"/>
      <name val="Times New Roman"/>
      <family val="1"/>
    </font>
    <font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</font>
    <font>
      <b/>
      <sz val="11"/>
      <color theme="4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</font>
    <font>
      <b/>
      <sz val="11"/>
      <color rgb="FF00B05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theme="4"/>
      <name val="Calibri"/>
      <family val="2"/>
    </font>
    <font>
      <b/>
      <sz val="11"/>
      <color theme="4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color rgb="FF333333"/>
      <name val="Calibri"/>
      <family val="2"/>
      <charset val="204"/>
    </font>
    <font>
      <b/>
      <i/>
      <sz val="11"/>
      <color theme="1"/>
      <name val="Times New Roman"/>
      <family val="1"/>
      <charset val="204"/>
    </font>
    <font>
      <b/>
      <i/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b/>
      <i/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/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 diagonalDown="1">
      <left/>
      <right style="medium">
        <color auto="1"/>
      </right>
      <top/>
      <bottom style="thin">
        <color auto="1"/>
      </bottom>
      <diagonal style="thin">
        <color auto="1"/>
      </diagonal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8">
    <xf numFmtId="0" fontId="0" fillId="0" borderId="0"/>
    <xf numFmtId="0" fontId="10" fillId="0" borderId="0"/>
    <xf numFmtId="0" fontId="11" fillId="4" borderId="0" applyNumberFormat="0" applyBorder="0" applyAlignment="0" applyProtection="0"/>
    <xf numFmtId="0" fontId="14" fillId="0" borderId="0"/>
    <xf numFmtId="164" fontId="13" fillId="0" borderId="0" applyFont="0" applyFill="0" applyBorder="0" applyAlignment="0" applyProtection="0"/>
    <xf numFmtId="0" fontId="28" fillId="0" borderId="0"/>
    <xf numFmtId="9" fontId="13" fillId="0" borderId="0" applyFont="0" applyFill="0" applyBorder="0" applyAlignment="0" applyProtection="0"/>
    <xf numFmtId="0" fontId="6" fillId="0" borderId="0"/>
    <xf numFmtId="0" fontId="6" fillId="13" borderId="60" applyNumberFormat="0" applyFont="0" applyAlignment="0" applyProtection="0"/>
    <xf numFmtId="164" fontId="6" fillId="0" borderId="0" applyFont="0" applyFill="0" applyBorder="0" applyAlignment="0" applyProtection="0"/>
    <xf numFmtId="0" fontId="48" fillId="4" borderId="0" applyNumberFormat="0" applyBorder="0" applyAlignment="0" applyProtection="0"/>
    <xf numFmtId="0" fontId="49" fillId="0" borderId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32">
    <xf numFmtId="0" fontId="0" fillId="0" borderId="0" xfId="0"/>
    <xf numFmtId="0" fontId="7" fillId="0" borderId="0" xfId="0" applyFont="1"/>
    <xf numFmtId="0" fontId="7" fillId="0" borderId="1" xfId="0" applyFont="1" applyBorder="1"/>
    <xf numFmtId="2" fontId="7" fillId="0" borderId="0" xfId="0" applyNumberFormat="1" applyFont="1"/>
    <xf numFmtId="4" fontId="7" fillId="0" borderId="0" xfId="0" applyNumberFormat="1" applyFont="1"/>
    <xf numFmtId="165" fontId="7" fillId="0" borderId="1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65" fontId="7" fillId="9" borderId="1" xfId="0" applyNumberFormat="1" applyFont="1" applyFill="1" applyBorder="1" applyAlignment="1">
      <alignment horizontal="center"/>
    </xf>
    <xf numFmtId="165" fontId="7" fillId="0" borderId="0" xfId="0" applyNumberFormat="1" applyFont="1"/>
    <xf numFmtId="10" fontId="7" fillId="0" borderId="0" xfId="0" applyNumberFormat="1" applyFont="1"/>
    <xf numFmtId="166" fontId="7" fillId="0" borderId="0" xfId="0" applyNumberFormat="1" applyFont="1"/>
    <xf numFmtId="0" fontId="7" fillId="7" borderId="9" xfId="0" applyFont="1" applyFill="1" applyBorder="1" applyAlignment="1">
      <alignment horizontal="center"/>
    </xf>
    <xf numFmtId="0" fontId="7" fillId="7" borderId="10" xfId="0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/>
    </xf>
    <xf numFmtId="165" fontId="7" fillId="7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4" fontId="7" fillId="7" borderId="1" xfId="0" applyNumberFormat="1" applyFont="1" applyFill="1" applyBorder="1" applyAlignment="1">
      <alignment horizontal="center"/>
    </xf>
    <xf numFmtId="0" fontId="12" fillId="0" borderId="0" xfId="0" applyFont="1"/>
    <xf numFmtId="0" fontId="9" fillId="0" borderId="7" xfId="0" applyFont="1" applyBorder="1" applyAlignment="1">
      <alignment horizontal="center"/>
    </xf>
    <xf numFmtId="165" fontId="7" fillId="0" borderId="31" xfId="0" applyNumberFormat="1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4" fontId="7" fillId="0" borderId="8" xfId="0" applyNumberFormat="1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10" borderId="27" xfId="0" applyFont="1" applyFill="1" applyBorder="1" applyAlignment="1">
      <alignment horizontal="center" vertical="center" wrapText="1"/>
    </xf>
    <xf numFmtId="0" fontId="9" fillId="0" borderId="28" xfId="0" applyFont="1" applyBorder="1"/>
    <xf numFmtId="0" fontId="9" fillId="0" borderId="31" xfId="0" applyFont="1" applyBorder="1" applyAlignment="1">
      <alignment horizontal="center"/>
    </xf>
    <xf numFmtId="4" fontId="7" fillId="0" borderId="31" xfId="0" applyNumberFormat="1" applyFont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10" borderId="6" xfId="0" applyFont="1" applyFill="1" applyBorder="1" applyAlignment="1">
      <alignment horizontal="center" vertical="center" wrapText="1"/>
    </xf>
    <xf numFmtId="0" fontId="9" fillId="0" borderId="1" xfId="0" applyFont="1" applyBorder="1"/>
    <xf numFmtId="168" fontId="7" fillId="0" borderId="31" xfId="0" applyNumberFormat="1" applyFont="1" applyBorder="1" applyAlignment="1">
      <alignment horizontal="center" vertical="center"/>
    </xf>
    <xf numFmtId="166" fontId="7" fillId="7" borderId="8" xfId="0" applyNumberFormat="1" applyFont="1" applyFill="1" applyBorder="1" applyAlignment="1">
      <alignment horizontal="center"/>
    </xf>
    <xf numFmtId="165" fontId="8" fillId="7" borderId="1" xfId="0" applyNumberFormat="1" applyFont="1" applyFill="1" applyBorder="1" applyAlignment="1">
      <alignment horizontal="center"/>
    </xf>
    <xf numFmtId="165" fontId="7" fillId="7" borderId="7" xfId="0" applyNumberFormat="1" applyFont="1" applyFill="1" applyBorder="1" applyAlignment="1">
      <alignment horizontal="center"/>
    </xf>
    <xf numFmtId="165" fontId="7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6" fontId="12" fillId="7" borderId="8" xfId="0" applyNumberFormat="1" applyFont="1" applyFill="1" applyBorder="1" applyAlignment="1">
      <alignment horizontal="center"/>
    </xf>
    <xf numFmtId="0" fontId="7" fillId="7" borderId="8" xfId="0" applyFont="1" applyFill="1" applyBorder="1"/>
    <xf numFmtId="0" fontId="7" fillId="7" borderId="8" xfId="0" applyFont="1" applyFill="1" applyBorder="1" applyAlignment="1">
      <alignment horizontal="center"/>
    </xf>
    <xf numFmtId="165" fontId="7" fillId="7" borderId="8" xfId="0" applyNumberFormat="1" applyFont="1" applyFill="1" applyBorder="1"/>
    <xf numFmtId="165" fontId="7" fillId="0" borderId="7" xfId="0" applyNumberFormat="1" applyFont="1" applyBorder="1"/>
    <xf numFmtId="16" fontId="7" fillId="5" borderId="45" xfId="0" applyNumberFormat="1" applyFont="1" applyFill="1" applyBorder="1"/>
    <xf numFmtId="0" fontId="7" fillId="0" borderId="46" xfId="0" applyFont="1" applyBorder="1"/>
    <xf numFmtId="0" fontId="7" fillId="0" borderId="16" xfId="0" applyFont="1" applyBorder="1"/>
    <xf numFmtId="0" fontId="7" fillId="0" borderId="48" xfId="0" applyFont="1" applyBorder="1"/>
    <xf numFmtId="0" fontId="7" fillId="0" borderId="49" xfId="0" applyFont="1" applyBorder="1"/>
    <xf numFmtId="10" fontId="7" fillId="0" borderId="48" xfId="0" applyNumberFormat="1" applyFont="1" applyBorder="1"/>
    <xf numFmtId="0" fontId="7" fillId="0" borderId="50" xfId="0" applyFont="1" applyBorder="1"/>
    <xf numFmtId="0" fontId="7" fillId="0" borderId="51" xfId="0" applyFont="1" applyBorder="1" applyAlignment="1">
      <alignment horizontal="right"/>
    </xf>
    <xf numFmtId="4" fontId="7" fillId="0" borderId="51" xfId="0" applyNumberFormat="1" applyFont="1" applyBorder="1"/>
    <xf numFmtId="0" fontId="7" fillId="0" borderId="52" xfId="0" applyFont="1" applyBorder="1"/>
    <xf numFmtId="4" fontId="7" fillId="7" borderId="1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9" fillId="0" borderId="12" xfId="0" applyFont="1" applyBorder="1"/>
    <xf numFmtId="0" fontId="9" fillId="0" borderId="3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165" fontId="7" fillId="7" borderId="8" xfId="0" applyNumberFormat="1" applyFont="1" applyFill="1" applyBorder="1" applyAlignment="1">
      <alignment horizontal="center"/>
    </xf>
    <xf numFmtId="165" fontId="7" fillId="0" borderId="1" xfId="0" applyNumberFormat="1" applyFont="1" applyBorder="1"/>
    <xf numFmtId="4" fontId="7" fillId="0" borderId="1" xfId="0" applyNumberFormat="1" applyFont="1" applyBorder="1"/>
    <xf numFmtId="0" fontId="15" fillId="0" borderId="1" xfId="0" applyFont="1" applyBorder="1" applyAlignment="1">
      <alignment horizontal="center" wrapText="1"/>
    </xf>
    <xf numFmtId="0" fontId="15" fillId="0" borderId="1" xfId="0" applyFont="1" applyBorder="1"/>
    <xf numFmtId="0" fontId="7" fillId="0" borderId="17" xfId="0" applyFont="1" applyBorder="1" applyAlignment="1">
      <alignment horizontal="center"/>
    </xf>
    <xf numFmtId="165" fontId="7" fillId="7" borderId="17" xfId="0" applyNumberFormat="1" applyFont="1" applyFill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7" fillId="2" borderId="0" xfId="0" applyFont="1" applyFill="1"/>
    <xf numFmtId="0" fontId="9" fillId="0" borderId="4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56" xfId="0" applyFont="1" applyBorder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/>
    <xf numFmtId="170" fontId="0" fillId="0" borderId="0" xfId="0" applyNumberFormat="1" applyAlignment="1">
      <alignment horizontal="right"/>
    </xf>
    <xf numFmtId="169" fontId="0" fillId="0" borderId="56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0" fontId="18" fillId="0" borderId="0" xfId="0" applyFont="1"/>
    <xf numFmtId="0" fontId="0" fillId="0" borderId="56" xfId="0" applyBorder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49" fontId="20" fillId="0" borderId="0" xfId="0" applyNumberFormat="1" applyFont="1"/>
    <xf numFmtId="169" fontId="20" fillId="0" borderId="0" xfId="0" applyNumberFormat="1" applyFont="1" applyAlignment="1">
      <alignment horizontal="right"/>
    </xf>
    <xf numFmtId="49" fontId="0" fillId="0" borderId="0" xfId="0" applyNumberFormat="1"/>
    <xf numFmtId="169" fontId="0" fillId="0" borderId="0" xfId="0" applyNumberFormat="1" applyAlignment="1">
      <alignment horizontal="right"/>
    </xf>
    <xf numFmtId="169" fontId="18" fillId="0" borderId="56" xfId="0" applyNumberFormat="1" applyFont="1" applyBorder="1" applyAlignment="1">
      <alignment horizontal="right"/>
    </xf>
    <xf numFmtId="0" fontId="0" fillId="0" borderId="56" xfId="0" applyBorder="1"/>
    <xf numFmtId="169" fontId="0" fillId="0" borderId="0" xfId="0" applyNumberFormat="1"/>
    <xf numFmtId="10" fontId="0" fillId="0" borderId="0" xfId="0" applyNumberFormat="1"/>
    <xf numFmtId="0" fontId="23" fillId="0" borderId="0" xfId="0" applyFont="1" applyAlignment="1">
      <alignment horizontal="left" vertical="center" wrapText="1" readingOrder="1"/>
    </xf>
    <xf numFmtId="0" fontId="24" fillId="0" borderId="0" xfId="0" applyFont="1"/>
    <xf numFmtId="170" fontId="25" fillId="0" borderId="0" xfId="0" applyNumberFormat="1" applyFont="1"/>
    <xf numFmtId="169" fontId="20" fillId="0" borderId="0" xfId="0" applyNumberFormat="1" applyFont="1"/>
    <xf numFmtId="169" fontId="21" fillId="0" borderId="56" xfId="0" applyNumberFormat="1" applyFont="1" applyBorder="1"/>
    <xf numFmtId="4" fontId="26" fillId="9" borderId="1" xfId="0" applyNumberFormat="1" applyFont="1" applyFill="1" applyBorder="1" applyAlignment="1" applyProtection="1">
      <alignment horizontal="center"/>
      <protection locked="0"/>
    </xf>
    <xf numFmtId="4" fontId="15" fillId="0" borderId="1" xfId="0" applyNumberFormat="1" applyFont="1" applyBorder="1"/>
    <xf numFmtId="4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166" fontId="8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7" fillId="0" borderId="1" xfId="0" applyFont="1" applyBorder="1" applyAlignment="1">
      <alignment horizontal="center" wrapText="1"/>
    </xf>
    <xf numFmtId="4" fontId="7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171" fontId="7" fillId="0" borderId="0" xfId="0" applyNumberFormat="1" applyFont="1" applyAlignment="1">
      <alignment horizontal="center"/>
    </xf>
    <xf numFmtId="171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66" fontId="7" fillId="7" borderId="0" xfId="0" applyNumberFormat="1" applyFont="1" applyFill="1"/>
    <xf numFmtId="2" fontId="27" fillId="5" borderId="4" xfId="0" applyNumberFormat="1" applyFont="1" applyFill="1" applyBorder="1" applyAlignment="1" applyProtection="1">
      <alignment horizontal="center"/>
      <protection locked="0"/>
    </xf>
    <xf numFmtId="0" fontId="27" fillId="5" borderId="6" xfId="0" applyFont="1" applyFill="1" applyBorder="1" applyAlignment="1" applyProtection="1">
      <alignment horizontal="center"/>
      <protection locked="0"/>
    </xf>
    <xf numFmtId="0" fontId="27" fillId="5" borderId="4" xfId="0" applyFont="1" applyFill="1" applyBorder="1" applyAlignment="1" applyProtection="1">
      <alignment horizontal="center" wrapText="1"/>
      <protection locked="0"/>
    </xf>
    <xf numFmtId="1" fontId="8" fillId="0" borderId="7" xfId="0" applyNumberFormat="1" applyFont="1" applyBorder="1" applyAlignment="1" applyProtection="1">
      <alignment horizontal="center"/>
      <protection locked="0"/>
    </xf>
    <xf numFmtId="2" fontId="8" fillId="0" borderId="12" xfId="0" applyNumberFormat="1" applyFont="1" applyBorder="1" applyAlignment="1" applyProtection="1">
      <alignment horizontal="left"/>
      <protection locked="0"/>
    </xf>
    <xf numFmtId="2" fontId="8" fillId="0" borderId="35" xfId="0" applyNumberFormat="1" applyFont="1" applyBorder="1" applyAlignment="1" applyProtection="1">
      <alignment horizontal="left"/>
      <protection locked="0"/>
    </xf>
    <xf numFmtId="4" fontId="27" fillId="0" borderId="55" xfId="0" applyNumberFormat="1" applyFont="1" applyBorder="1" applyAlignment="1" applyProtection="1">
      <alignment horizontal="center"/>
      <protection locked="0"/>
    </xf>
    <xf numFmtId="2" fontId="8" fillId="0" borderId="31" xfId="0" applyNumberFormat="1" applyFont="1" applyBorder="1" applyAlignment="1" applyProtection="1">
      <alignment horizontal="left"/>
      <protection locked="0"/>
    </xf>
    <xf numFmtId="4" fontId="27" fillId="0" borderId="53" xfId="0" applyNumberFormat="1" applyFont="1" applyBorder="1" applyAlignment="1" applyProtection="1">
      <alignment horizontal="center"/>
      <protection locked="0"/>
    </xf>
    <xf numFmtId="2" fontId="8" fillId="0" borderId="39" xfId="0" applyNumberFormat="1" applyFont="1" applyBorder="1" applyAlignment="1" applyProtection="1">
      <alignment horizontal="left"/>
      <protection locked="0"/>
    </xf>
    <xf numFmtId="4" fontId="27" fillId="0" borderId="54" xfId="0" applyNumberFormat="1" applyFont="1" applyBorder="1" applyAlignment="1" applyProtection="1">
      <alignment horizontal="center"/>
      <protection locked="0"/>
    </xf>
    <xf numFmtId="2" fontId="8" fillId="0" borderId="9" xfId="0" applyNumberFormat="1" applyFont="1" applyBorder="1" applyAlignment="1" applyProtection="1">
      <alignment horizontal="left"/>
      <protection locked="0"/>
    </xf>
    <xf numFmtId="4" fontId="27" fillId="0" borderId="10" xfId="0" applyNumberFormat="1" applyFont="1" applyBorder="1" applyAlignment="1" applyProtection="1">
      <alignment horizontal="center"/>
      <protection locked="0"/>
    </xf>
    <xf numFmtId="4" fontId="8" fillId="0" borderId="0" xfId="0" applyNumberFormat="1" applyFont="1" applyProtection="1">
      <protection locked="0"/>
    </xf>
    <xf numFmtId="2" fontId="29" fillId="3" borderId="15" xfId="0" applyNumberFormat="1" applyFont="1" applyFill="1" applyBorder="1" applyAlignment="1" applyProtection="1">
      <alignment horizontal="center"/>
      <protection locked="0"/>
    </xf>
    <xf numFmtId="165" fontId="8" fillId="7" borderId="8" xfId="0" applyNumberFormat="1" applyFont="1" applyFill="1" applyBorder="1" applyAlignment="1">
      <alignment horizontal="center"/>
    </xf>
    <xf numFmtId="3" fontId="8" fillId="7" borderId="1" xfId="0" applyNumberFormat="1" applyFont="1" applyFill="1" applyBorder="1" applyAlignment="1">
      <alignment horizontal="center"/>
    </xf>
    <xf numFmtId="165" fontId="8" fillId="7" borderId="8" xfId="0" applyNumberFormat="1" applyFont="1" applyFill="1" applyBorder="1" applyAlignment="1" applyProtection="1">
      <alignment horizontal="center"/>
      <protection locked="0"/>
    </xf>
    <xf numFmtId="165" fontId="27" fillId="0" borderId="25" xfId="0" applyNumberFormat="1" applyFont="1" applyBorder="1" applyAlignment="1" applyProtection="1">
      <alignment horizontal="center"/>
      <protection locked="0"/>
    </xf>
    <xf numFmtId="165" fontId="27" fillId="0" borderId="14" xfId="0" applyNumberFormat="1" applyFont="1" applyBorder="1" applyAlignment="1" applyProtection="1">
      <alignment horizontal="center"/>
      <protection locked="0"/>
    </xf>
    <xf numFmtId="1" fontId="8" fillId="0" borderId="0" xfId="0" applyNumberFormat="1" applyFont="1" applyProtection="1">
      <protection locked="0"/>
    </xf>
    <xf numFmtId="1" fontId="8" fillId="0" borderId="0" xfId="0" applyNumberFormat="1" applyFont="1" applyProtection="1"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0" fontId="9" fillId="0" borderId="15" xfId="0" applyFont="1" applyBorder="1" applyAlignment="1">
      <alignment horizontal="center" vertical="center" wrapText="1"/>
    </xf>
    <xf numFmtId="0" fontId="8" fillId="0" borderId="0" xfId="0" applyFont="1"/>
    <xf numFmtId="165" fontId="8" fillId="9" borderId="1" xfId="0" applyNumberFormat="1" applyFont="1" applyFill="1" applyBorder="1" applyAlignment="1">
      <alignment horizontal="center"/>
    </xf>
    <xf numFmtId="165" fontId="8" fillId="0" borderId="0" xfId="0" applyNumberFormat="1" applyFont="1"/>
    <xf numFmtId="165" fontId="7" fillId="2" borderId="0" xfId="0" applyNumberFormat="1" applyFont="1" applyFill="1"/>
    <xf numFmtId="4" fontId="7" fillId="2" borderId="0" xfId="0" applyNumberFormat="1" applyFont="1" applyFill="1"/>
    <xf numFmtId="2" fontId="7" fillId="0" borderId="0" xfId="0" applyNumberFormat="1" applyFont="1" applyAlignment="1">
      <alignment horizontal="center"/>
    </xf>
    <xf numFmtId="166" fontId="7" fillId="7" borderId="17" xfId="0" applyNumberFormat="1" applyFont="1" applyFill="1" applyBorder="1" applyAlignment="1">
      <alignment horizontal="center"/>
    </xf>
    <xf numFmtId="166" fontId="12" fillId="7" borderId="17" xfId="0" applyNumberFormat="1" applyFont="1" applyFill="1" applyBorder="1" applyAlignment="1">
      <alignment horizontal="center"/>
    </xf>
    <xf numFmtId="0" fontId="7" fillId="7" borderId="17" xfId="0" applyFont="1" applyFill="1" applyBorder="1"/>
    <xf numFmtId="0" fontId="7" fillId="7" borderId="17" xfId="0" applyFont="1" applyFill="1" applyBorder="1" applyAlignment="1">
      <alignment horizontal="center"/>
    </xf>
    <xf numFmtId="165" fontId="7" fillId="7" borderId="17" xfId="0" applyNumberFormat="1" applyFont="1" applyFill="1" applyBorder="1"/>
    <xf numFmtId="0" fontId="27" fillId="5" borderId="29" xfId="0" applyFont="1" applyFill="1" applyBorder="1" applyAlignment="1" applyProtection="1">
      <alignment horizontal="center" wrapText="1"/>
      <protection locked="0"/>
    </xf>
    <xf numFmtId="2" fontId="8" fillId="0" borderId="38" xfId="0" applyNumberFormat="1" applyFont="1" applyBorder="1" applyAlignment="1" applyProtection="1">
      <alignment horizontal="right"/>
      <protection locked="0"/>
    </xf>
    <xf numFmtId="2" fontId="8" fillId="0" borderId="14" xfId="0" applyNumberFormat="1" applyFont="1" applyBorder="1" applyAlignment="1" applyProtection="1">
      <alignment horizontal="right"/>
      <protection locked="0"/>
    </xf>
    <xf numFmtId="4" fontId="27" fillId="2" borderId="1" xfId="0" applyNumberFormat="1" applyFont="1" applyFill="1" applyBorder="1" applyAlignment="1" applyProtection="1">
      <alignment horizontal="center"/>
      <protection locked="0"/>
    </xf>
    <xf numFmtId="165" fontId="8" fillId="0" borderId="0" xfId="0" applyNumberFormat="1" applyFont="1" applyProtection="1">
      <protection locked="0"/>
    </xf>
    <xf numFmtId="2" fontId="8" fillId="0" borderId="0" xfId="0" applyNumberFormat="1" applyFont="1" applyProtection="1">
      <protection locked="0"/>
    </xf>
    <xf numFmtId="166" fontId="8" fillId="0" borderId="0" xfId="0" applyNumberFormat="1" applyFont="1" applyProtection="1">
      <protection hidden="1"/>
    </xf>
    <xf numFmtId="166" fontId="8" fillId="0" borderId="0" xfId="0" applyNumberFormat="1" applyFont="1" applyAlignment="1" applyProtection="1">
      <alignment wrapText="1"/>
      <protection hidden="1"/>
    </xf>
    <xf numFmtId="170" fontId="8" fillId="0" borderId="0" xfId="0" applyNumberFormat="1" applyFont="1" applyProtection="1">
      <protection hidden="1"/>
    </xf>
    <xf numFmtId="169" fontId="8" fillId="0" borderId="0" xfId="0" applyNumberFormat="1" applyFont="1" applyProtection="1">
      <protection hidden="1"/>
    </xf>
    <xf numFmtId="4" fontId="7" fillId="2" borderId="1" xfId="0" applyNumberFormat="1" applyFont="1" applyFill="1" applyBorder="1"/>
    <xf numFmtId="0" fontId="27" fillId="0" borderId="1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165" fontId="8" fillId="0" borderId="8" xfId="0" applyNumberFormat="1" applyFont="1" applyBorder="1" applyAlignment="1">
      <alignment horizontal="right"/>
    </xf>
    <xf numFmtId="0" fontId="27" fillId="0" borderId="4" xfId="0" applyFont="1" applyBorder="1" applyAlignment="1">
      <alignment horizontal="center"/>
    </xf>
    <xf numFmtId="167" fontId="27" fillId="7" borderId="8" xfId="0" applyNumberFormat="1" applyFont="1" applyFill="1" applyBorder="1" applyAlignment="1">
      <alignment horizontal="center"/>
    </xf>
    <xf numFmtId="167" fontId="27" fillId="7" borderId="31" xfId="0" applyNumberFormat="1" applyFont="1" applyFill="1" applyBorder="1" applyAlignment="1">
      <alignment horizontal="center"/>
    </xf>
    <xf numFmtId="4" fontId="7" fillId="9" borderId="1" xfId="0" applyNumberFormat="1" applyFont="1" applyFill="1" applyBorder="1" applyAlignment="1">
      <alignment horizontal="center"/>
    </xf>
    <xf numFmtId="167" fontId="8" fillId="0" borderId="0" xfId="0" applyNumberFormat="1" applyFont="1"/>
    <xf numFmtId="166" fontId="7" fillId="6" borderId="0" xfId="0" applyNumberFormat="1" applyFont="1" applyFill="1"/>
    <xf numFmtId="165" fontId="7" fillId="6" borderId="0" xfId="0" applyNumberFormat="1" applyFont="1" applyFill="1"/>
    <xf numFmtId="0" fontId="16" fillId="0" borderId="0" xfId="0" applyFont="1" applyAlignment="1">
      <alignment horizontal="center"/>
    </xf>
    <xf numFmtId="0" fontId="16" fillId="0" borderId="56" xfId="0" applyFont="1" applyBorder="1" applyAlignment="1">
      <alignment horizontal="center"/>
    </xf>
    <xf numFmtId="0" fontId="21" fillId="0" borderId="0" xfId="0" applyFont="1"/>
    <xf numFmtId="0" fontId="30" fillId="0" borderId="0" xfId="0" applyFont="1"/>
    <xf numFmtId="0" fontId="31" fillId="0" borderId="0" xfId="0" applyFont="1" applyAlignment="1">
      <alignment horizontal="right"/>
    </xf>
    <xf numFmtId="169" fontId="31" fillId="0" borderId="0" xfId="0" applyNumberFormat="1" applyFont="1" applyAlignment="1">
      <alignment horizontal="right"/>
    </xf>
    <xf numFmtId="169" fontId="32" fillId="0" borderId="56" xfId="0" applyNumberFormat="1" applyFont="1" applyBorder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right"/>
    </xf>
    <xf numFmtId="169" fontId="34" fillId="0" borderId="0" xfId="0" applyNumberFormat="1" applyFont="1" applyAlignment="1">
      <alignment horizontal="right"/>
    </xf>
    <xf numFmtId="169" fontId="35" fillId="0" borderId="56" xfId="0" applyNumberFormat="1" applyFont="1" applyBorder="1" applyAlignment="1">
      <alignment horizontal="right"/>
    </xf>
    <xf numFmtId="10" fontId="33" fillId="0" borderId="0" xfId="0" applyNumberFormat="1" applyFont="1" applyAlignment="1">
      <alignment horizontal="right"/>
    </xf>
    <xf numFmtId="170" fontId="31" fillId="0" borderId="0" xfId="0" applyNumberFormat="1" applyFont="1" applyAlignment="1">
      <alignment horizontal="right"/>
    </xf>
    <xf numFmtId="0" fontId="36" fillId="0" borderId="0" xfId="0" applyFont="1" applyAlignment="1">
      <alignment horizontal="right"/>
    </xf>
    <xf numFmtId="170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170" fontId="22" fillId="0" borderId="0" xfId="0" applyNumberFormat="1" applyFont="1" applyAlignment="1">
      <alignment horizontal="right"/>
    </xf>
    <xf numFmtId="0" fontId="39" fillId="0" borderId="0" xfId="0" applyFont="1" applyAlignment="1">
      <alignment horizontal="right"/>
    </xf>
    <xf numFmtId="174" fontId="31" fillId="0" borderId="0" xfId="0" applyNumberFormat="1" applyFont="1" applyAlignment="1">
      <alignment horizontal="right"/>
    </xf>
    <xf numFmtId="170" fontId="30" fillId="0" borderId="0" xfId="0" applyNumberFormat="1" applyFont="1" applyAlignment="1">
      <alignment horizontal="right"/>
    </xf>
    <xf numFmtId="169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174" fontId="20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169" fontId="32" fillId="0" borderId="0" xfId="0" applyNumberFormat="1" applyFont="1"/>
    <xf numFmtId="169" fontId="32" fillId="0" borderId="56" xfId="0" applyNumberFormat="1" applyFont="1" applyBorder="1"/>
    <xf numFmtId="169" fontId="30" fillId="0" borderId="0" xfId="0" applyNumberFormat="1" applyFont="1"/>
    <xf numFmtId="170" fontId="20" fillId="0" borderId="0" xfId="0" applyNumberFormat="1" applyFont="1"/>
    <xf numFmtId="170" fontId="22" fillId="0" borderId="56" xfId="0" applyNumberFormat="1" applyFont="1" applyBorder="1"/>
    <xf numFmtId="170" fontId="22" fillId="0" borderId="0" xfId="0" applyNumberFormat="1" applyFont="1"/>
    <xf numFmtId="169" fontId="31" fillId="0" borderId="0" xfId="0" applyNumberFormat="1" applyFont="1"/>
    <xf numFmtId="0" fontId="31" fillId="0" borderId="0" xfId="0" applyFont="1"/>
    <xf numFmtId="170" fontId="31" fillId="0" borderId="0" xfId="0" applyNumberFormat="1" applyFont="1"/>
    <xf numFmtId="0" fontId="36" fillId="0" borderId="0" xfId="0" applyFont="1"/>
    <xf numFmtId="0" fontId="9" fillId="0" borderId="23" xfId="0" applyFont="1" applyBorder="1" applyAlignment="1">
      <alignment horizontal="center" vertical="center" wrapText="1"/>
    </xf>
    <xf numFmtId="165" fontId="7" fillId="2" borderId="7" xfId="0" applyNumberFormat="1" applyFont="1" applyFill="1" applyBorder="1"/>
    <xf numFmtId="0" fontId="7" fillId="0" borderId="0" xfId="0" applyFont="1" applyAlignment="1">
      <alignment wrapText="1"/>
    </xf>
    <xf numFmtId="0" fontId="7" fillId="2" borderId="7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171" fontId="7" fillId="0" borderId="0" xfId="0" applyNumberFormat="1" applyFont="1" applyAlignment="1">
      <alignment horizontal="center" wrapText="1"/>
    </xf>
    <xf numFmtId="175" fontId="7" fillId="0" borderId="0" xfId="0" applyNumberFormat="1" applyFont="1"/>
    <xf numFmtId="166" fontId="7" fillId="6" borderId="0" xfId="0" applyNumberFormat="1" applyFont="1" applyFill="1" applyAlignment="1">
      <alignment horizontal="center"/>
    </xf>
    <xf numFmtId="0" fontId="8" fillId="2" borderId="0" xfId="0" applyFont="1" applyFill="1"/>
    <xf numFmtId="168" fontId="8" fillId="0" borderId="31" xfId="0" applyNumberFormat="1" applyFont="1" applyBorder="1" applyAlignment="1">
      <alignment horizontal="center" vertical="center"/>
    </xf>
    <xf numFmtId="164" fontId="41" fillId="0" borderId="0" xfId="4" applyFont="1" applyProtection="1">
      <protection locked="0"/>
    </xf>
    <xf numFmtId="165" fontId="41" fillId="0" borderId="0" xfId="0" applyNumberFormat="1" applyFont="1"/>
    <xf numFmtId="2" fontId="42" fillId="0" borderId="1" xfId="0" applyNumberFormat="1" applyFont="1" applyBorder="1"/>
    <xf numFmtId="0" fontId="15" fillId="0" borderId="34" xfId="0" applyFont="1" applyBorder="1" applyAlignment="1">
      <alignment horizontal="center"/>
    </xf>
    <xf numFmtId="0" fontId="7" fillId="0" borderId="17" xfId="0" applyFont="1" applyBorder="1" applyAlignment="1">
      <alignment horizontal="center" wrapText="1"/>
    </xf>
    <xf numFmtId="0" fontId="8" fillId="9" borderId="1" xfId="0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4" fontId="8" fillId="0" borderId="0" xfId="0" applyNumberFormat="1" applyFont="1"/>
    <xf numFmtId="10" fontId="8" fillId="0" borderId="0" xfId="0" applyNumberFormat="1" applyFont="1"/>
    <xf numFmtId="2" fontId="8" fillId="3" borderId="13" xfId="0" applyNumberFormat="1" applyFont="1" applyFill="1" applyBorder="1" applyAlignment="1" applyProtection="1">
      <alignment horizontal="center" wrapText="1"/>
      <protection locked="0"/>
    </xf>
    <xf numFmtId="0" fontId="15" fillId="0" borderId="18" xfId="0" applyFont="1" applyBorder="1" applyAlignment="1">
      <alignment horizontal="center"/>
    </xf>
    <xf numFmtId="4" fontId="43" fillId="9" borderId="1" xfId="0" applyNumberFormat="1" applyFont="1" applyFill="1" applyBorder="1" applyAlignment="1" applyProtection="1">
      <alignment horizontal="center"/>
      <protection locked="0"/>
    </xf>
    <xf numFmtId="4" fontId="7" fillId="0" borderId="17" xfId="0" applyNumberFormat="1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0" fontId="9" fillId="0" borderId="2" xfId="0" applyFont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4" fontId="44" fillId="9" borderId="1" xfId="0" applyNumberFormat="1" applyFont="1" applyFill="1" applyBorder="1" applyAlignment="1" applyProtection="1">
      <alignment horizontal="center"/>
      <protection locked="0"/>
    </xf>
    <xf numFmtId="173" fontId="7" fillId="6" borderId="0" xfId="0" applyNumberFormat="1" applyFont="1" applyFill="1" applyAlignment="1">
      <alignment horizontal="center"/>
    </xf>
    <xf numFmtId="172" fontId="7" fillId="6" borderId="0" xfId="0" applyNumberFormat="1" applyFont="1" applyFill="1"/>
    <xf numFmtId="171" fontId="7" fillId="6" borderId="0" xfId="0" applyNumberFormat="1" applyFont="1" applyFill="1"/>
    <xf numFmtId="176" fontId="7" fillId="0" borderId="0" xfId="0" applyNumberFormat="1" applyFont="1"/>
    <xf numFmtId="176" fontId="7" fillId="0" borderId="0" xfId="0" applyNumberFormat="1" applyFont="1" applyAlignment="1">
      <alignment wrapText="1"/>
    </xf>
    <xf numFmtId="0" fontId="9" fillId="5" borderId="5" xfId="0" applyFont="1" applyFill="1" applyBorder="1" applyAlignment="1">
      <alignment horizontal="center" vertical="center" wrapText="1"/>
    </xf>
    <xf numFmtId="4" fontId="26" fillId="7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70" fontId="0" fillId="0" borderId="0" xfId="0" applyNumberFormat="1"/>
    <xf numFmtId="170" fontId="36" fillId="0" borderId="0" xfId="0" applyNumberFormat="1" applyFont="1"/>
    <xf numFmtId="0" fontId="8" fillId="2" borderId="1" xfId="0" applyFont="1" applyFill="1" applyBorder="1"/>
    <xf numFmtId="0" fontId="8" fillId="0" borderId="1" xfId="0" applyFont="1" applyBorder="1"/>
    <xf numFmtId="0" fontId="44" fillId="2" borderId="1" xfId="0" applyFont="1" applyFill="1" applyBorder="1" applyAlignment="1">
      <alignment horizontal="center" vertical="center"/>
    </xf>
    <xf numFmtId="0" fontId="42" fillId="2" borderId="0" xfId="0" applyFont="1" applyFill="1"/>
    <xf numFmtId="0" fontId="42" fillId="0" borderId="1" xfId="0" applyFont="1" applyBorder="1"/>
    <xf numFmtId="0" fontId="8" fillId="0" borderId="1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7" fillId="9" borderId="1" xfId="0" applyNumberFormat="1" applyFont="1" applyFill="1" applyBorder="1"/>
    <xf numFmtId="165" fontId="7" fillId="0" borderId="7" xfId="0" applyNumberFormat="1" applyFont="1" applyBorder="1" applyAlignment="1" applyProtection="1">
      <alignment horizontal="center"/>
      <protection hidden="1"/>
    </xf>
    <xf numFmtId="165" fontId="7" fillId="0" borderId="1" xfId="0" applyNumberFormat="1" applyFont="1" applyBorder="1" applyAlignment="1" applyProtection="1">
      <alignment horizontal="center"/>
      <protection hidden="1"/>
    </xf>
    <xf numFmtId="165" fontId="7" fillId="0" borderId="17" xfId="0" applyNumberFormat="1" applyFont="1" applyBorder="1" applyAlignment="1" applyProtection="1">
      <alignment horizontal="center"/>
      <protection hidden="1"/>
    </xf>
    <xf numFmtId="165" fontId="7" fillId="0" borderId="8" xfId="0" applyNumberFormat="1" applyFont="1" applyBorder="1" applyAlignment="1" applyProtection="1">
      <alignment horizontal="center"/>
      <protection hidden="1"/>
    </xf>
    <xf numFmtId="165" fontId="7" fillId="0" borderId="18" xfId="0" applyNumberFormat="1" applyFont="1" applyBorder="1" applyAlignment="1" applyProtection="1">
      <alignment horizontal="center"/>
      <protection hidden="1"/>
    </xf>
    <xf numFmtId="165" fontId="9" fillId="0" borderId="24" xfId="0" applyNumberFormat="1" applyFont="1" applyBorder="1" applyAlignment="1" applyProtection="1">
      <alignment horizontal="center"/>
      <protection hidden="1"/>
    </xf>
    <xf numFmtId="165" fontId="9" fillId="0" borderId="25" xfId="0" applyNumberFormat="1" applyFont="1" applyBorder="1" applyAlignment="1" applyProtection="1">
      <alignment horizontal="center"/>
      <protection hidden="1"/>
    </xf>
    <xf numFmtId="165" fontId="9" fillId="0" borderId="15" xfId="0" applyNumberFormat="1" applyFont="1" applyBorder="1" applyAlignment="1" applyProtection="1">
      <alignment horizontal="center"/>
      <protection hidden="1"/>
    </xf>
    <xf numFmtId="165" fontId="9" fillId="0" borderId="23" xfId="0" applyNumberFormat="1" applyFont="1" applyBorder="1" applyAlignment="1" applyProtection="1">
      <alignment horizontal="center"/>
      <protection hidden="1"/>
    </xf>
    <xf numFmtId="165" fontId="7" fillId="0" borderId="19" xfId="0" applyNumberFormat="1" applyFont="1" applyBorder="1" applyAlignment="1" applyProtection="1">
      <alignment horizontal="center"/>
      <protection hidden="1"/>
    </xf>
    <xf numFmtId="165" fontId="7" fillId="0" borderId="34" xfId="0" applyNumberFormat="1" applyFont="1" applyBorder="1" applyAlignment="1" applyProtection="1">
      <alignment horizontal="center"/>
      <protection hidden="1"/>
    </xf>
    <xf numFmtId="165" fontId="7" fillId="0" borderId="44" xfId="0" applyNumberFormat="1" applyFont="1" applyBorder="1" applyAlignment="1" applyProtection="1">
      <alignment horizontal="center"/>
      <protection hidden="1"/>
    </xf>
    <xf numFmtId="4" fontId="7" fillId="2" borderId="7" xfId="0" applyNumberFormat="1" applyFont="1" applyFill="1" applyBorder="1" applyAlignment="1" applyProtection="1">
      <alignment horizontal="center"/>
      <protection hidden="1"/>
    </xf>
    <xf numFmtId="4" fontId="7" fillId="2" borderId="1" xfId="0" applyNumberFormat="1" applyFont="1" applyFill="1" applyBorder="1" applyAlignment="1" applyProtection="1">
      <alignment horizontal="center"/>
      <protection hidden="1"/>
    </xf>
    <xf numFmtId="4" fontId="7" fillId="10" borderId="8" xfId="0" applyNumberFormat="1" applyFont="1" applyFill="1" applyBorder="1" applyAlignment="1" applyProtection="1">
      <alignment horizontal="center"/>
      <protection hidden="1"/>
    </xf>
    <xf numFmtId="4" fontId="7" fillId="2" borderId="17" xfId="0" applyNumberFormat="1" applyFont="1" applyFill="1" applyBorder="1" applyAlignment="1" applyProtection="1">
      <alignment horizontal="center"/>
      <protection hidden="1"/>
    </xf>
    <xf numFmtId="4" fontId="7" fillId="10" borderId="8" xfId="0" applyNumberFormat="1" applyFont="1" applyFill="1" applyBorder="1" applyProtection="1">
      <protection hidden="1"/>
    </xf>
    <xf numFmtId="4" fontId="15" fillId="0" borderId="24" xfId="0" applyNumberFormat="1" applyFont="1" applyBorder="1" applyAlignment="1" applyProtection="1">
      <alignment horizontal="center"/>
      <protection hidden="1"/>
    </xf>
    <xf numFmtId="4" fontId="15" fillId="10" borderId="15" xfId="0" applyNumberFormat="1" applyFont="1" applyFill="1" applyBorder="1" applyAlignment="1" applyProtection="1">
      <alignment horizontal="center"/>
      <protection hidden="1"/>
    </xf>
    <xf numFmtId="4" fontId="15" fillId="0" borderId="23" xfId="0" applyNumberFormat="1" applyFont="1" applyBorder="1" applyAlignment="1" applyProtection="1">
      <alignment horizontal="center"/>
      <protection hidden="1"/>
    </xf>
    <xf numFmtId="4" fontId="7" fillId="0" borderId="1" xfId="0" applyNumberFormat="1" applyFont="1" applyBorder="1" applyProtection="1">
      <protection hidden="1"/>
    </xf>
    <xf numFmtId="4" fontId="7" fillId="2" borderId="1" xfId="0" applyNumberFormat="1" applyFont="1" applyFill="1" applyBorder="1" applyProtection="1">
      <protection hidden="1"/>
    </xf>
    <xf numFmtId="165" fontId="7" fillId="0" borderId="1" xfId="0" applyNumberFormat="1" applyFont="1" applyBorder="1" applyProtection="1">
      <protection hidden="1"/>
    </xf>
    <xf numFmtId="165" fontId="8" fillId="7" borderId="8" xfId="0" applyNumberFormat="1" applyFont="1" applyFill="1" applyBorder="1" applyAlignment="1" applyProtection="1">
      <alignment horizontal="center"/>
      <protection locked="0" hidden="1"/>
    </xf>
    <xf numFmtId="3" fontId="7" fillId="9" borderId="1" xfId="0" applyNumberFormat="1" applyFont="1" applyFill="1" applyBorder="1"/>
    <xf numFmtId="3" fontId="15" fillId="0" borderId="1" xfId="0" applyNumberFormat="1" applyFont="1" applyBorder="1"/>
    <xf numFmtId="3" fontId="7" fillId="0" borderId="1" xfId="0" applyNumberFormat="1" applyFont="1" applyBorder="1" applyProtection="1">
      <protection hidden="1"/>
    </xf>
    <xf numFmtId="10" fontId="8" fillId="0" borderId="0" xfId="6" applyNumberFormat="1" applyFont="1" applyProtection="1">
      <protection locked="0"/>
    </xf>
    <xf numFmtId="177" fontId="7" fillId="0" borderId="0" xfId="0" applyNumberFormat="1" applyFont="1"/>
    <xf numFmtId="170" fontId="8" fillId="0" borderId="7" xfId="0" applyNumberFormat="1" applyFont="1" applyBorder="1" applyAlignment="1" applyProtection="1">
      <alignment horizontal="right"/>
      <protection locked="0" hidden="1"/>
    </xf>
    <xf numFmtId="170" fontId="29" fillId="3" borderId="15" xfId="0" applyNumberFormat="1" applyFont="1" applyFill="1" applyBorder="1" applyAlignment="1" applyProtection="1">
      <alignment horizontal="center"/>
      <protection locked="0"/>
    </xf>
    <xf numFmtId="170" fontId="29" fillId="6" borderId="15" xfId="0" applyNumberFormat="1" applyFont="1" applyFill="1" applyBorder="1" applyAlignment="1" applyProtection="1">
      <alignment horizontal="center"/>
      <protection locked="0"/>
    </xf>
    <xf numFmtId="0" fontId="9" fillId="0" borderId="6" xfId="0" applyFont="1" applyBorder="1" applyAlignment="1">
      <alignment horizontal="center"/>
    </xf>
    <xf numFmtId="0" fontId="15" fillId="0" borderId="0" xfId="0" applyFont="1"/>
    <xf numFmtId="4" fontId="15" fillId="0" borderId="0" xfId="0" applyNumberFormat="1" applyFont="1"/>
    <xf numFmtId="0" fontId="27" fillId="2" borderId="0" xfId="0" applyFont="1" applyFill="1"/>
    <xf numFmtId="4" fontId="27" fillId="6" borderId="1" xfId="0" applyNumberFormat="1" applyFont="1" applyFill="1" applyBorder="1" applyAlignment="1" applyProtection="1">
      <alignment horizontal="center"/>
      <protection locked="0"/>
    </xf>
    <xf numFmtId="2" fontId="29" fillId="6" borderId="15" xfId="0" applyNumberFormat="1" applyFont="1" applyFill="1" applyBorder="1" applyAlignment="1" applyProtection="1">
      <alignment horizontal="center"/>
      <protection locked="0"/>
    </xf>
    <xf numFmtId="0" fontId="7" fillId="6" borderId="0" xfId="0" applyFont="1" applyFill="1"/>
    <xf numFmtId="4" fontId="7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5" fillId="0" borderId="3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8" fontId="7" fillId="0" borderId="7" xfId="0" applyNumberFormat="1" applyFont="1" applyBorder="1" applyAlignment="1">
      <alignment horizontal="center" vertical="center"/>
    </xf>
    <xf numFmtId="4" fontId="15" fillId="0" borderId="8" xfId="0" applyNumberFormat="1" applyFont="1" applyBorder="1" applyAlignment="1">
      <alignment horizontal="center" vertical="center" wrapText="1"/>
    </xf>
    <xf numFmtId="4" fontId="15" fillId="0" borderId="18" xfId="0" applyNumberFormat="1" applyFont="1" applyBorder="1" applyAlignment="1">
      <alignment horizontal="center" vertical="center" wrapText="1"/>
    </xf>
    <xf numFmtId="4" fontId="15" fillId="0" borderId="7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3" fontId="7" fillId="9" borderId="1" xfId="0" applyNumberFormat="1" applyFont="1" applyFill="1" applyBorder="1" applyProtection="1">
      <protection locked="0"/>
    </xf>
    <xf numFmtId="164" fontId="8" fillId="0" borderId="0" xfId="0" applyNumberFormat="1" applyFont="1" applyProtection="1">
      <protection locked="0"/>
    </xf>
    <xf numFmtId="0" fontId="9" fillId="10" borderId="32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9" xfId="0" applyBorder="1"/>
    <xf numFmtId="2" fontId="0" fillId="0" borderId="10" xfId="0" applyNumberFormat="1" applyBorder="1"/>
    <xf numFmtId="9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166" fontId="0" fillId="0" borderId="20" xfId="0" applyNumberFormat="1" applyBorder="1"/>
    <xf numFmtId="2" fontId="0" fillId="0" borderId="1" xfId="0" applyNumberFormat="1" applyBorder="1"/>
    <xf numFmtId="2" fontId="46" fillId="0" borderId="8" xfId="0" applyNumberFormat="1" applyFont="1" applyBorder="1"/>
    <xf numFmtId="0" fontId="0" fillId="0" borderId="7" xfId="0" applyBorder="1"/>
    <xf numFmtId="165" fontId="0" fillId="0" borderId="7" xfId="0" applyNumberFormat="1" applyBorder="1"/>
    <xf numFmtId="166" fontId="0" fillId="0" borderId="1" xfId="0" applyNumberFormat="1" applyBorder="1"/>
    <xf numFmtId="166" fontId="0" fillId="0" borderId="10" xfId="0" applyNumberFormat="1" applyBorder="1"/>
    <xf numFmtId="2" fontId="0" fillId="0" borderId="0" xfId="0" applyNumberFormat="1"/>
    <xf numFmtId="2" fontId="46" fillId="0" borderId="0" xfId="0" applyNumberFormat="1" applyFont="1"/>
    <xf numFmtId="170" fontId="8" fillId="0" borderId="0" xfId="0" applyNumberFormat="1" applyFont="1" applyProtection="1">
      <protection locked="0"/>
    </xf>
    <xf numFmtId="9" fontId="0" fillId="0" borderId="0" xfId="6" applyFont="1"/>
    <xf numFmtId="0" fontId="50" fillId="15" borderId="57" xfId="0" applyFont="1" applyFill="1" applyBorder="1" applyAlignment="1">
      <alignment horizontal="center" vertical="center" wrapText="1"/>
    </xf>
    <xf numFmtId="0" fontId="50" fillId="15" borderId="59" xfId="0" applyFont="1" applyFill="1" applyBorder="1" applyAlignment="1">
      <alignment horizontal="center" vertical="center" wrapText="1"/>
    </xf>
    <xf numFmtId="0" fontId="50" fillId="15" borderId="61" xfId="0" applyFont="1" applyFill="1" applyBorder="1" applyAlignment="1">
      <alignment horizontal="center" vertical="center" wrapText="1"/>
    </xf>
    <xf numFmtId="0" fontId="50" fillId="15" borderId="25" xfId="0" applyFont="1" applyFill="1" applyBorder="1" applyAlignment="1">
      <alignment horizontal="center" vertical="center" wrapText="1"/>
    </xf>
    <xf numFmtId="179" fontId="0" fillId="0" borderId="0" xfId="0" applyNumberFormat="1"/>
    <xf numFmtId="17" fontId="50" fillId="16" borderId="26" xfId="0" applyNumberFormat="1" applyFont="1" applyFill="1" applyBorder="1"/>
    <xf numFmtId="179" fontId="50" fillId="16" borderId="23" xfId="4" applyNumberFormat="1" applyFont="1" applyFill="1" applyBorder="1" applyAlignment="1" applyProtection="1">
      <alignment horizontal="center"/>
      <protection hidden="1"/>
    </xf>
    <xf numFmtId="179" fontId="50" fillId="16" borderId="25" xfId="4" applyNumberFormat="1" applyFont="1" applyFill="1" applyBorder="1" applyAlignment="1" applyProtection="1">
      <alignment horizontal="center"/>
      <protection hidden="1"/>
    </xf>
    <xf numFmtId="179" fontId="50" fillId="16" borderId="26" xfId="4" applyNumberFormat="1" applyFont="1" applyFill="1" applyBorder="1" applyAlignment="1" applyProtection="1">
      <alignment horizontal="center"/>
      <protection hidden="1"/>
    </xf>
    <xf numFmtId="178" fontId="7" fillId="2" borderId="37" xfId="0" applyNumberFormat="1" applyFont="1" applyFill="1" applyBorder="1"/>
    <xf numFmtId="0" fontId="0" fillId="2" borderId="0" xfId="0" applyFill="1"/>
    <xf numFmtId="0" fontId="9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45" xfId="0" applyFont="1" applyBorder="1" applyAlignment="1">
      <alignment vertical="center"/>
    </xf>
    <xf numFmtId="0" fontId="9" fillId="0" borderId="46" xfId="0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58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3" fontId="7" fillId="0" borderId="7" xfId="0" applyNumberFormat="1" applyFont="1" applyBorder="1" applyAlignment="1" applyProtection="1">
      <alignment horizontal="center" vertical="center"/>
      <protection hidden="1"/>
    </xf>
    <xf numFmtId="3" fontId="7" fillId="0" borderId="18" xfId="0" applyNumberFormat="1" applyFont="1" applyBorder="1" applyAlignment="1" applyProtection="1">
      <alignment horizontal="center" vertical="center"/>
      <protection hidden="1"/>
    </xf>
    <xf numFmtId="3" fontId="7" fillId="0" borderId="1" xfId="0" applyNumberFormat="1" applyFont="1" applyBorder="1" applyAlignment="1" applyProtection="1">
      <alignment horizontal="center" vertical="center"/>
      <protection hidden="1"/>
    </xf>
    <xf numFmtId="3" fontId="7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8" xfId="0" applyNumberFormat="1" applyFont="1" applyBorder="1" applyAlignment="1" applyProtection="1">
      <alignment horizontal="center" vertical="center"/>
      <protection hidden="1"/>
    </xf>
    <xf numFmtId="3" fontId="7" fillId="0" borderId="8" xfId="0" applyNumberFormat="1" applyFont="1" applyBorder="1" applyAlignment="1" applyProtection="1">
      <alignment horizontal="center" vertical="center"/>
      <protection hidden="1"/>
    </xf>
    <xf numFmtId="165" fontId="7" fillId="0" borderId="0" xfId="0" applyNumberFormat="1" applyFont="1" applyAlignment="1" applyProtection="1">
      <alignment horizontal="center" vertical="center"/>
      <protection hidden="1"/>
    </xf>
    <xf numFmtId="3" fontId="7" fillId="7" borderId="1" xfId="0" applyNumberFormat="1" applyFont="1" applyFill="1" applyBorder="1" applyAlignment="1" applyProtection="1">
      <alignment horizontal="center" vertical="center"/>
      <protection hidden="1"/>
    </xf>
    <xf numFmtId="3" fontId="7" fillId="10" borderId="17" xfId="0" applyNumberFormat="1" applyFont="1" applyFill="1" applyBorder="1" applyAlignment="1" applyProtection="1">
      <alignment horizontal="center" vertical="center"/>
      <protection hidden="1"/>
    </xf>
    <xf numFmtId="3" fontId="7" fillId="11" borderId="1" xfId="0" applyNumberFormat="1" applyFont="1" applyFill="1" applyBorder="1" applyAlignment="1" applyProtection="1">
      <alignment horizontal="center" vertical="center"/>
      <protection hidden="1"/>
    </xf>
    <xf numFmtId="3" fontId="7" fillId="12" borderId="1" xfId="0" applyNumberFormat="1" applyFont="1" applyFill="1" applyBorder="1" applyAlignment="1" applyProtection="1">
      <alignment horizontal="center" vertical="center"/>
      <protection hidden="1"/>
    </xf>
    <xf numFmtId="165" fontId="7" fillId="0" borderId="0" xfId="0" applyNumberFormat="1" applyFont="1" applyAlignment="1">
      <alignment vertical="center"/>
    </xf>
    <xf numFmtId="4" fontId="7" fillId="0" borderId="1" xfId="0" applyNumberFormat="1" applyFont="1" applyBorder="1" applyAlignment="1">
      <alignment vertical="center"/>
    </xf>
    <xf numFmtId="4" fontId="7" fillId="0" borderId="8" xfId="0" applyNumberFormat="1" applyFont="1" applyBorder="1" applyAlignment="1">
      <alignment vertical="center"/>
    </xf>
    <xf numFmtId="4" fontId="7" fillId="0" borderId="7" xfId="0" applyNumberFormat="1" applyFont="1" applyBorder="1" applyAlignment="1">
      <alignment vertical="center"/>
    </xf>
    <xf numFmtId="4" fontId="7" fillId="0" borderId="18" xfId="0" applyNumberFormat="1" applyFont="1" applyBorder="1" applyAlignment="1">
      <alignment vertical="center"/>
    </xf>
    <xf numFmtId="4" fontId="7" fillId="2" borderId="7" xfId="0" applyNumberFormat="1" applyFont="1" applyFill="1" applyBorder="1" applyAlignment="1" applyProtection="1">
      <alignment vertical="center"/>
      <protection hidden="1"/>
    </xf>
    <xf numFmtId="4" fontId="7" fillId="0" borderId="1" xfId="0" applyNumberFormat="1" applyFont="1" applyBorder="1" applyAlignment="1" applyProtection="1">
      <alignment vertical="center"/>
      <protection hidden="1"/>
    </xf>
    <xf numFmtId="4" fontId="7" fillId="9" borderId="8" xfId="0" applyNumberFormat="1" applyFont="1" applyFill="1" applyBorder="1" applyAlignment="1">
      <alignment vertical="center"/>
    </xf>
    <xf numFmtId="4" fontId="7" fillId="0" borderId="18" xfId="0" applyNumberFormat="1" applyFont="1" applyBorder="1" applyAlignment="1" applyProtection="1">
      <alignment vertical="center"/>
      <protection hidden="1"/>
    </xf>
    <xf numFmtId="4" fontId="7" fillId="2" borderId="8" xfId="0" applyNumberFormat="1" applyFont="1" applyFill="1" applyBorder="1" applyAlignment="1" applyProtection="1">
      <alignment vertical="center"/>
      <protection hidden="1"/>
    </xf>
    <xf numFmtId="4" fontId="7" fillId="0" borderId="0" xfId="0" applyNumberFormat="1" applyFont="1" applyAlignment="1">
      <alignment vertical="center"/>
    </xf>
    <xf numFmtId="165" fontId="7" fillId="0" borderId="1" xfId="0" applyNumberFormat="1" applyFont="1" applyBorder="1" applyAlignment="1" applyProtection="1">
      <alignment vertical="center"/>
      <protection hidden="1"/>
    </xf>
    <xf numFmtId="4" fontId="7" fillId="0" borderId="8" xfId="0" applyNumberFormat="1" applyFont="1" applyBorder="1" applyAlignment="1" applyProtection="1">
      <alignment vertical="center"/>
      <protection hidden="1"/>
    </xf>
    <xf numFmtId="3" fontId="7" fillId="9" borderId="1" xfId="0" applyNumberFormat="1" applyFont="1" applyFill="1" applyBorder="1" applyAlignment="1" applyProtection="1">
      <alignment vertical="center"/>
      <protection locked="0"/>
    </xf>
    <xf numFmtId="3" fontId="15" fillId="0" borderId="1" xfId="0" applyNumberFormat="1" applyFont="1" applyBorder="1" applyAlignment="1">
      <alignment vertical="center"/>
    </xf>
    <xf numFmtId="3" fontId="7" fillId="9" borderId="1" xfId="0" applyNumberFormat="1" applyFont="1" applyFill="1" applyBorder="1" applyAlignment="1">
      <alignment vertical="center"/>
    </xf>
    <xf numFmtId="4" fontId="7" fillId="9" borderId="1" xfId="0" applyNumberFormat="1" applyFont="1" applyFill="1" applyBorder="1" applyAlignment="1" applyProtection="1">
      <alignment vertical="center"/>
      <protection locked="0"/>
    </xf>
    <xf numFmtId="4" fontId="15" fillId="0" borderId="1" xfId="0" applyNumberFormat="1" applyFont="1" applyBorder="1" applyAlignment="1">
      <alignment vertical="center"/>
    </xf>
    <xf numFmtId="3" fontId="7" fillId="0" borderId="0" xfId="0" applyNumberFormat="1" applyFont="1" applyAlignment="1">
      <alignment vertical="center"/>
    </xf>
    <xf numFmtId="4" fontId="7" fillId="9" borderId="18" xfId="0" applyNumberFormat="1" applyFont="1" applyFill="1" applyBorder="1" applyAlignment="1">
      <alignment vertical="center"/>
    </xf>
    <xf numFmtId="3" fontId="9" fillId="0" borderId="24" xfId="0" applyNumberFormat="1" applyFont="1" applyBorder="1" applyAlignment="1" applyProtection="1">
      <alignment horizontal="center" vertical="center"/>
      <protection hidden="1"/>
    </xf>
    <xf numFmtId="3" fontId="9" fillId="0" borderId="25" xfId="0" applyNumberFormat="1" applyFont="1" applyBorder="1" applyAlignment="1" applyProtection="1">
      <alignment horizontal="center" vertical="center"/>
      <protection hidden="1"/>
    </xf>
    <xf numFmtId="3" fontId="9" fillId="0" borderId="15" xfId="0" applyNumberFormat="1" applyFont="1" applyBorder="1" applyAlignment="1" applyProtection="1">
      <alignment horizontal="center" vertical="center"/>
      <protection hidden="1"/>
    </xf>
    <xf numFmtId="3" fontId="15" fillId="0" borderId="15" xfId="0" applyNumberFormat="1" applyFont="1" applyBorder="1" applyAlignment="1" applyProtection="1">
      <alignment horizontal="center" vertical="center"/>
      <protection hidden="1"/>
    </xf>
    <xf numFmtId="0" fontId="7" fillId="0" borderId="50" xfId="0" applyFont="1" applyBorder="1" applyAlignment="1">
      <alignment vertical="center"/>
    </xf>
    <xf numFmtId="3" fontId="9" fillId="7" borderId="59" xfId="0" applyNumberFormat="1" applyFont="1" applyFill="1" applyBorder="1" applyAlignment="1" applyProtection="1">
      <alignment horizontal="center" vertical="center"/>
      <protection hidden="1"/>
    </xf>
    <xf numFmtId="3" fontId="9" fillId="10" borderId="51" xfId="0" applyNumberFormat="1" applyFont="1" applyFill="1" applyBorder="1" applyAlignment="1" applyProtection="1">
      <alignment horizontal="center" vertical="center"/>
      <protection hidden="1"/>
    </xf>
    <xf numFmtId="3" fontId="9" fillId="10" borderId="12" xfId="0" applyNumberFormat="1" applyFont="1" applyFill="1" applyBorder="1" applyAlignment="1" applyProtection="1">
      <alignment horizontal="center" vertical="center"/>
      <protection hidden="1"/>
    </xf>
    <xf numFmtId="3" fontId="9" fillId="10" borderId="14" xfId="0" applyNumberFormat="1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180" fontId="7" fillId="0" borderId="0" xfId="0" applyNumberFormat="1" applyFont="1" applyAlignment="1">
      <alignment vertical="center"/>
    </xf>
    <xf numFmtId="165" fontId="7" fillId="0" borderId="62" xfId="0" applyNumberFormat="1" applyFont="1" applyBorder="1" applyAlignment="1">
      <alignment horizontal="center" vertical="center"/>
    </xf>
    <xf numFmtId="10" fontId="15" fillId="0" borderId="1" xfId="6" applyNumberFormat="1" applyFont="1" applyBorder="1" applyAlignment="1">
      <alignment horizontal="center" vertical="center"/>
    </xf>
    <xf numFmtId="10" fontId="15" fillId="0" borderId="1" xfId="4" applyNumberFormat="1" applyFont="1" applyBorder="1" applyAlignment="1">
      <alignment horizontal="center" vertical="center"/>
    </xf>
    <xf numFmtId="3" fontId="9" fillId="0" borderId="1" xfId="0" applyNumberFormat="1" applyFont="1" applyBorder="1" applyAlignment="1" applyProtection="1">
      <alignment horizontal="center" vertical="center"/>
      <protection hidden="1"/>
    </xf>
    <xf numFmtId="3" fontId="15" fillId="0" borderId="1" xfId="0" applyNumberFormat="1" applyFont="1" applyBorder="1" applyAlignment="1" applyProtection="1">
      <alignment horizontal="center" vertical="center"/>
      <protection hidden="1"/>
    </xf>
    <xf numFmtId="3" fontId="9" fillId="7" borderId="1" xfId="0" applyNumberFormat="1" applyFont="1" applyFill="1" applyBorder="1" applyAlignment="1" applyProtection="1">
      <alignment horizontal="center" vertical="center"/>
      <protection hidden="1"/>
    </xf>
    <xf numFmtId="3" fontId="9" fillId="10" borderId="1" xfId="0" applyNumberFormat="1" applyFont="1" applyFill="1" applyBorder="1" applyAlignment="1" applyProtection="1">
      <alignment horizontal="center" vertical="center"/>
      <protection hidden="1"/>
    </xf>
    <xf numFmtId="10" fontId="9" fillId="7" borderId="1" xfId="6" applyNumberFormat="1" applyFont="1" applyFill="1" applyBorder="1" applyAlignment="1" applyProtection="1">
      <alignment horizontal="center" vertical="center"/>
      <protection hidden="1"/>
    </xf>
    <xf numFmtId="10" fontId="9" fillId="10" borderId="1" xfId="6" applyNumberFormat="1" applyFont="1" applyFill="1" applyBorder="1" applyAlignment="1" applyProtection="1">
      <alignment horizontal="center" vertical="center"/>
      <protection hidden="1"/>
    </xf>
    <xf numFmtId="10" fontId="15" fillId="0" borderId="1" xfId="6" applyNumberFormat="1" applyFont="1" applyBorder="1" applyAlignment="1" applyProtection="1">
      <alignment horizontal="center" vertical="center"/>
      <protection hidden="1"/>
    </xf>
    <xf numFmtId="10" fontId="9" fillId="0" borderId="1" xfId="6" applyNumberFormat="1" applyFont="1" applyBorder="1" applyAlignment="1" applyProtection="1">
      <alignment horizontal="center" vertical="center"/>
      <protection hidden="1"/>
    </xf>
    <xf numFmtId="0" fontId="5" fillId="0" borderId="0" xfId="13" applyAlignment="1">
      <alignment vertical="center"/>
    </xf>
    <xf numFmtId="0" fontId="51" fillId="0" borderId="0" xfId="13" applyFont="1" applyAlignment="1">
      <alignment vertical="center"/>
    </xf>
    <xf numFmtId="0" fontId="46" fillId="0" borderId="23" xfId="13" applyFont="1" applyBorder="1" applyAlignment="1">
      <alignment horizontal="center" vertical="center"/>
    </xf>
    <xf numFmtId="0" fontId="46" fillId="0" borderId="25" xfId="13" applyFont="1" applyBorder="1" applyAlignment="1">
      <alignment horizontal="center" vertical="center"/>
    </xf>
    <xf numFmtId="0" fontId="46" fillId="0" borderId="63" xfId="13" applyFont="1" applyBorder="1" applyAlignment="1">
      <alignment horizontal="center" vertical="center" wrapText="1"/>
    </xf>
    <xf numFmtId="0" fontId="52" fillId="0" borderId="26" xfId="13" applyFont="1" applyBorder="1" applyAlignment="1">
      <alignment horizontal="center" vertical="center" wrapText="1"/>
    </xf>
    <xf numFmtId="0" fontId="46" fillId="0" borderId="15" xfId="13" applyFont="1" applyBorder="1" applyAlignment="1">
      <alignment horizontal="center" vertical="center" wrapText="1"/>
    </xf>
    <xf numFmtId="17" fontId="5" fillId="0" borderId="44" xfId="13" applyNumberFormat="1" applyBorder="1" applyAlignment="1">
      <alignment vertical="center"/>
    </xf>
    <xf numFmtId="3" fontId="5" fillId="0" borderId="4" xfId="13" applyNumberFormat="1" applyBorder="1" applyAlignment="1">
      <alignment vertical="center"/>
    </xf>
    <xf numFmtId="3" fontId="5" fillId="0" borderId="5" xfId="13" applyNumberFormat="1" applyBorder="1" applyAlignment="1">
      <alignment vertical="center"/>
    </xf>
    <xf numFmtId="3" fontId="5" fillId="0" borderId="6" xfId="13" applyNumberFormat="1" applyBorder="1" applyAlignment="1">
      <alignment vertical="center"/>
    </xf>
    <xf numFmtId="3" fontId="52" fillId="0" borderId="44" xfId="13" applyNumberFormat="1" applyFont="1" applyBorder="1" applyAlignment="1">
      <alignment horizontal="center" vertical="center"/>
    </xf>
    <xf numFmtId="0" fontId="5" fillId="0" borderId="4" xfId="13" applyBorder="1" applyAlignment="1">
      <alignment vertical="center"/>
    </xf>
    <xf numFmtId="0" fontId="5" fillId="0" borderId="5" xfId="13" applyBorder="1" applyAlignment="1">
      <alignment vertical="center"/>
    </xf>
    <xf numFmtId="0" fontId="5" fillId="0" borderId="6" xfId="13" applyBorder="1" applyAlignment="1">
      <alignment vertical="center"/>
    </xf>
    <xf numFmtId="17" fontId="5" fillId="0" borderId="37" xfId="13" applyNumberFormat="1" applyBorder="1" applyAlignment="1">
      <alignment vertical="center"/>
    </xf>
    <xf numFmtId="3" fontId="5" fillId="0" borderId="7" xfId="13" applyNumberFormat="1" applyBorder="1" applyAlignment="1">
      <alignment vertical="center"/>
    </xf>
    <xf numFmtId="3" fontId="5" fillId="0" borderId="1" xfId="13" applyNumberFormat="1" applyBorder="1" applyAlignment="1">
      <alignment vertical="center"/>
    </xf>
    <xf numFmtId="3" fontId="5" fillId="0" borderId="8" xfId="13" applyNumberFormat="1" applyBorder="1" applyAlignment="1">
      <alignment vertical="center"/>
    </xf>
    <xf numFmtId="3" fontId="52" fillId="0" borderId="37" xfId="13" applyNumberFormat="1" applyFont="1" applyBorder="1" applyAlignment="1">
      <alignment horizontal="center" vertical="center"/>
    </xf>
    <xf numFmtId="0" fontId="5" fillId="0" borderId="1" xfId="13" applyBorder="1" applyAlignment="1">
      <alignment vertical="center"/>
    </xf>
    <xf numFmtId="17" fontId="5" fillId="0" borderId="43" xfId="13" applyNumberFormat="1" applyBorder="1" applyAlignment="1">
      <alignment vertical="center"/>
    </xf>
    <xf numFmtId="3" fontId="5" fillId="0" borderId="9" xfId="13" applyNumberFormat="1" applyBorder="1" applyAlignment="1">
      <alignment vertical="center"/>
    </xf>
    <xf numFmtId="3" fontId="5" fillId="0" borderId="10" xfId="13" applyNumberFormat="1" applyBorder="1" applyAlignment="1">
      <alignment vertical="center"/>
    </xf>
    <xf numFmtId="3" fontId="5" fillId="0" borderId="11" xfId="13" applyNumberFormat="1" applyBorder="1" applyAlignment="1">
      <alignment vertical="center"/>
    </xf>
    <xf numFmtId="3" fontId="52" fillId="0" borderId="43" xfId="13" applyNumberFormat="1" applyFont="1" applyBorder="1" applyAlignment="1">
      <alignment horizontal="center" vertical="center"/>
    </xf>
    <xf numFmtId="0" fontId="5" fillId="0" borderId="10" xfId="13" applyBorder="1" applyAlignment="1">
      <alignment vertical="center"/>
    </xf>
    <xf numFmtId="0" fontId="53" fillId="0" borderId="0" xfId="13" quotePrefix="1" applyFont="1" applyAlignment="1">
      <alignment vertical="center"/>
    </xf>
    <xf numFmtId="181" fontId="9" fillId="0" borderId="1" xfId="0" applyNumberFormat="1" applyFont="1" applyBorder="1" applyAlignment="1" applyProtection="1">
      <alignment horizontal="center" vertical="center"/>
      <protection hidden="1"/>
    </xf>
    <xf numFmtId="181" fontId="15" fillId="0" borderId="1" xfId="0" applyNumberFormat="1" applyFont="1" applyBorder="1" applyAlignment="1" applyProtection="1">
      <alignment horizontal="center" vertical="center"/>
      <protection hidden="1"/>
    </xf>
    <xf numFmtId="181" fontId="9" fillId="7" borderId="1" xfId="0" applyNumberFormat="1" applyFont="1" applyFill="1" applyBorder="1" applyAlignment="1" applyProtection="1">
      <alignment horizontal="center" vertical="center"/>
      <protection hidden="1"/>
    </xf>
    <xf numFmtId="181" fontId="9" fillId="10" borderId="1" xfId="0" applyNumberFormat="1" applyFont="1" applyFill="1" applyBorder="1" applyAlignment="1" applyProtection="1">
      <alignment horizontal="center" vertical="center"/>
      <protection hidden="1"/>
    </xf>
    <xf numFmtId="9" fontId="50" fillId="15" borderId="25" xfId="6" applyFont="1" applyFill="1" applyBorder="1" applyAlignment="1">
      <alignment horizontal="center" vertical="center" wrapText="1"/>
    </xf>
    <xf numFmtId="179" fontId="0" fillId="2" borderId="0" xfId="0" applyNumberFormat="1" applyFill="1"/>
    <xf numFmtId="9" fontId="0" fillId="2" borderId="0" xfId="6" applyFont="1" applyFill="1"/>
    <xf numFmtId="182" fontId="50" fillId="16" borderId="25" xfId="4" applyNumberFormat="1" applyFont="1" applyFill="1" applyBorder="1" applyAlignment="1" applyProtection="1">
      <alignment horizontal="center"/>
      <protection hidden="1"/>
    </xf>
    <xf numFmtId="9" fontId="50" fillId="16" borderId="25" xfId="6" applyFont="1" applyFill="1" applyBorder="1" applyAlignment="1" applyProtection="1">
      <alignment horizontal="center"/>
      <protection hidden="1"/>
    </xf>
    <xf numFmtId="3" fontId="0" fillId="0" borderId="19" xfId="0" applyNumberFormat="1" applyBorder="1"/>
    <xf numFmtId="3" fontId="0" fillId="0" borderId="7" xfId="0" applyNumberFormat="1" applyBorder="1"/>
    <xf numFmtId="0" fontId="54" fillId="0" borderId="0" xfId="13" applyFont="1" applyAlignment="1">
      <alignment vertical="center"/>
    </xf>
    <xf numFmtId="0" fontId="55" fillId="0" borderId="0" xfId="13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 wrapText="1"/>
    </xf>
    <xf numFmtId="0" fontId="57" fillId="17" borderId="65" xfId="13" applyFont="1" applyFill="1" applyBorder="1" applyAlignment="1">
      <alignment horizontal="center" vertical="center" wrapText="1"/>
    </xf>
    <xf numFmtId="0" fontId="57" fillId="17" borderId="61" xfId="13" applyFont="1" applyFill="1" applyBorder="1" applyAlignment="1">
      <alignment horizontal="center" vertical="center" wrapText="1"/>
    </xf>
    <xf numFmtId="0" fontId="57" fillId="17" borderId="66" xfId="13" applyFont="1" applyFill="1" applyBorder="1" applyAlignment="1">
      <alignment horizontal="center" vertical="center" wrapText="1"/>
    </xf>
    <xf numFmtId="0" fontId="58" fillId="17" borderId="57" xfId="13" applyFont="1" applyFill="1" applyBorder="1" applyAlignment="1">
      <alignment horizontal="center" vertical="center" wrapText="1"/>
    </xf>
    <xf numFmtId="0" fontId="57" fillId="17" borderId="65" xfId="13" applyFont="1" applyFill="1" applyBorder="1" applyAlignment="1">
      <alignment horizontal="center" vertical="center"/>
    </xf>
    <xf numFmtId="0" fontId="57" fillId="17" borderId="61" xfId="13" applyFont="1" applyFill="1" applyBorder="1" applyAlignment="1">
      <alignment horizontal="center" vertical="center"/>
    </xf>
    <xf numFmtId="0" fontId="57" fillId="17" borderId="67" xfId="13" applyFont="1" applyFill="1" applyBorder="1" applyAlignment="1">
      <alignment horizontal="center" vertical="center"/>
    </xf>
    <xf numFmtId="17" fontId="55" fillId="0" borderId="44" xfId="13" applyNumberFormat="1" applyFont="1" applyBorder="1" applyAlignment="1">
      <alignment vertical="center"/>
    </xf>
    <xf numFmtId="3" fontId="55" fillId="0" borderId="19" xfId="13" applyNumberFormat="1" applyFont="1" applyBorder="1" applyAlignment="1">
      <alignment vertical="center"/>
    </xf>
    <xf numFmtId="3" fontId="55" fillId="0" borderId="20" xfId="13" applyNumberFormat="1" applyFont="1" applyBorder="1" applyAlignment="1">
      <alignment vertical="center"/>
    </xf>
    <xf numFmtId="3" fontId="55" fillId="0" borderId="34" xfId="13" applyNumberFormat="1" applyFont="1" applyBorder="1" applyAlignment="1">
      <alignment vertical="center"/>
    </xf>
    <xf numFmtId="3" fontId="58" fillId="11" borderId="44" xfId="13" applyNumberFormat="1" applyFont="1" applyFill="1" applyBorder="1" applyAlignment="1">
      <alignment horizontal="center" vertical="center"/>
    </xf>
    <xf numFmtId="3" fontId="55" fillId="0" borderId="27" xfId="13" applyNumberFormat="1" applyFont="1" applyBorder="1" applyAlignment="1">
      <alignment vertical="center"/>
    </xf>
    <xf numFmtId="3" fontId="55" fillId="0" borderId="44" xfId="13" applyNumberFormat="1" applyFont="1" applyBorder="1" applyAlignment="1">
      <alignment vertical="center"/>
    </xf>
    <xf numFmtId="3" fontId="55" fillId="0" borderId="4" xfId="13" applyNumberFormat="1" applyFont="1" applyBorder="1" applyAlignment="1">
      <alignment vertical="center"/>
    </xf>
    <xf numFmtId="3" fontId="55" fillId="0" borderId="32" xfId="13" applyNumberFormat="1" applyFont="1" applyBorder="1" applyAlignment="1">
      <alignment vertical="center"/>
    </xf>
    <xf numFmtId="0" fontId="56" fillId="0" borderId="1" xfId="0" applyFont="1" applyBorder="1" applyAlignment="1">
      <alignment vertical="center"/>
    </xf>
    <xf numFmtId="17" fontId="55" fillId="0" borderId="37" xfId="13" applyNumberFormat="1" applyFont="1" applyBorder="1" applyAlignment="1">
      <alignment vertical="center"/>
    </xf>
    <xf numFmtId="3" fontId="55" fillId="0" borderId="7" xfId="13" applyNumberFormat="1" applyFont="1" applyBorder="1" applyAlignment="1">
      <alignment vertical="center"/>
    </xf>
    <xf numFmtId="3" fontId="55" fillId="0" borderId="1" xfId="13" applyNumberFormat="1" applyFont="1" applyBorder="1" applyAlignment="1">
      <alignment vertical="center"/>
    </xf>
    <xf numFmtId="3" fontId="55" fillId="0" borderId="17" xfId="13" applyNumberFormat="1" applyFont="1" applyBorder="1" applyAlignment="1">
      <alignment vertical="center"/>
    </xf>
    <xf numFmtId="3" fontId="58" fillId="11" borderId="37" xfId="13" applyNumberFormat="1" applyFont="1" applyFill="1" applyBorder="1" applyAlignment="1">
      <alignment horizontal="center" vertical="center"/>
    </xf>
    <xf numFmtId="3" fontId="55" fillId="0" borderId="8" xfId="13" applyNumberFormat="1" applyFont="1" applyBorder="1" applyAlignment="1">
      <alignment vertical="center"/>
    </xf>
    <xf numFmtId="3" fontId="55" fillId="0" borderId="37" xfId="13" applyNumberFormat="1" applyFont="1" applyBorder="1" applyAlignment="1">
      <alignment vertical="center"/>
    </xf>
    <xf numFmtId="17" fontId="55" fillId="0" borderId="41" xfId="13" applyNumberFormat="1" applyFont="1" applyBorder="1" applyAlignment="1">
      <alignment vertical="center"/>
    </xf>
    <xf numFmtId="3" fontId="55" fillId="0" borderId="21" xfId="13" applyNumberFormat="1" applyFont="1" applyBorder="1" applyAlignment="1">
      <alignment vertical="center"/>
    </xf>
    <xf numFmtId="3" fontId="55" fillId="0" borderId="22" xfId="13" applyNumberFormat="1" applyFont="1" applyBorder="1" applyAlignment="1">
      <alignment vertical="center"/>
    </xf>
    <xf numFmtId="3" fontId="55" fillId="0" borderId="42" xfId="13" applyNumberFormat="1" applyFont="1" applyBorder="1" applyAlignment="1">
      <alignment vertical="center"/>
    </xf>
    <xf numFmtId="3" fontId="58" fillId="11" borderId="41" xfId="13" applyNumberFormat="1" applyFont="1" applyFill="1" applyBorder="1" applyAlignment="1">
      <alignment horizontal="center" vertical="center"/>
    </xf>
    <xf numFmtId="3" fontId="55" fillId="0" borderId="40" xfId="13" applyNumberFormat="1" applyFont="1" applyBorder="1" applyAlignment="1">
      <alignment vertical="center"/>
    </xf>
    <xf numFmtId="3" fontId="55" fillId="0" borderId="41" xfId="13" applyNumberFormat="1" applyFont="1" applyBorder="1" applyAlignment="1">
      <alignment vertical="center"/>
    </xf>
    <xf numFmtId="3" fontId="55" fillId="0" borderId="9" xfId="13" applyNumberFormat="1" applyFont="1" applyBorder="1" applyAlignment="1">
      <alignment vertical="center"/>
    </xf>
    <xf numFmtId="3" fontId="55" fillId="0" borderId="68" xfId="13" applyNumberFormat="1" applyFont="1" applyBorder="1" applyAlignment="1">
      <alignment vertical="center"/>
    </xf>
    <xf numFmtId="17" fontId="58" fillId="0" borderId="26" xfId="13" applyNumberFormat="1" applyFont="1" applyBorder="1" applyAlignment="1">
      <alignment vertical="center"/>
    </xf>
    <xf numFmtId="3" fontId="58" fillId="0" borderId="24" xfId="13" applyNumberFormat="1" applyFont="1" applyBorder="1" applyAlignment="1">
      <alignment horizontal="right" vertical="center"/>
    </xf>
    <xf numFmtId="3" fontId="58" fillId="0" borderId="25" xfId="13" applyNumberFormat="1" applyFont="1" applyBorder="1" applyAlignment="1">
      <alignment horizontal="right" vertical="center"/>
    </xf>
    <xf numFmtId="3" fontId="58" fillId="0" borderId="63" xfId="13" applyNumberFormat="1" applyFont="1" applyBorder="1" applyAlignment="1">
      <alignment horizontal="right" vertical="center"/>
    </xf>
    <xf numFmtId="3" fontId="58" fillId="11" borderId="26" xfId="13" applyNumberFormat="1" applyFont="1" applyFill="1" applyBorder="1" applyAlignment="1">
      <alignment horizontal="center" vertical="center"/>
    </xf>
    <xf numFmtId="3" fontId="58" fillId="0" borderId="15" xfId="13" applyNumberFormat="1" applyFont="1" applyBorder="1" applyAlignment="1">
      <alignment horizontal="right" vertical="center"/>
    </xf>
    <xf numFmtId="3" fontId="58" fillId="0" borderId="26" xfId="13" applyNumberFormat="1" applyFont="1" applyBorder="1" applyAlignment="1">
      <alignment horizontal="right" vertical="center"/>
    </xf>
    <xf numFmtId="3" fontId="58" fillId="0" borderId="65" xfId="13" applyNumberFormat="1" applyFont="1" applyBorder="1" applyAlignment="1">
      <alignment vertical="center"/>
    </xf>
    <xf numFmtId="3" fontId="58" fillId="0" borderId="67" xfId="13" applyNumberFormat="1" applyFont="1" applyBorder="1" applyAlignment="1">
      <alignment vertical="center"/>
    </xf>
    <xf numFmtId="0" fontId="56" fillId="11" borderId="0" xfId="0" applyFont="1" applyFill="1" applyAlignment="1">
      <alignment vertical="center"/>
    </xf>
    <xf numFmtId="0" fontId="59" fillId="0" borderId="0" xfId="0" applyFont="1" applyAlignment="1">
      <alignment vertical="center"/>
    </xf>
    <xf numFmtId="17" fontId="57" fillId="0" borderId="26" xfId="13" applyNumberFormat="1" applyFont="1" applyBorder="1" applyAlignment="1">
      <alignment vertical="center"/>
    </xf>
    <xf numFmtId="3" fontId="55" fillId="0" borderId="23" xfId="13" applyNumberFormat="1" applyFont="1" applyBorder="1" applyAlignment="1">
      <alignment vertical="center"/>
    </xf>
    <xf numFmtId="3" fontId="55" fillId="0" borderId="25" xfId="13" applyNumberFormat="1" applyFont="1" applyBorder="1" applyAlignment="1">
      <alignment vertical="center"/>
    </xf>
    <xf numFmtId="3" fontId="55" fillId="0" borderId="63" xfId="13" applyNumberFormat="1" applyFont="1" applyBorder="1" applyAlignment="1">
      <alignment vertical="center"/>
    </xf>
    <xf numFmtId="3" fontId="55" fillId="0" borderId="26" xfId="13" applyNumberFormat="1" applyFont="1" applyBorder="1" applyAlignment="1">
      <alignment vertical="center"/>
    </xf>
    <xf numFmtId="0" fontId="57" fillId="0" borderId="0" xfId="0" applyFont="1" applyAlignment="1">
      <alignment vertical="center"/>
    </xf>
    <xf numFmtId="3" fontId="57" fillId="0" borderId="24" xfId="13" applyNumberFormat="1" applyFont="1" applyBorder="1" applyAlignment="1">
      <alignment vertical="center"/>
    </xf>
    <xf numFmtId="3" fontId="57" fillId="0" borderId="15" xfId="13" applyNumberFormat="1" applyFont="1" applyBorder="1" applyAlignment="1">
      <alignment vertical="center"/>
    </xf>
    <xf numFmtId="0" fontId="57" fillId="17" borderId="66" xfId="13" applyFont="1" applyFill="1" applyBorder="1" applyAlignment="1">
      <alignment horizontal="center" vertical="center"/>
    </xf>
    <xf numFmtId="0" fontId="57" fillId="17" borderId="1" xfId="13" applyFont="1" applyFill="1" applyBorder="1" applyAlignment="1">
      <alignment horizontal="center" vertical="center" wrapText="1"/>
    </xf>
    <xf numFmtId="183" fontId="55" fillId="0" borderId="1" xfId="13" applyNumberFormat="1" applyFont="1" applyBorder="1" applyAlignment="1">
      <alignment vertical="center"/>
    </xf>
    <xf numFmtId="183" fontId="55" fillId="18" borderId="1" xfId="13" applyNumberFormat="1" applyFont="1" applyFill="1" applyBorder="1" applyAlignment="1">
      <alignment vertical="center"/>
    </xf>
    <xf numFmtId="183" fontId="57" fillId="0" borderId="1" xfId="13" applyNumberFormat="1" applyFont="1" applyBorder="1" applyAlignment="1">
      <alignment vertical="center"/>
    </xf>
    <xf numFmtId="184" fontId="57" fillId="18" borderId="0" xfId="0" applyNumberFormat="1" applyFont="1" applyFill="1" applyAlignment="1">
      <alignment vertical="center"/>
    </xf>
    <xf numFmtId="184" fontId="56" fillId="18" borderId="0" xfId="0" applyNumberFormat="1" applyFont="1" applyFill="1" applyAlignment="1">
      <alignment vertical="center"/>
    </xf>
    <xf numFmtId="3" fontId="58" fillId="0" borderId="24" xfId="13" applyNumberFormat="1" applyFont="1" applyBorder="1" applyAlignment="1">
      <alignment vertical="center"/>
    </xf>
    <xf numFmtId="3" fontId="58" fillId="0" borderId="25" xfId="13" applyNumberFormat="1" applyFont="1" applyBorder="1" applyAlignment="1">
      <alignment vertical="center"/>
    </xf>
    <xf numFmtId="3" fontId="58" fillId="0" borderId="63" xfId="13" applyNumberFormat="1" applyFont="1" applyBorder="1" applyAlignment="1">
      <alignment vertical="center"/>
    </xf>
    <xf numFmtId="3" fontId="58" fillId="0" borderId="26" xfId="13" applyNumberFormat="1" applyFont="1" applyBorder="1" applyAlignment="1">
      <alignment vertical="center"/>
    </xf>
    <xf numFmtId="183" fontId="58" fillId="0" borderId="1" xfId="13" applyNumberFormat="1" applyFont="1" applyBorder="1" applyAlignment="1">
      <alignment vertical="center"/>
    </xf>
    <xf numFmtId="3" fontId="55" fillId="0" borderId="15" xfId="13" applyNumberFormat="1" applyFont="1" applyBorder="1" applyAlignment="1">
      <alignment vertical="center"/>
    </xf>
    <xf numFmtId="3" fontId="55" fillId="0" borderId="24" xfId="13" applyNumberFormat="1" applyFont="1" applyBorder="1" applyAlignment="1">
      <alignment vertical="center"/>
    </xf>
    <xf numFmtId="183" fontId="55" fillId="0" borderId="24" xfId="13" applyNumberFormat="1" applyFont="1" applyBorder="1" applyAlignment="1">
      <alignment vertical="center"/>
    </xf>
    <xf numFmtId="183" fontId="55" fillId="18" borderId="25" xfId="13" applyNumberFormat="1" applyFont="1" applyFill="1" applyBorder="1" applyAlignment="1">
      <alignment vertical="center"/>
    </xf>
    <xf numFmtId="183" fontId="55" fillId="0" borderId="15" xfId="13" applyNumberFormat="1" applyFont="1" applyBorder="1" applyAlignment="1">
      <alignment vertical="center"/>
    </xf>
    <xf numFmtId="183" fontId="57" fillId="0" borderId="26" xfId="13" applyNumberFormat="1" applyFont="1" applyBorder="1" applyAlignment="1">
      <alignment vertical="center"/>
    </xf>
    <xf numFmtId="185" fontId="8" fillId="0" borderId="0" xfId="0" applyNumberFormat="1" applyFont="1" applyProtection="1">
      <protection locked="0"/>
    </xf>
    <xf numFmtId="0" fontId="8" fillId="0" borderId="1" xfId="0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47" fillId="0" borderId="1" xfId="0" applyFont="1" applyBorder="1" applyAlignment="1">
      <alignment horizontal="center"/>
    </xf>
    <xf numFmtId="2" fontId="47" fillId="0" borderId="1" xfId="0" applyNumberFormat="1" applyFont="1" applyBorder="1" applyAlignment="1">
      <alignment horizontal="center"/>
    </xf>
    <xf numFmtId="4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4" fontId="27" fillId="0" borderId="1" xfId="0" applyNumberFormat="1" applyFont="1" applyBorder="1" applyAlignment="1">
      <alignment horizontal="center"/>
    </xf>
    <xf numFmtId="4" fontId="27" fillId="0" borderId="1" xfId="0" applyNumberFormat="1" applyFont="1" applyBorder="1"/>
    <xf numFmtId="0" fontId="8" fillId="8" borderId="1" xfId="0" applyFont="1" applyFill="1" applyBorder="1"/>
    <xf numFmtId="0" fontId="8" fillId="8" borderId="1" xfId="0" applyFont="1" applyFill="1" applyBorder="1" applyAlignment="1">
      <alignment horizontal="center"/>
    </xf>
    <xf numFmtId="3" fontId="8" fillId="8" borderId="1" xfId="0" applyNumberFormat="1" applyFont="1" applyFill="1" applyBorder="1" applyAlignment="1">
      <alignment horizontal="center"/>
    </xf>
    <xf numFmtId="4" fontId="8" fillId="8" borderId="1" xfId="0" applyNumberFormat="1" applyFont="1" applyFill="1" applyBorder="1"/>
    <xf numFmtId="168" fontId="42" fillId="2" borderId="1" xfId="0" applyNumberFormat="1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/>
    </xf>
    <xf numFmtId="4" fontId="44" fillId="2" borderId="1" xfId="0" applyNumberFormat="1" applyFont="1" applyFill="1" applyBorder="1" applyAlignment="1">
      <alignment horizontal="center"/>
    </xf>
    <xf numFmtId="0" fontId="44" fillId="0" borderId="1" xfId="0" applyFont="1" applyBorder="1" applyAlignment="1">
      <alignment horizontal="center"/>
    </xf>
    <xf numFmtId="4" fontId="44" fillId="0" borderId="1" xfId="0" applyNumberFormat="1" applyFont="1" applyBorder="1" applyAlignment="1">
      <alignment horizontal="center"/>
    </xf>
    <xf numFmtId="2" fontId="47" fillId="0" borderId="1" xfId="0" applyNumberFormat="1" applyFont="1" applyBorder="1" applyAlignment="1">
      <alignment horizontal="left" wrapText="1"/>
    </xf>
    <xf numFmtId="0" fontId="47" fillId="2" borderId="1" xfId="0" applyFont="1" applyFill="1" applyBorder="1" applyAlignment="1">
      <alignment horizontal="center"/>
    </xf>
    <xf numFmtId="2" fontId="47" fillId="2" borderId="1" xfId="0" applyNumberFormat="1" applyFont="1" applyFill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168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center" vertical="center"/>
    </xf>
    <xf numFmtId="168" fontId="42" fillId="2" borderId="1" xfId="0" applyNumberFormat="1" applyFont="1" applyFill="1" applyBorder="1" applyAlignment="1">
      <alignment horizontal="center"/>
    </xf>
    <xf numFmtId="168" fontId="42" fillId="8" borderId="1" xfId="0" applyNumberFormat="1" applyFont="1" applyFill="1" applyBorder="1" applyAlignment="1">
      <alignment horizontal="center"/>
    </xf>
    <xf numFmtId="0" fontId="8" fillId="17" borderId="1" xfId="0" applyFont="1" applyFill="1" applyBorder="1"/>
    <xf numFmtId="168" fontId="42" fillId="17" borderId="1" xfId="0" applyNumberFormat="1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 vertical="center" wrapText="1"/>
    </xf>
    <xf numFmtId="168" fontId="42" fillId="17" borderId="1" xfId="0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7" fontId="60" fillId="0" borderId="37" xfId="13" applyNumberFormat="1" applyFont="1" applyBorder="1" applyAlignment="1">
      <alignment vertical="center"/>
    </xf>
    <xf numFmtId="3" fontId="60" fillId="0" borderId="7" xfId="13" applyNumberFormat="1" applyFont="1" applyBorder="1" applyAlignment="1">
      <alignment vertical="center"/>
    </xf>
    <xf numFmtId="3" fontId="60" fillId="0" borderId="1" xfId="13" applyNumberFormat="1" applyFont="1" applyBorder="1" applyAlignment="1">
      <alignment vertical="center"/>
    </xf>
    <xf numFmtId="3" fontId="60" fillId="0" borderId="17" xfId="13" applyNumberFormat="1" applyFont="1" applyBorder="1" applyAlignment="1">
      <alignment vertical="center"/>
    </xf>
    <xf numFmtId="3" fontId="61" fillId="11" borderId="37" xfId="13" applyNumberFormat="1" applyFont="1" applyFill="1" applyBorder="1" applyAlignment="1">
      <alignment horizontal="center" vertical="center"/>
    </xf>
    <xf numFmtId="3" fontId="60" fillId="0" borderId="8" xfId="13" applyNumberFormat="1" applyFont="1" applyBorder="1" applyAlignment="1">
      <alignment vertical="center"/>
    </xf>
    <xf numFmtId="3" fontId="60" fillId="0" borderId="37" xfId="13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1" xfId="0" applyFont="1" applyBorder="1" applyAlignment="1">
      <alignment vertical="center"/>
    </xf>
    <xf numFmtId="183" fontId="60" fillId="0" borderId="1" xfId="13" applyNumberFormat="1" applyFont="1" applyBorder="1" applyAlignment="1">
      <alignment vertical="center"/>
    </xf>
    <xf numFmtId="183" fontId="60" fillId="18" borderId="1" xfId="13" applyNumberFormat="1" applyFont="1" applyFill="1" applyBorder="1" applyAlignment="1">
      <alignment vertical="center"/>
    </xf>
    <xf numFmtId="0" fontId="60" fillId="0" borderId="0" xfId="13" applyFont="1" applyAlignment="1">
      <alignment vertical="center"/>
    </xf>
    <xf numFmtId="183" fontId="62" fillId="0" borderId="1" xfId="13" applyNumberFormat="1" applyFont="1" applyBorder="1" applyAlignment="1">
      <alignment vertical="center"/>
    </xf>
    <xf numFmtId="184" fontId="62" fillId="18" borderId="0" xfId="0" applyNumberFormat="1" applyFont="1" applyFill="1" applyAlignment="1">
      <alignment vertical="center"/>
    </xf>
    <xf numFmtId="3" fontId="63" fillId="11" borderId="41" xfId="13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17" borderId="1" xfId="0" applyFont="1" applyFill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8" fillId="8" borderId="1" xfId="0" applyFont="1" applyFill="1" applyBorder="1" applyAlignment="1">
      <alignment wrapText="1"/>
    </xf>
    <xf numFmtId="0" fontId="42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172" fontId="7" fillId="0" borderId="0" xfId="0" applyNumberFormat="1" applyFont="1" applyAlignment="1">
      <alignment horizontal="center"/>
    </xf>
    <xf numFmtId="179" fontId="15" fillId="2" borderId="18" xfId="4" applyNumberFormat="1" applyFont="1" applyFill="1" applyBorder="1" applyAlignment="1" applyProtection="1">
      <alignment horizontal="center"/>
      <protection hidden="1"/>
    </xf>
    <xf numFmtId="179" fontId="15" fillId="2" borderId="1" xfId="4" applyNumberFormat="1" applyFont="1" applyFill="1" applyBorder="1" applyAlignment="1" applyProtection="1">
      <alignment horizontal="center"/>
      <protection hidden="1"/>
    </xf>
    <xf numFmtId="179" fontId="7" fillId="2" borderId="1" xfId="4" applyNumberFormat="1" applyFont="1" applyFill="1" applyBorder="1" applyAlignment="1" applyProtection="1">
      <alignment horizontal="center"/>
      <protection hidden="1"/>
    </xf>
    <xf numFmtId="9" fontId="7" fillId="2" borderId="1" xfId="6" applyFont="1" applyFill="1" applyBorder="1" applyAlignment="1" applyProtection="1">
      <alignment horizontal="center"/>
      <protection hidden="1"/>
    </xf>
    <xf numFmtId="0" fontId="15" fillId="2" borderId="0" xfId="0" applyFont="1" applyFill="1"/>
    <xf numFmtId="168" fontId="27" fillId="2" borderId="1" xfId="0" applyNumberFormat="1" applyFont="1" applyFill="1" applyBorder="1" applyAlignment="1">
      <alignment horizontal="center"/>
    </xf>
    <xf numFmtId="168" fontId="27" fillId="0" borderId="1" xfId="0" applyNumberFormat="1" applyFont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 wrapText="1"/>
    </xf>
    <xf numFmtId="180" fontId="8" fillId="0" borderId="0" xfId="0" applyNumberFormat="1" applyFont="1" applyProtection="1">
      <protection locked="0"/>
    </xf>
    <xf numFmtId="165" fontId="7" fillId="0" borderId="2" xfId="0" applyNumberFormat="1" applyFont="1" applyBorder="1" applyAlignment="1" applyProtection="1">
      <alignment horizontal="center"/>
      <protection hidden="1"/>
    </xf>
    <xf numFmtId="184" fontId="64" fillId="18" borderId="0" xfId="0" applyNumberFormat="1" applyFont="1" applyFill="1" applyAlignment="1">
      <alignment vertical="center"/>
    </xf>
    <xf numFmtId="0" fontId="0" fillId="2" borderId="1" xfId="0" applyFill="1" applyBorder="1"/>
    <xf numFmtId="9" fontId="7" fillId="0" borderId="0" xfId="6" applyFont="1"/>
    <xf numFmtId="168" fontId="27" fillId="0" borderId="1" xfId="0" applyNumberFormat="1" applyFont="1" applyBorder="1" applyAlignment="1">
      <alignment horizontal="center"/>
    </xf>
    <xf numFmtId="169" fontId="38" fillId="0" borderId="56" xfId="0" applyNumberFormat="1" applyFont="1" applyBorder="1" applyAlignment="1">
      <alignment horizontal="right"/>
    </xf>
    <xf numFmtId="169" fontId="39" fillId="0" borderId="56" xfId="0" applyNumberFormat="1" applyFont="1" applyBorder="1" applyAlignment="1">
      <alignment horizontal="right"/>
    </xf>
    <xf numFmtId="0" fontId="7" fillId="2" borderId="0" xfId="0" applyFont="1" applyFill="1" applyAlignment="1">
      <alignment horizontal="center" vertical="center" wrapText="1"/>
    </xf>
    <xf numFmtId="166" fontId="7" fillId="2" borderId="8" xfId="0" applyNumberFormat="1" applyFont="1" applyFill="1" applyBorder="1" applyAlignment="1">
      <alignment horizontal="center"/>
    </xf>
    <xf numFmtId="0" fontId="27" fillId="17" borderId="1" xfId="0" applyFont="1" applyFill="1" applyBorder="1" applyAlignment="1">
      <alignment horizontal="center" wrapText="1"/>
    </xf>
    <xf numFmtId="0" fontId="27" fillId="17" borderId="1" xfId="0" applyFont="1" applyFill="1" applyBorder="1" applyAlignment="1">
      <alignment wrapText="1"/>
    </xf>
    <xf numFmtId="0" fontId="12" fillId="0" borderId="1" xfId="0" applyFont="1" applyBorder="1"/>
    <xf numFmtId="0" fontId="12" fillId="2" borderId="1" xfId="0" applyFont="1" applyFill="1" applyBorder="1" applyAlignment="1">
      <alignment wrapText="1"/>
    </xf>
    <xf numFmtId="168" fontId="6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horizontal="center"/>
    </xf>
    <xf numFmtId="4" fontId="12" fillId="0" borderId="1" xfId="0" applyNumberFormat="1" applyFont="1" applyBorder="1" applyAlignment="1">
      <alignment horizontal="center" vertical="center"/>
    </xf>
    <xf numFmtId="0" fontId="12" fillId="2" borderId="0" xfId="0" applyFont="1" applyFill="1"/>
    <xf numFmtId="10" fontId="7" fillId="0" borderId="0" xfId="6" applyNumberFormat="1" applyFont="1"/>
    <xf numFmtId="0" fontId="0" fillId="19" borderId="1" xfId="0" applyFill="1" applyBorder="1"/>
    <xf numFmtId="178" fontId="7" fillId="19" borderId="37" xfId="0" applyNumberFormat="1" applyFont="1" applyFill="1" applyBorder="1"/>
    <xf numFmtId="179" fontId="15" fillId="19" borderId="18" xfId="4" applyNumberFormat="1" applyFont="1" applyFill="1" applyBorder="1" applyAlignment="1" applyProtection="1">
      <alignment horizontal="center"/>
      <protection hidden="1"/>
    </xf>
    <xf numFmtId="179" fontId="15" fillId="19" borderId="1" xfId="4" applyNumberFormat="1" applyFont="1" applyFill="1" applyBorder="1" applyAlignment="1" applyProtection="1">
      <alignment horizontal="center"/>
      <protection hidden="1"/>
    </xf>
    <xf numFmtId="179" fontId="0" fillId="19" borderId="0" xfId="0" applyNumberFormat="1" applyFill="1"/>
    <xf numFmtId="0" fontId="0" fillId="19" borderId="0" xfId="0" applyFill="1"/>
    <xf numFmtId="179" fontId="7" fillId="19" borderId="1" xfId="4" applyNumberFormat="1" applyFont="1" applyFill="1" applyBorder="1" applyAlignment="1" applyProtection="1">
      <alignment horizontal="center"/>
      <protection hidden="1"/>
    </xf>
    <xf numFmtId="9" fontId="7" fillId="19" borderId="1" xfId="6" applyFont="1" applyFill="1" applyBorder="1" applyAlignment="1" applyProtection="1">
      <alignment horizontal="center"/>
      <protection hidden="1"/>
    </xf>
    <xf numFmtId="0" fontId="7" fillId="19" borderId="0" xfId="0" applyFont="1" applyFill="1"/>
    <xf numFmtId="9" fontId="0" fillId="19" borderId="0" xfId="6" applyFont="1" applyFill="1"/>
    <xf numFmtId="168" fontId="7" fillId="0" borderId="47" xfId="0" applyNumberFormat="1" applyFont="1" applyBorder="1" applyAlignment="1">
      <alignment horizontal="center" vertical="center"/>
    </xf>
    <xf numFmtId="4" fontId="12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wrapText="1"/>
    </xf>
    <xf numFmtId="168" fontId="65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4" fontId="12" fillId="0" borderId="0" xfId="0" applyNumberFormat="1" applyFont="1"/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46" fillId="2" borderId="0" xfId="0" applyFont="1" applyFill="1"/>
    <xf numFmtId="0" fontId="8" fillId="2" borderId="0" xfId="0" applyFont="1" applyFill="1" applyProtection="1">
      <protection locked="0"/>
    </xf>
    <xf numFmtId="0" fontId="42" fillId="2" borderId="0" xfId="0" applyFont="1" applyFill="1" applyProtection="1">
      <protection locked="0"/>
    </xf>
    <xf numFmtId="0" fontId="12" fillId="7" borderId="10" xfId="0" applyFont="1" applyFill="1" applyBorder="1" applyAlignment="1">
      <alignment horizontal="center"/>
    </xf>
    <xf numFmtId="2" fontId="36" fillId="0" borderId="0" xfId="0" applyNumberFormat="1" applyFont="1" applyAlignment="1">
      <alignment horizontal="left"/>
    </xf>
    <xf numFmtId="2" fontId="8" fillId="3" borderId="12" xfId="0" applyNumberFormat="1" applyFont="1" applyFill="1" applyBorder="1" applyAlignment="1" applyProtection="1">
      <alignment horizontal="center" wrapText="1"/>
      <protection locked="0"/>
    </xf>
    <xf numFmtId="2" fontId="8" fillId="3" borderId="13" xfId="0" applyNumberFormat="1" applyFont="1" applyFill="1" applyBorder="1" applyAlignment="1" applyProtection="1">
      <alignment horizontal="center" wrapText="1"/>
      <protection locked="0"/>
    </xf>
    <xf numFmtId="2" fontId="8" fillId="3" borderId="23" xfId="0" applyNumberFormat="1" applyFont="1" applyFill="1" applyBorder="1" applyAlignment="1" applyProtection="1">
      <alignment horizontal="center" wrapText="1"/>
      <protection locked="0"/>
    </xf>
    <xf numFmtId="0" fontId="17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/>
    </xf>
    <xf numFmtId="0" fontId="40" fillId="0" borderId="56" xfId="0" applyFont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15" fillId="0" borderId="1" xfId="0" applyNumberFormat="1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7" fillId="17" borderId="1" xfId="0" applyFont="1" applyFill="1" applyBorder="1" applyAlignment="1">
      <alignment horizontal="center" wrapText="1"/>
    </xf>
    <xf numFmtId="0" fontId="27" fillId="17" borderId="1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 applyAlignment="1">
      <alignment horizontal="center" wrapText="1"/>
    </xf>
    <xf numFmtId="0" fontId="15" fillId="0" borderId="47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46" fillId="0" borderId="36" xfId="13" applyFont="1" applyBorder="1" applyAlignment="1">
      <alignment horizontal="center" vertical="center"/>
    </xf>
    <xf numFmtId="0" fontId="46" fillId="0" borderId="57" xfId="13" applyFont="1" applyBorder="1" applyAlignment="1">
      <alignment horizontal="center" vertical="center"/>
    </xf>
    <xf numFmtId="0" fontId="46" fillId="0" borderId="12" xfId="13" applyFont="1" applyBorder="1" applyAlignment="1">
      <alignment horizontal="center" vertical="center"/>
    </xf>
    <xf numFmtId="0" fontId="46" fillId="0" borderId="13" xfId="13" applyFont="1" applyBorder="1" applyAlignment="1">
      <alignment horizontal="center" vertical="center"/>
    </xf>
    <xf numFmtId="0" fontId="46" fillId="0" borderId="14" xfId="13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6" fillId="14" borderId="1" xfId="0" applyFont="1" applyFill="1" applyBorder="1" applyAlignment="1">
      <alignment horizontal="center"/>
    </xf>
    <xf numFmtId="0" fontId="26" fillId="14" borderId="69" xfId="0" applyFont="1" applyFill="1" applyBorder="1" applyAlignment="1">
      <alignment horizontal="center"/>
    </xf>
    <xf numFmtId="0" fontId="26" fillId="14" borderId="0" xfId="0" applyFont="1" applyFill="1" applyAlignment="1">
      <alignment horizontal="center"/>
    </xf>
    <xf numFmtId="0" fontId="26" fillId="14" borderId="17" xfId="0" applyFont="1" applyFill="1" applyBorder="1" applyAlignment="1">
      <alignment horizontal="center"/>
    </xf>
    <xf numFmtId="0" fontId="26" fillId="14" borderId="47" xfId="0" applyFont="1" applyFill="1" applyBorder="1" applyAlignment="1">
      <alignment horizontal="center"/>
    </xf>
    <xf numFmtId="0" fontId="26" fillId="14" borderId="18" xfId="0" applyFont="1" applyFill="1" applyBorder="1" applyAlignment="1">
      <alignment horizontal="center"/>
    </xf>
    <xf numFmtId="0" fontId="57" fillId="17" borderId="6" xfId="13" applyFont="1" applyFill="1" applyBorder="1" applyAlignment="1">
      <alignment horizontal="center" vertical="center" wrapText="1"/>
    </xf>
    <xf numFmtId="0" fontId="57" fillId="17" borderId="40" xfId="13" applyFont="1" applyFill="1" applyBorder="1" applyAlignment="1">
      <alignment horizontal="center" vertical="center" wrapText="1"/>
    </xf>
    <xf numFmtId="0" fontId="57" fillId="17" borderId="64" xfId="13" applyFont="1" applyFill="1" applyBorder="1" applyAlignment="1">
      <alignment horizontal="center" vertical="center" wrapText="1"/>
    </xf>
    <xf numFmtId="0" fontId="57" fillId="17" borderId="43" xfId="13" applyFont="1" applyFill="1" applyBorder="1" applyAlignment="1">
      <alignment horizontal="center" vertical="center" wrapText="1"/>
    </xf>
    <xf numFmtId="0" fontId="57" fillId="17" borderId="24" xfId="13" applyFont="1" applyFill="1" applyBorder="1" applyAlignment="1">
      <alignment horizontal="center" vertical="center" wrapText="1"/>
    </xf>
    <xf numFmtId="0" fontId="57" fillId="17" borderId="25" xfId="13" applyFont="1" applyFill="1" applyBorder="1" applyAlignment="1">
      <alignment horizontal="center" vertical="center" wrapText="1"/>
    </xf>
    <xf numFmtId="0" fontId="57" fillId="17" borderId="15" xfId="13" applyFont="1" applyFill="1" applyBorder="1" applyAlignment="1">
      <alignment horizontal="center" vertical="center" wrapText="1"/>
    </xf>
    <xf numFmtId="0" fontId="57" fillId="17" borderId="24" xfId="0" applyFont="1" applyFill="1" applyBorder="1" applyAlignment="1">
      <alignment horizontal="center" vertical="center"/>
    </xf>
    <xf numFmtId="0" fontId="57" fillId="17" borderId="25" xfId="0" applyFont="1" applyFill="1" applyBorder="1" applyAlignment="1">
      <alignment horizontal="center" vertical="center"/>
    </xf>
    <xf numFmtId="0" fontId="57" fillId="17" borderId="63" xfId="0" applyFont="1" applyFill="1" applyBorder="1" applyAlignment="1">
      <alignment horizontal="center" vertical="center"/>
    </xf>
    <xf numFmtId="0" fontId="57" fillId="17" borderId="11" xfId="13" applyFont="1" applyFill="1" applyBorder="1" applyAlignment="1">
      <alignment horizontal="center" vertical="center" wrapText="1"/>
    </xf>
    <xf numFmtId="0" fontId="57" fillId="17" borderId="64" xfId="13" applyFont="1" applyFill="1" applyBorder="1" applyAlignment="1">
      <alignment horizontal="center" vertical="center"/>
    </xf>
    <xf numFmtId="0" fontId="57" fillId="17" borderId="43" xfId="13" applyFont="1" applyFill="1" applyBorder="1" applyAlignment="1">
      <alignment horizontal="center" vertical="center"/>
    </xf>
    <xf numFmtId="0" fontId="57" fillId="17" borderId="24" xfId="13" applyFont="1" applyFill="1" applyBorder="1" applyAlignment="1">
      <alignment horizontal="center" vertical="center"/>
    </xf>
    <xf numFmtId="0" fontId="57" fillId="17" borderId="25" xfId="13" applyFont="1" applyFill="1" applyBorder="1" applyAlignment="1">
      <alignment horizontal="center" vertical="center"/>
    </xf>
    <xf numFmtId="0" fontId="57" fillId="17" borderId="15" xfId="13" applyFont="1" applyFill="1" applyBorder="1" applyAlignment="1">
      <alignment horizontal="center" vertical="center"/>
    </xf>
    <xf numFmtId="0" fontId="57" fillId="17" borderId="15" xfId="0" applyFont="1" applyFill="1" applyBorder="1" applyAlignment="1">
      <alignment horizontal="center" vertical="center"/>
    </xf>
    <xf numFmtId="0" fontId="57" fillId="17" borderId="4" xfId="13" applyFont="1" applyFill="1" applyBorder="1" applyAlignment="1">
      <alignment horizontal="center" vertical="center" wrapText="1"/>
    </xf>
    <xf numFmtId="0" fontId="57" fillId="17" borderId="9" xfId="13" applyFont="1" applyFill="1" applyBorder="1" applyAlignment="1">
      <alignment horizontal="center" vertical="center" wrapText="1"/>
    </xf>
  </cellXfs>
  <cellStyles count="18">
    <cellStyle name="Comma" xfId="4" builtinId="3"/>
    <cellStyle name="Comma 2" xfId="9" xr:uid="{00000000-0005-0000-0000-000001000000}"/>
    <cellStyle name="Neutral 2" xfId="2" xr:uid="{00000000-0005-0000-0000-000002000000}"/>
    <cellStyle name="Neutral 3" xfId="10" xr:uid="{00000000-0005-0000-0000-000003000000}"/>
    <cellStyle name="Normal" xfId="0" builtinId="0"/>
    <cellStyle name="Normal 2" xfId="1" xr:uid="{00000000-0005-0000-0000-000005000000}"/>
    <cellStyle name="Normal 2 2" xfId="3" xr:uid="{00000000-0005-0000-0000-000006000000}"/>
    <cellStyle name="Normal 2 3" xfId="5" xr:uid="{00000000-0005-0000-0000-000007000000}"/>
    <cellStyle name="Normal 3" xfId="7" xr:uid="{00000000-0005-0000-0000-000008000000}"/>
    <cellStyle name="Normal 4" xfId="13" xr:uid="{00000000-0005-0000-0000-000009000000}"/>
    <cellStyle name="Normal 5" xfId="14" xr:uid="{00000000-0005-0000-0000-00000A000000}"/>
    <cellStyle name="Normal 6" xfId="15" xr:uid="{00000000-0005-0000-0000-00000B000000}"/>
    <cellStyle name="Normal 7" xfId="16" xr:uid="{00000000-0005-0000-0000-00000C000000}"/>
    <cellStyle name="Normal 8" xfId="17" xr:uid="{00000000-0005-0000-0000-00000D000000}"/>
    <cellStyle name="Note 2" xfId="8" xr:uid="{00000000-0005-0000-0000-00000E000000}"/>
    <cellStyle name="Percent" xfId="6" builtinId="5"/>
    <cellStyle name="Percent 2" xfId="12" xr:uid="{00000000-0005-0000-0000-000010000000}"/>
    <cellStyle name="Нормален 2" xfId="11" xr:uid="{00000000-0005-0000-0000-000011000000}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D63"/>
  <sheetViews>
    <sheetView topLeftCell="B1" zoomScale="70" zoomScaleNormal="70" workbookViewId="0">
      <selection activeCell="D18" sqref="D18"/>
    </sheetView>
  </sheetViews>
  <sheetFormatPr defaultColWidth="8.85546875" defaultRowHeight="15" x14ac:dyDescent="0.25"/>
  <cols>
    <col min="1" max="1" width="6" style="145" bestFit="1" customWidth="1"/>
    <col min="2" max="2" width="35.42578125" style="116" customWidth="1"/>
    <col min="3" max="3" width="11.85546875" style="116" bestFit="1" customWidth="1"/>
    <col min="4" max="4" width="15.140625" style="116" customWidth="1"/>
    <col min="5" max="11" width="11.85546875" style="116" hidden="1" customWidth="1"/>
    <col min="12" max="15" width="11.7109375" style="115" hidden="1" customWidth="1"/>
    <col min="16" max="16" width="18.140625" style="115" hidden="1" customWidth="1"/>
    <col min="17" max="17" width="18.140625" style="115" customWidth="1"/>
    <col min="18" max="19" width="18.140625" style="115" hidden="1" customWidth="1"/>
    <col min="20" max="20" width="21.85546875" style="115" customWidth="1"/>
    <col min="21" max="21" width="19.28515625" style="115" customWidth="1"/>
    <col min="22" max="22" width="13.140625" style="115" customWidth="1"/>
    <col min="23" max="23" width="12.85546875" style="115" bestFit="1" customWidth="1"/>
    <col min="24" max="24" width="15.140625" style="115" hidden="1" customWidth="1"/>
    <col min="25" max="25" width="15.140625" style="115" bestFit="1" customWidth="1"/>
    <col min="26" max="27" width="15.140625" style="115" customWidth="1"/>
    <col min="28" max="28" width="24.28515625" style="115" customWidth="1"/>
    <col min="29" max="30" width="12.85546875" style="115" bestFit="1" customWidth="1"/>
    <col min="31" max="16384" width="8.85546875" style="115"/>
  </cols>
  <sheetData>
    <row r="1" spans="2:29" ht="15.75" thickBot="1" x14ac:dyDescent="0.3">
      <c r="Y1" s="638">
        <v>499654.92000000062</v>
      </c>
      <c r="Z1" s="638">
        <v>102.6448870713515</v>
      </c>
      <c r="AA1" s="638">
        <v>51287022.838045232</v>
      </c>
    </row>
    <row r="2" spans="2:29" ht="41.45" customHeight="1" x14ac:dyDescent="0.25">
      <c r="B2" s="125" t="s">
        <v>8</v>
      </c>
      <c r="C2" s="251" t="s">
        <v>18</v>
      </c>
      <c r="D2" s="251" t="s">
        <v>318</v>
      </c>
      <c r="E2" s="251" t="s">
        <v>279</v>
      </c>
      <c r="F2" s="251" t="s">
        <v>279</v>
      </c>
      <c r="G2" s="251" t="s">
        <v>279</v>
      </c>
      <c r="H2" s="251" t="s">
        <v>279</v>
      </c>
      <c r="I2" s="251" t="s">
        <v>279</v>
      </c>
      <c r="J2" s="251" t="s">
        <v>279</v>
      </c>
      <c r="K2" s="251" t="s">
        <v>279</v>
      </c>
      <c r="L2" s="251" t="s">
        <v>280</v>
      </c>
      <c r="M2" s="251" t="s">
        <v>280</v>
      </c>
      <c r="N2" s="251" t="s">
        <v>280</v>
      </c>
      <c r="O2" s="251" t="s">
        <v>280</v>
      </c>
      <c r="P2" s="251" t="s">
        <v>280</v>
      </c>
      <c r="Q2" s="597"/>
      <c r="R2" s="597" t="s">
        <v>285</v>
      </c>
      <c r="S2" s="597" t="s">
        <v>289</v>
      </c>
      <c r="T2" s="126" t="s">
        <v>9</v>
      </c>
      <c r="U2" s="127" t="s">
        <v>54</v>
      </c>
      <c r="V2" s="161" t="s">
        <v>56</v>
      </c>
      <c r="Y2" s="251" t="s">
        <v>165</v>
      </c>
      <c r="Z2" s="126" t="s">
        <v>40</v>
      </c>
      <c r="AA2" s="126" t="s">
        <v>141</v>
      </c>
    </row>
    <row r="3" spans="2:29" x14ac:dyDescent="0.25">
      <c r="B3" s="128">
        <v>1</v>
      </c>
      <c r="C3" s="142">
        <v>14.516</v>
      </c>
      <c r="D3" s="142">
        <v>5245.5870000000004</v>
      </c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292">
        <f>SUM(C3:S3)</f>
        <v>5260.1030000000001</v>
      </c>
      <c r="U3" s="298">
        <f>+IFERROR(((L3*$L$36+C3*$C$36+D3*$D$36+E3*$E$36+F3*$F$36+G3*$G$36+H3*$H$36+I3*$I$36+J3*$J$36+P3*$P$36+K3*$K$36+M3*$M$36+N3*$N$36+O3*$O$36+R3*$R$36+Q3*$Q$36+S3*$S$36)/(C3+K3+L3+P3+M3+N3+O3+D3+E3+F3+G3+H3+I3+J3+R3+Q3+S3)),0)</f>
        <v>75.910642120506012</v>
      </c>
      <c r="V3" s="162">
        <f t="shared" ref="V3:V8" si="0">($T$42-U3)</f>
        <v>-2.0642120506010997E-2</v>
      </c>
      <c r="X3" s="115">
        <f t="shared" ref="X3:X13" si="1">+IF((T3-Y3)&lt;=0,0,IF((T3-Y3)&gt;0,(T3-Y3)))</f>
        <v>5260.1030000000001</v>
      </c>
      <c r="Y3" s="142"/>
      <c r="Z3" s="142">
        <f>+U3</f>
        <v>75.910642120506012</v>
      </c>
      <c r="AA3" s="142">
        <f>+Y3*Z3</f>
        <v>0</v>
      </c>
      <c r="AB3" s="165"/>
      <c r="AC3" s="165"/>
    </row>
    <row r="4" spans="2:29" x14ac:dyDescent="0.25">
      <c r="B4" s="128">
        <f>+B3+1</f>
        <v>2</v>
      </c>
      <c r="C4" s="142">
        <v>14.516</v>
      </c>
      <c r="D4" s="142">
        <v>4845.5870000000004</v>
      </c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292">
        <f t="shared" ref="T4:T33" si="2">SUM(C4:S4)</f>
        <v>4860.1030000000001</v>
      </c>
      <c r="U4" s="298">
        <f t="shared" ref="U4:U33" si="3">+IFERROR(((L4*$L$36+C4*$C$36+D4*$D$36+E4*$E$36+F4*$F$36+G4*$G$36+H4*$H$36+I4*$I$36+J4*$J$36+P4*$P$36+K4*$K$36+M4*$M$36+N4*$N$36+O4*$O$36+R4*$R$36+Q4*$Q$36+S4*$S$36)/(C4+K4+L4+P4+M4+N4+O4+D4+E4+F4+G4+H4+I4+J4+R4+Q4+S4)),0)</f>
        <v>75.912341024459778</v>
      </c>
      <c r="V4" s="162">
        <f t="shared" si="0"/>
        <v>-2.2341024459777259E-2</v>
      </c>
      <c r="X4" s="115">
        <f t="shared" si="1"/>
        <v>4860.1030000000001</v>
      </c>
      <c r="Y4" s="142"/>
      <c r="Z4" s="142">
        <f>+U4</f>
        <v>75.912341024459778</v>
      </c>
      <c r="AA4" s="142">
        <f t="shared" ref="AA4:AA33" si="4">+Y4*Z4</f>
        <v>0</v>
      </c>
      <c r="AB4" s="165"/>
      <c r="AC4" s="165"/>
    </row>
    <row r="5" spans="2:29" x14ac:dyDescent="0.25">
      <c r="B5" s="128">
        <f t="shared" ref="B5:B33" si="5">+B4+1</f>
        <v>3</v>
      </c>
      <c r="C5" s="142">
        <v>14.516</v>
      </c>
      <c r="D5" s="142">
        <v>5345.5870000000004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292">
        <f t="shared" si="2"/>
        <v>5360.1030000000001</v>
      </c>
      <c r="U5" s="298">
        <f t="shared" si="3"/>
        <v>75.910257013717839</v>
      </c>
      <c r="V5" s="162">
        <f t="shared" si="0"/>
        <v>-2.025701371783839E-2</v>
      </c>
      <c r="X5" s="115">
        <f t="shared" si="1"/>
        <v>5360.1030000000001</v>
      </c>
      <c r="Y5" s="142"/>
      <c r="Z5" s="142">
        <f>+U5</f>
        <v>75.910257013717839</v>
      </c>
      <c r="AA5" s="142">
        <f t="shared" si="4"/>
        <v>0</v>
      </c>
      <c r="AB5" s="165"/>
      <c r="AC5" s="165"/>
    </row>
    <row r="6" spans="2:29" x14ac:dyDescent="0.25">
      <c r="B6" s="128">
        <f t="shared" si="5"/>
        <v>4</v>
      </c>
      <c r="C6" s="142">
        <v>14.516</v>
      </c>
      <c r="D6" s="142">
        <v>4845.5870000000004</v>
      </c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292">
        <f t="shared" si="2"/>
        <v>4860.1030000000001</v>
      </c>
      <c r="U6" s="298">
        <f t="shared" si="3"/>
        <v>75.912341024459778</v>
      </c>
      <c r="V6" s="162">
        <f t="shared" si="0"/>
        <v>-2.2341024459777259E-2</v>
      </c>
      <c r="X6" s="115">
        <f t="shared" si="1"/>
        <v>4860.1030000000001</v>
      </c>
      <c r="Y6" s="142"/>
      <c r="Z6" s="142">
        <f>+U6</f>
        <v>75.912341024459778</v>
      </c>
      <c r="AA6" s="142">
        <f t="shared" si="4"/>
        <v>0</v>
      </c>
      <c r="AB6" s="165"/>
      <c r="AC6" s="165"/>
    </row>
    <row r="7" spans="2:29" x14ac:dyDescent="0.25">
      <c r="B7" s="128">
        <f t="shared" si="5"/>
        <v>5</v>
      </c>
      <c r="C7" s="142">
        <v>14.516</v>
      </c>
      <c r="D7" s="142">
        <v>4845.5870000000004</v>
      </c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292">
        <f t="shared" si="2"/>
        <v>4860.1030000000001</v>
      </c>
      <c r="U7" s="298">
        <f t="shared" si="3"/>
        <v>75.912341024459778</v>
      </c>
      <c r="V7" s="162">
        <f t="shared" si="0"/>
        <v>-2.2341024459777259E-2</v>
      </c>
      <c r="X7" s="115">
        <f t="shared" si="1"/>
        <v>4860.1030000000001</v>
      </c>
      <c r="Y7" s="142"/>
      <c r="Z7" s="142">
        <f>+U7</f>
        <v>75.912341024459778</v>
      </c>
      <c r="AA7" s="142">
        <f>+Y7*Z7</f>
        <v>0</v>
      </c>
      <c r="AB7" s="165"/>
      <c r="AC7" s="165"/>
    </row>
    <row r="8" spans="2:29" x14ac:dyDescent="0.25">
      <c r="B8" s="128">
        <f t="shared" si="5"/>
        <v>6</v>
      </c>
      <c r="C8" s="142">
        <v>14.516</v>
      </c>
      <c r="D8" s="142">
        <v>4845.5870000000004</v>
      </c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292">
        <f t="shared" si="2"/>
        <v>4860.1030000000001</v>
      </c>
      <c r="U8" s="298">
        <f t="shared" si="3"/>
        <v>75.912341024459778</v>
      </c>
      <c r="V8" s="162">
        <f t="shared" si="0"/>
        <v>-2.2341024459777259E-2</v>
      </c>
      <c r="X8" s="115">
        <f t="shared" si="1"/>
        <v>4860.1030000000001</v>
      </c>
      <c r="Y8" s="142"/>
      <c r="Z8" s="142">
        <f t="shared" ref="Z8:Z11" si="6">+U8</f>
        <v>75.912341024459778</v>
      </c>
      <c r="AA8" s="142">
        <f>+Y8*Z8</f>
        <v>0</v>
      </c>
      <c r="AB8" s="165"/>
      <c r="AC8" s="165"/>
    </row>
    <row r="9" spans="2:29" x14ac:dyDescent="0.25">
      <c r="B9" s="128">
        <f t="shared" si="5"/>
        <v>7</v>
      </c>
      <c r="C9" s="142">
        <v>14.516</v>
      </c>
      <c r="D9" s="142">
        <v>4345.5870000000004</v>
      </c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292">
        <f t="shared" si="2"/>
        <v>4360.1030000000001</v>
      </c>
      <c r="U9" s="298">
        <f t="shared" si="3"/>
        <v>75.914903008025277</v>
      </c>
      <c r="V9" s="162">
        <f>IFERROR(($T$42-U9),0)</f>
        <v>-2.4903008025276563E-2</v>
      </c>
      <c r="X9" s="115">
        <f t="shared" si="1"/>
        <v>4360.1030000000001</v>
      </c>
      <c r="Y9" s="142"/>
      <c r="Z9" s="142">
        <f t="shared" si="6"/>
        <v>75.914903008025277</v>
      </c>
      <c r="AA9" s="142">
        <f>+Y9*Z9</f>
        <v>0</v>
      </c>
      <c r="AB9" s="165"/>
      <c r="AC9" s="165"/>
    </row>
    <row r="10" spans="2:29" x14ac:dyDescent="0.25">
      <c r="B10" s="128">
        <f t="shared" si="5"/>
        <v>8</v>
      </c>
      <c r="C10" s="142">
        <v>14.516</v>
      </c>
      <c r="D10" s="142">
        <v>4345.5870000000004</v>
      </c>
      <c r="E10" s="142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292">
        <f t="shared" si="2"/>
        <v>4360.1030000000001</v>
      </c>
      <c r="U10" s="298">
        <f t="shared" si="3"/>
        <v>75.914903008025277</v>
      </c>
      <c r="V10" s="162">
        <f t="shared" ref="V10:V33" si="7">IFERROR(($T$42-U10),0)</f>
        <v>-2.4903008025276563E-2</v>
      </c>
      <c r="X10" s="115">
        <f t="shared" si="1"/>
        <v>4360.1030000000001</v>
      </c>
      <c r="Y10" s="142"/>
      <c r="Z10" s="142">
        <f t="shared" si="6"/>
        <v>75.914903008025277</v>
      </c>
      <c r="AA10" s="142">
        <f>+Y10*Z10</f>
        <v>0</v>
      </c>
      <c r="AB10" s="165"/>
      <c r="AC10" s="165"/>
    </row>
    <row r="11" spans="2:29" x14ac:dyDescent="0.25">
      <c r="B11" s="128">
        <f t="shared" si="5"/>
        <v>9</v>
      </c>
      <c r="C11" s="142">
        <v>14.516</v>
      </c>
      <c r="D11" s="142">
        <v>4845.5870000000004</v>
      </c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292">
        <f t="shared" si="2"/>
        <v>4860.1030000000001</v>
      </c>
      <c r="U11" s="298">
        <f t="shared" si="3"/>
        <v>75.912341024459778</v>
      </c>
      <c r="V11" s="162">
        <f t="shared" si="7"/>
        <v>-2.2341024459777259E-2</v>
      </c>
      <c r="X11" s="115">
        <f t="shared" si="1"/>
        <v>4860.1030000000001</v>
      </c>
      <c r="Y11" s="142"/>
      <c r="Z11" s="142">
        <f t="shared" si="6"/>
        <v>75.912341024459778</v>
      </c>
      <c r="AA11" s="142">
        <f t="shared" si="4"/>
        <v>0</v>
      </c>
      <c r="AB11" s="165"/>
      <c r="AC11" s="165"/>
    </row>
    <row r="12" spans="2:29" x14ac:dyDescent="0.25">
      <c r="B12" s="128">
        <f t="shared" si="5"/>
        <v>10</v>
      </c>
      <c r="C12" s="142">
        <v>14.516</v>
      </c>
      <c r="D12" s="142">
        <v>4345.5870000000004</v>
      </c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292">
        <f t="shared" si="2"/>
        <v>4360.1030000000001</v>
      </c>
      <c r="U12" s="298">
        <f t="shared" si="3"/>
        <v>75.914903008025277</v>
      </c>
      <c r="V12" s="162">
        <f t="shared" si="7"/>
        <v>-2.4903008025276563E-2</v>
      </c>
      <c r="X12" s="115">
        <f t="shared" si="1"/>
        <v>4360.1030000000001</v>
      </c>
      <c r="Y12" s="142"/>
      <c r="Z12" s="142">
        <f t="shared" ref="Z12" si="8">+U12</f>
        <v>75.914903008025277</v>
      </c>
      <c r="AA12" s="142">
        <f t="shared" si="4"/>
        <v>0</v>
      </c>
      <c r="AB12" s="165"/>
      <c r="AC12" s="165"/>
    </row>
    <row r="13" spans="2:29" x14ac:dyDescent="0.25">
      <c r="B13" s="128">
        <f t="shared" si="5"/>
        <v>11</v>
      </c>
      <c r="C13" s="142">
        <v>14.516</v>
      </c>
      <c r="D13" s="142">
        <v>4345.5870000000004</v>
      </c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292">
        <f t="shared" si="2"/>
        <v>4360.1030000000001</v>
      </c>
      <c r="U13" s="298">
        <f t="shared" si="3"/>
        <v>75.914903008025277</v>
      </c>
      <c r="V13" s="162">
        <f t="shared" si="7"/>
        <v>-2.4903008025276563E-2</v>
      </c>
      <c r="X13" s="115">
        <f t="shared" si="1"/>
        <v>4360.1030000000001</v>
      </c>
      <c r="Y13" s="142"/>
      <c r="Z13" s="142">
        <f t="shared" ref="Z13:Z15" si="9">+U13</f>
        <v>75.914903008025277</v>
      </c>
      <c r="AA13" s="142">
        <f t="shared" si="4"/>
        <v>0</v>
      </c>
      <c r="AB13" s="165"/>
      <c r="AC13" s="165"/>
    </row>
    <row r="14" spans="2:29" x14ac:dyDescent="0.25">
      <c r="B14" s="128">
        <f t="shared" si="5"/>
        <v>12</v>
      </c>
      <c r="C14" s="142">
        <v>14.516</v>
      </c>
      <c r="D14" s="142">
        <v>4345.5870000000004</v>
      </c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292">
        <f t="shared" si="2"/>
        <v>4360.1030000000001</v>
      </c>
      <c r="U14" s="298">
        <f t="shared" si="3"/>
        <v>75.914903008025277</v>
      </c>
      <c r="V14" s="162">
        <f t="shared" si="7"/>
        <v>-2.4903008025276563E-2</v>
      </c>
      <c r="X14" s="115">
        <f t="shared" ref="X14:X33" si="10">+IF((T14-Y14)&lt;=0,0,IF((T14-Y14)&gt;0,(T14-Y14)))</f>
        <v>4360.1030000000001</v>
      </c>
      <c r="Y14" s="142"/>
      <c r="Z14" s="142">
        <f t="shared" si="9"/>
        <v>75.914903008025277</v>
      </c>
      <c r="AA14" s="142">
        <f t="shared" si="4"/>
        <v>0</v>
      </c>
      <c r="AB14" s="165"/>
      <c r="AC14" s="165"/>
    </row>
    <row r="15" spans="2:29" x14ac:dyDescent="0.25">
      <c r="B15" s="128">
        <f t="shared" si="5"/>
        <v>13</v>
      </c>
      <c r="C15" s="142">
        <v>14.516</v>
      </c>
      <c r="D15" s="142">
        <v>4345.5870000000004</v>
      </c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292">
        <f t="shared" si="2"/>
        <v>4360.1030000000001</v>
      </c>
      <c r="U15" s="298">
        <f t="shared" si="3"/>
        <v>75.914903008025277</v>
      </c>
      <c r="V15" s="162">
        <f t="shared" si="7"/>
        <v>-2.4903008025276563E-2</v>
      </c>
      <c r="X15" s="115">
        <f t="shared" si="10"/>
        <v>4360.1030000000001</v>
      </c>
      <c r="Y15" s="142"/>
      <c r="Z15" s="142">
        <f t="shared" si="9"/>
        <v>75.914903008025277</v>
      </c>
      <c r="AA15" s="142">
        <f t="shared" si="4"/>
        <v>0</v>
      </c>
      <c r="AB15" s="165"/>
      <c r="AC15" s="165"/>
    </row>
    <row r="16" spans="2:29" x14ac:dyDescent="0.25">
      <c r="B16" s="128">
        <f t="shared" si="5"/>
        <v>14</v>
      </c>
      <c r="C16" s="142">
        <v>14.516</v>
      </c>
      <c r="D16" s="142">
        <v>4345.5870000000004</v>
      </c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292">
        <f t="shared" si="2"/>
        <v>4360.1030000000001</v>
      </c>
      <c r="U16" s="298">
        <f t="shared" si="3"/>
        <v>75.914903008025277</v>
      </c>
      <c r="V16" s="162">
        <f t="shared" si="7"/>
        <v>-2.4903008025276563E-2</v>
      </c>
      <c r="X16" s="115">
        <f t="shared" si="10"/>
        <v>4360.1030000000001</v>
      </c>
      <c r="Y16" s="142"/>
      <c r="Z16" s="142">
        <f t="shared" ref="Z16:Z22" si="11">+U16</f>
        <v>75.914903008025277</v>
      </c>
      <c r="AA16" s="142">
        <f t="shared" si="4"/>
        <v>0</v>
      </c>
      <c r="AB16" s="165"/>
      <c r="AC16" s="165"/>
    </row>
    <row r="17" spans="2:30" ht="14.25" customHeight="1" x14ac:dyDescent="0.25">
      <c r="B17" s="128">
        <f t="shared" si="5"/>
        <v>15</v>
      </c>
      <c r="C17" s="142">
        <v>14.516</v>
      </c>
      <c r="D17" s="142">
        <v>4345.5870000000004</v>
      </c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292">
        <f t="shared" si="2"/>
        <v>4360.1030000000001</v>
      </c>
      <c r="U17" s="298">
        <f t="shared" si="3"/>
        <v>75.914903008025277</v>
      </c>
      <c r="V17" s="162">
        <f t="shared" si="7"/>
        <v>-2.4903008025276563E-2</v>
      </c>
      <c r="X17" s="115">
        <f t="shared" si="10"/>
        <v>4360.1030000000001</v>
      </c>
      <c r="Y17" s="142"/>
      <c r="Z17" s="142">
        <f t="shared" si="11"/>
        <v>75.914903008025277</v>
      </c>
      <c r="AA17" s="142">
        <f t="shared" ref="AA17" si="12">+Y17*Z17</f>
        <v>0</v>
      </c>
      <c r="AB17" s="165"/>
      <c r="AC17" s="165"/>
    </row>
    <row r="18" spans="2:30" x14ac:dyDescent="0.25">
      <c r="B18" s="128">
        <f t="shared" si="5"/>
        <v>16</v>
      </c>
      <c r="C18" s="142">
        <v>14.516</v>
      </c>
      <c r="D18" s="142">
        <v>4345.5870000000004</v>
      </c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292">
        <f t="shared" si="2"/>
        <v>4360.1030000000001</v>
      </c>
      <c r="U18" s="298">
        <f t="shared" si="3"/>
        <v>75.914903008025277</v>
      </c>
      <c r="V18" s="162">
        <f t="shared" si="7"/>
        <v>-2.4903008025276563E-2</v>
      </c>
      <c r="W18" s="322"/>
      <c r="X18" s="115">
        <f t="shared" si="10"/>
        <v>4360.1030000000001</v>
      </c>
      <c r="Y18" s="142"/>
      <c r="Z18" s="142">
        <f t="shared" si="11"/>
        <v>75.914903008025277</v>
      </c>
      <c r="AA18" s="142">
        <f t="shared" si="4"/>
        <v>0</v>
      </c>
      <c r="AB18" s="165"/>
      <c r="AC18" s="165"/>
      <c r="AD18" s="322"/>
    </row>
    <row r="19" spans="2:30" x14ac:dyDescent="0.25">
      <c r="B19" s="128">
        <f t="shared" si="5"/>
        <v>17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292">
        <f t="shared" si="2"/>
        <v>0</v>
      </c>
      <c r="U19" s="298">
        <f t="shared" si="3"/>
        <v>0</v>
      </c>
      <c r="V19" s="162">
        <f t="shared" si="7"/>
        <v>75.89</v>
      </c>
      <c r="X19" s="115">
        <f t="shared" si="10"/>
        <v>0</v>
      </c>
      <c r="Y19" s="142"/>
      <c r="Z19" s="142">
        <f t="shared" si="11"/>
        <v>0</v>
      </c>
      <c r="AA19" s="142">
        <f t="shared" si="4"/>
        <v>0</v>
      </c>
      <c r="AB19" s="165"/>
      <c r="AC19" s="165"/>
    </row>
    <row r="20" spans="2:30" x14ac:dyDescent="0.25">
      <c r="B20" s="128">
        <f t="shared" si="5"/>
        <v>18</v>
      </c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292">
        <f t="shared" si="2"/>
        <v>0</v>
      </c>
      <c r="U20" s="298">
        <f t="shared" si="3"/>
        <v>0</v>
      </c>
      <c r="V20" s="162">
        <f t="shared" si="7"/>
        <v>75.89</v>
      </c>
      <c r="X20" s="115">
        <f t="shared" si="10"/>
        <v>0</v>
      </c>
      <c r="Y20" s="142"/>
      <c r="Z20" s="142">
        <f t="shared" si="11"/>
        <v>0</v>
      </c>
      <c r="AA20" s="142">
        <f t="shared" si="4"/>
        <v>0</v>
      </c>
      <c r="AB20" s="165"/>
      <c r="AC20" s="165"/>
    </row>
    <row r="21" spans="2:30" x14ac:dyDescent="0.25">
      <c r="B21" s="128">
        <f t="shared" si="5"/>
        <v>19</v>
      </c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292">
        <f t="shared" si="2"/>
        <v>0</v>
      </c>
      <c r="U21" s="298">
        <f t="shared" si="3"/>
        <v>0</v>
      </c>
      <c r="V21" s="162">
        <f t="shared" si="7"/>
        <v>75.89</v>
      </c>
      <c r="X21" s="115">
        <f t="shared" si="10"/>
        <v>0</v>
      </c>
      <c r="Y21" s="142"/>
      <c r="Z21" s="142">
        <f t="shared" si="11"/>
        <v>0</v>
      </c>
      <c r="AA21" s="142">
        <f t="shared" si="4"/>
        <v>0</v>
      </c>
      <c r="AB21" s="165"/>
      <c r="AC21" s="165"/>
    </row>
    <row r="22" spans="2:30" x14ac:dyDescent="0.25">
      <c r="B22" s="128">
        <f t="shared" si="5"/>
        <v>20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292">
        <f t="shared" si="2"/>
        <v>0</v>
      </c>
      <c r="U22" s="298">
        <f t="shared" si="3"/>
        <v>0</v>
      </c>
      <c r="V22" s="162">
        <f t="shared" si="7"/>
        <v>75.89</v>
      </c>
      <c r="X22" s="115">
        <f t="shared" si="10"/>
        <v>0</v>
      </c>
      <c r="Y22" s="142"/>
      <c r="Z22" s="142">
        <f t="shared" si="11"/>
        <v>0</v>
      </c>
      <c r="AA22" s="142">
        <f t="shared" si="4"/>
        <v>0</v>
      </c>
      <c r="AB22" s="165"/>
      <c r="AC22" s="165"/>
    </row>
    <row r="23" spans="2:30" x14ac:dyDescent="0.25">
      <c r="B23" s="128">
        <f t="shared" si="5"/>
        <v>21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292">
        <f t="shared" si="2"/>
        <v>0</v>
      </c>
      <c r="U23" s="298">
        <f t="shared" si="3"/>
        <v>0</v>
      </c>
      <c r="V23" s="162">
        <f t="shared" si="7"/>
        <v>75.89</v>
      </c>
      <c r="X23" s="115">
        <f t="shared" si="10"/>
        <v>0</v>
      </c>
      <c r="Y23" s="142"/>
      <c r="Z23" s="142">
        <f t="shared" ref="Z23" si="13">+U23</f>
        <v>0</v>
      </c>
      <c r="AA23" s="142">
        <f t="shared" si="4"/>
        <v>0</v>
      </c>
      <c r="AB23" s="165"/>
      <c r="AC23" s="165"/>
    </row>
    <row r="24" spans="2:30" x14ac:dyDescent="0.25">
      <c r="B24" s="128">
        <f t="shared" si="5"/>
        <v>22</v>
      </c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292">
        <f t="shared" si="2"/>
        <v>0</v>
      </c>
      <c r="U24" s="298">
        <f t="shared" si="3"/>
        <v>0</v>
      </c>
      <c r="V24" s="162">
        <f t="shared" si="7"/>
        <v>75.89</v>
      </c>
      <c r="X24" s="115">
        <f t="shared" si="10"/>
        <v>0</v>
      </c>
      <c r="Y24" s="142"/>
      <c r="Z24" s="142">
        <f t="shared" ref="Z24:Z33" si="14">+U24</f>
        <v>0</v>
      </c>
      <c r="AA24" s="142">
        <f t="shared" si="4"/>
        <v>0</v>
      </c>
      <c r="AB24" s="165"/>
      <c r="AC24" s="165"/>
    </row>
    <row r="25" spans="2:30" x14ac:dyDescent="0.25">
      <c r="B25" s="128">
        <f t="shared" si="5"/>
        <v>23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292">
        <f t="shared" si="2"/>
        <v>0</v>
      </c>
      <c r="U25" s="298">
        <f t="shared" si="3"/>
        <v>0</v>
      </c>
      <c r="V25" s="162">
        <f t="shared" si="7"/>
        <v>75.89</v>
      </c>
      <c r="X25" s="115">
        <f t="shared" si="10"/>
        <v>0</v>
      </c>
      <c r="Y25" s="142"/>
      <c r="Z25" s="142">
        <f t="shared" si="14"/>
        <v>0</v>
      </c>
      <c r="AA25" s="142">
        <f>+Y25*Z25</f>
        <v>0</v>
      </c>
      <c r="AB25" s="165"/>
      <c r="AC25" s="165"/>
    </row>
    <row r="26" spans="2:30" x14ac:dyDescent="0.25">
      <c r="B26" s="128">
        <f t="shared" si="5"/>
        <v>24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292">
        <f t="shared" si="2"/>
        <v>0</v>
      </c>
      <c r="U26" s="298">
        <f t="shared" si="3"/>
        <v>0</v>
      </c>
      <c r="V26" s="162">
        <f t="shared" si="7"/>
        <v>75.89</v>
      </c>
      <c r="X26" s="115">
        <f t="shared" si="10"/>
        <v>0</v>
      </c>
      <c r="Y26" s="142"/>
      <c r="Z26" s="142">
        <f t="shared" si="14"/>
        <v>0</v>
      </c>
      <c r="AA26" s="142">
        <f>+Y26*Z26</f>
        <v>0</v>
      </c>
      <c r="AB26" s="165"/>
      <c r="AC26" s="165"/>
    </row>
    <row r="27" spans="2:30" x14ac:dyDescent="0.25">
      <c r="B27" s="128">
        <f t="shared" si="5"/>
        <v>25</v>
      </c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292">
        <f t="shared" si="2"/>
        <v>0</v>
      </c>
      <c r="U27" s="298">
        <f t="shared" si="3"/>
        <v>0</v>
      </c>
      <c r="V27" s="162">
        <f t="shared" si="7"/>
        <v>75.89</v>
      </c>
      <c r="X27" s="115">
        <f t="shared" si="10"/>
        <v>0</v>
      </c>
      <c r="Y27" s="142"/>
      <c r="Z27" s="142">
        <f t="shared" si="14"/>
        <v>0</v>
      </c>
      <c r="AA27" s="142">
        <f t="shared" si="4"/>
        <v>0</v>
      </c>
      <c r="AB27" s="165"/>
      <c r="AC27" s="165"/>
    </row>
    <row r="28" spans="2:30" x14ac:dyDescent="0.25">
      <c r="B28" s="128">
        <f t="shared" si="5"/>
        <v>26</v>
      </c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2"/>
      <c r="P28" s="142"/>
      <c r="Q28" s="142"/>
      <c r="R28" s="142"/>
      <c r="S28" s="142"/>
      <c r="T28" s="292">
        <f t="shared" si="2"/>
        <v>0</v>
      </c>
      <c r="U28" s="298">
        <f t="shared" si="3"/>
        <v>0</v>
      </c>
      <c r="V28" s="162">
        <f t="shared" si="7"/>
        <v>75.89</v>
      </c>
      <c r="X28" s="115">
        <f t="shared" si="10"/>
        <v>0</v>
      </c>
      <c r="Y28" s="142"/>
      <c r="Z28" s="142">
        <f t="shared" si="14"/>
        <v>0</v>
      </c>
      <c r="AA28" s="142">
        <f t="shared" si="4"/>
        <v>0</v>
      </c>
      <c r="AB28" s="165"/>
      <c r="AC28" s="165"/>
    </row>
    <row r="29" spans="2:30" x14ac:dyDescent="0.25">
      <c r="B29" s="128">
        <f t="shared" si="5"/>
        <v>27</v>
      </c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292">
        <f t="shared" si="2"/>
        <v>0</v>
      </c>
      <c r="U29" s="298">
        <f t="shared" si="3"/>
        <v>0</v>
      </c>
      <c r="V29" s="162">
        <f t="shared" si="7"/>
        <v>75.89</v>
      </c>
      <c r="X29" s="115">
        <f t="shared" si="10"/>
        <v>0</v>
      </c>
      <c r="Y29" s="142"/>
      <c r="Z29" s="142">
        <f t="shared" si="14"/>
        <v>0</v>
      </c>
      <c r="AA29" s="142">
        <f t="shared" si="4"/>
        <v>0</v>
      </c>
      <c r="AB29" s="165"/>
      <c r="AC29" s="165"/>
    </row>
    <row r="30" spans="2:30" x14ac:dyDescent="0.25">
      <c r="B30" s="128">
        <f t="shared" si="5"/>
        <v>28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292">
        <f t="shared" si="2"/>
        <v>0</v>
      </c>
      <c r="U30" s="298">
        <f t="shared" si="3"/>
        <v>0</v>
      </c>
      <c r="V30" s="162">
        <f t="shared" si="7"/>
        <v>75.89</v>
      </c>
      <c r="X30" s="115">
        <f t="shared" si="10"/>
        <v>0</v>
      </c>
      <c r="Y30" s="142"/>
      <c r="Z30" s="142">
        <f t="shared" si="14"/>
        <v>0</v>
      </c>
      <c r="AA30" s="142">
        <f t="shared" si="4"/>
        <v>0</v>
      </c>
      <c r="AB30" s="165"/>
      <c r="AC30" s="165"/>
    </row>
    <row r="31" spans="2:30" x14ac:dyDescent="0.25">
      <c r="B31" s="128">
        <f t="shared" si="5"/>
        <v>29</v>
      </c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292">
        <f t="shared" si="2"/>
        <v>0</v>
      </c>
      <c r="U31" s="298">
        <f t="shared" si="3"/>
        <v>0</v>
      </c>
      <c r="V31" s="162">
        <f t="shared" si="7"/>
        <v>75.89</v>
      </c>
      <c r="X31" s="115">
        <f t="shared" si="10"/>
        <v>0</v>
      </c>
      <c r="Y31" s="142"/>
      <c r="Z31" s="142">
        <f t="shared" si="14"/>
        <v>0</v>
      </c>
      <c r="AA31" s="142">
        <f t="shared" si="4"/>
        <v>0</v>
      </c>
      <c r="AB31" s="165"/>
      <c r="AC31" s="165"/>
    </row>
    <row r="32" spans="2:30" x14ac:dyDescent="0.25">
      <c r="B32" s="128">
        <f t="shared" si="5"/>
        <v>30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292">
        <f t="shared" si="2"/>
        <v>0</v>
      </c>
      <c r="U32" s="298">
        <f t="shared" si="3"/>
        <v>0</v>
      </c>
      <c r="V32" s="162">
        <f t="shared" si="7"/>
        <v>75.89</v>
      </c>
      <c r="X32" s="115">
        <f t="shared" si="10"/>
        <v>0</v>
      </c>
      <c r="Y32" s="142"/>
      <c r="Z32" s="142">
        <f t="shared" si="14"/>
        <v>0</v>
      </c>
      <c r="AA32" s="142">
        <f t="shared" si="4"/>
        <v>0</v>
      </c>
      <c r="AB32" s="165"/>
      <c r="AC32" s="165"/>
    </row>
    <row r="33" spans="2:30" ht="15.75" thickBot="1" x14ac:dyDescent="0.3">
      <c r="B33" s="128">
        <f t="shared" si="5"/>
        <v>31</v>
      </c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2"/>
      <c r="R33" s="142"/>
      <c r="S33" s="142"/>
      <c r="T33" s="292">
        <f t="shared" si="2"/>
        <v>0</v>
      </c>
      <c r="U33" s="298">
        <f t="shared" si="3"/>
        <v>0</v>
      </c>
      <c r="V33" s="162">
        <f t="shared" si="7"/>
        <v>75.89</v>
      </c>
      <c r="X33" s="115">
        <f t="shared" si="10"/>
        <v>0</v>
      </c>
      <c r="Y33" s="142"/>
      <c r="Z33" s="142">
        <f t="shared" si="14"/>
        <v>0</v>
      </c>
      <c r="AA33" s="142">
        <f t="shared" si="4"/>
        <v>0</v>
      </c>
      <c r="AB33" s="165"/>
      <c r="AC33" s="165"/>
    </row>
    <row r="34" spans="2:30" ht="15.75" thickBot="1" x14ac:dyDescent="0.3">
      <c r="B34" s="129" t="s">
        <v>10</v>
      </c>
      <c r="C34" s="143">
        <f>SUM(C3:C33)</f>
        <v>232.25599999999994</v>
      </c>
      <c r="D34" s="143">
        <f t="shared" ref="D34:O34" si="15">SUM(D3:D33)</f>
        <v>73929.392000000007</v>
      </c>
      <c r="E34" s="143">
        <f t="shared" si="15"/>
        <v>0</v>
      </c>
      <c r="F34" s="143">
        <f t="shared" si="15"/>
        <v>0</v>
      </c>
      <c r="G34" s="143">
        <f t="shared" si="15"/>
        <v>0</v>
      </c>
      <c r="H34" s="143">
        <f t="shared" si="15"/>
        <v>0</v>
      </c>
      <c r="I34" s="143">
        <f t="shared" si="15"/>
        <v>0</v>
      </c>
      <c r="J34" s="143">
        <f t="shared" si="15"/>
        <v>0</v>
      </c>
      <c r="K34" s="143">
        <f t="shared" si="15"/>
        <v>0</v>
      </c>
      <c r="L34" s="143">
        <f t="shared" si="15"/>
        <v>0</v>
      </c>
      <c r="M34" s="143">
        <f t="shared" si="15"/>
        <v>0</v>
      </c>
      <c r="N34" s="143">
        <f t="shared" si="15"/>
        <v>0</v>
      </c>
      <c r="O34" s="143">
        <f t="shared" si="15"/>
        <v>0</v>
      </c>
      <c r="P34" s="143">
        <f>SUM(P3:P33)</f>
        <v>0</v>
      </c>
      <c r="Q34" s="143">
        <f>SUM(Q3:Q33)</f>
        <v>0</v>
      </c>
      <c r="R34" s="143">
        <f>SUM(R3:R33)</f>
        <v>0</v>
      </c>
      <c r="S34" s="143">
        <f>SUM(S3:S33)</f>
        <v>0</v>
      </c>
      <c r="T34" s="144">
        <f>SUM(C34:S34)</f>
        <v>74161.648000000001</v>
      </c>
      <c r="U34" s="144">
        <f>IFERROR(ROUND((L3*$L$36+C3*$C$36+P3*$P$36-Y3*Z3+#REF!*#REF!+K3*$K$36+#REF!*#REF!+#REF!*#REF!+#REF!*#REF!)/T34,2),0)</f>
        <v>0</v>
      </c>
      <c r="V34" s="163"/>
      <c r="X34" s="143">
        <f>SUM(X3:X33)</f>
        <v>74161.648000000016</v>
      </c>
      <c r="Y34" s="143">
        <f>SUM(Y3:Y33)</f>
        <v>0</v>
      </c>
      <c r="Z34" s="639" t="e">
        <f>+AA34/Y34</f>
        <v>#DIV/0!</v>
      </c>
      <c r="AA34" s="143">
        <f>SUM(AA3:AA33)</f>
        <v>0</v>
      </c>
      <c r="AB34" s="165"/>
      <c r="AC34" s="165"/>
      <c r="AD34" s="165"/>
    </row>
    <row r="35" spans="2:30" x14ac:dyDescent="0.25">
      <c r="B35" s="130" t="s">
        <v>13</v>
      </c>
      <c r="C35" s="164">
        <f>+C36/1.95583</f>
        <v>42.626404135328741</v>
      </c>
      <c r="D35" s="164">
        <f>+D36/1.95583</f>
        <v>38.801940863981024</v>
      </c>
      <c r="E35" s="164">
        <v>28.5</v>
      </c>
      <c r="F35" s="164">
        <v>24.4</v>
      </c>
      <c r="G35" s="164">
        <v>25.05</v>
      </c>
      <c r="H35" s="164">
        <v>26.77</v>
      </c>
      <c r="I35" s="164">
        <v>27.65</v>
      </c>
      <c r="J35" s="164">
        <v>25.9</v>
      </c>
      <c r="K35" s="164">
        <v>26.3</v>
      </c>
      <c r="L35" s="164">
        <v>29.1</v>
      </c>
      <c r="M35" s="164">
        <v>30.3</v>
      </c>
      <c r="N35" s="164">
        <v>24.13</v>
      </c>
      <c r="O35" s="164">
        <v>23.7</v>
      </c>
      <c r="P35" s="164">
        <v>25.12</v>
      </c>
      <c r="Q35" s="164">
        <v>32.1</v>
      </c>
      <c r="R35" s="164">
        <v>27.7</v>
      </c>
      <c r="S35" s="164">
        <v>28.1</v>
      </c>
      <c r="T35" s="131"/>
      <c r="X35" s="115" t="e">
        <f>+X34+'Борса и балансиране'!#REF!+'Борса и балансиране'!#REF!*-1</f>
        <v>#REF!</v>
      </c>
      <c r="Y35" s="165">
        <f>+Y34/31</f>
        <v>0</v>
      </c>
    </row>
    <row r="36" spans="2:30" x14ac:dyDescent="0.25">
      <c r="B36" s="132" t="s">
        <v>11</v>
      </c>
      <c r="C36" s="305">
        <v>83.37</v>
      </c>
      <c r="D36" s="164">
        <f>+T40</f>
        <v>75.89</v>
      </c>
      <c r="E36" s="164">
        <f t="shared" ref="E36:P36" si="16">+ROUND(E35*1.95583,2)</f>
        <v>55.74</v>
      </c>
      <c r="F36" s="164">
        <f t="shared" si="16"/>
        <v>47.72</v>
      </c>
      <c r="G36" s="164">
        <f t="shared" si="16"/>
        <v>48.99</v>
      </c>
      <c r="H36" s="164">
        <f t="shared" si="16"/>
        <v>52.36</v>
      </c>
      <c r="I36" s="164">
        <f t="shared" si="16"/>
        <v>54.08</v>
      </c>
      <c r="J36" s="164">
        <f t="shared" si="16"/>
        <v>50.66</v>
      </c>
      <c r="K36" s="164">
        <f t="shared" si="16"/>
        <v>51.44</v>
      </c>
      <c r="L36" s="164">
        <f t="shared" si="16"/>
        <v>56.91</v>
      </c>
      <c r="M36" s="164">
        <f t="shared" si="16"/>
        <v>59.26</v>
      </c>
      <c r="N36" s="164">
        <f t="shared" si="16"/>
        <v>47.19</v>
      </c>
      <c r="O36" s="164">
        <f t="shared" si="16"/>
        <v>46.35</v>
      </c>
      <c r="P36" s="164">
        <f t="shared" si="16"/>
        <v>49.13</v>
      </c>
      <c r="Q36" s="164">
        <f t="shared" ref="Q36" si="17">+ROUND(Q35*1.95583,2)</f>
        <v>62.78</v>
      </c>
      <c r="R36" s="305">
        <f t="shared" ref="R36:S36" si="18">+ROUND(R35*1.95583,2)</f>
        <v>54.18</v>
      </c>
      <c r="S36" s="305">
        <f t="shared" si="18"/>
        <v>54.96</v>
      </c>
      <c r="T36" s="133"/>
      <c r="U36" s="138"/>
      <c r="V36" s="138"/>
      <c r="AC36" s="165"/>
    </row>
    <row r="37" spans="2:30" ht="15.75" thickBot="1" x14ac:dyDescent="0.3">
      <c r="B37" s="134" t="s">
        <v>58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3"/>
      <c r="U37" s="598">
        <f>+T38/T34</f>
        <v>75.913425516110436</v>
      </c>
      <c r="V37" s="165"/>
      <c r="Y37" s="115">
        <v>66700</v>
      </c>
    </row>
    <row r="38" spans="2:30" ht="15.75" thickBot="1" x14ac:dyDescent="0.3">
      <c r="B38" s="136" t="s">
        <v>12</v>
      </c>
      <c r="C38" s="137">
        <f>C34*C36</f>
        <v>19363.182719999997</v>
      </c>
      <c r="D38" s="137">
        <f t="shared" ref="D38:J38" si="19">D34*D36</f>
        <v>5610501.5588800004</v>
      </c>
      <c r="E38" s="137">
        <f t="shared" si="19"/>
        <v>0</v>
      </c>
      <c r="F38" s="137">
        <f t="shared" si="19"/>
        <v>0</v>
      </c>
      <c r="G38" s="137">
        <f t="shared" si="19"/>
        <v>0</v>
      </c>
      <c r="H38" s="137">
        <f t="shared" si="19"/>
        <v>0</v>
      </c>
      <c r="I38" s="137">
        <f t="shared" si="19"/>
        <v>0</v>
      </c>
      <c r="J38" s="137">
        <f t="shared" si="19"/>
        <v>0</v>
      </c>
      <c r="K38" s="137">
        <f t="shared" ref="K38" si="20">K34*K36</f>
        <v>0</v>
      </c>
      <c r="L38" s="137">
        <f>L34*L36</f>
        <v>0</v>
      </c>
      <c r="M38" s="137">
        <f>M34*M36</f>
        <v>0</v>
      </c>
      <c r="N38" s="137">
        <f t="shared" ref="N38:O38" si="21">N34*N36</f>
        <v>0</v>
      </c>
      <c r="O38" s="137">
        <f t="shared" si="21"/>
        <v>0</v>
      </c>
      <c r="P38" s="137">
        <f>P34*P36</f>
        <v>0</v>
      </c>
      <c r="Q38" s="137">
        <f>Q34*Q36</f>
        <v>0</v>
      </c>
      <c r="R38" s="137">
        <f>R34*R36</f>
        <v>0</v>
      </c>
      <c r="S38" s="137">
        <f>S34*S36</f>
        <v>0</v>
      </c>
      <c r="T38" s="144">
        <f>SUM(C38:S38)</f>
        <v>5629864.7416000003</v>
      </c>
      <c r="U38" s="138">
        <f>+L34/31</f>
        <v>0</v>
      </c>
      <c r="V38" s="533"/>
      <c r="W38" s="165">
        <f>+T38-AA34</f>
        <v>5629864.7416000003</v>
      </c>
      <c r="X38" s="165"/>
      <c r="Y38" s="165">
        <f>+Y37-Y34</f>
        <v>66700</v>
      </c>
      <c r="AA38" s="165"/>
    </row>
    <row r="39" spans="2:30" ht="14.45" customHeight="1" thickBot="1" x14ac:dyDescent="0.3">
      <c r="B39" s="643" t="s">
        <v>69</v>
      </c>
      <c r="C39" s="644"/>
      <c r="D39" s="644"/>
      <c r="E39" s="644"/>
      <c r="F39" s="644"/>
      <c r="G39" s="644"/>
      <c r="H39" s="644"/>
      <c r="I39" s="644"/>
      <c r="J39" s="644"/>
      <c r="K39" s="644"/>
      <c r="L39" s="644"/>
      <c r="M39" s="238"/>
      <c r="N39" s="238"/>
      <c r="O39" s="238"/>
      <c r="P39" s="238"/>
      <c r="Q39" s="238"/>
      <c r="R39" s="238"/>
      <c r="S39" s="238"/>
      <c r="T39" s="299">
        <f>ROUND((C34*C36+L34*L36+P34*P36+K34*K36)/(T34),3)</f>
        <v>0.26100000000000001</v>
      </c>
      <c r="U39" s="166"/>
      <c r="Y39" s="115">
        <f>+Y38/6</f>
        <v>11116.666666666666</v>
      </c>
    </row>
    <row r="40" spans="2:30" ht="15.75" thickBot="1" x14ac:dyDescent="0.3">
      <c r="B40" s="643" t="s">
        <v>5</v>
      </c>
      <c r="C40" s="644"/>
      <c r="D40" s="644"/>
      <c r="E40" s="644"/>
      <c r="F40" s="644"/>
      <c r="G40" s="644"/>
      <c r="H40" s="644"/>
      <c r="I40" s="644"/>
      <c r="J40" s="644"/>
      <c r="K40" s="644"/>
      <c r="L40" s="644"/>
      <c r="M40" s="238"/>
      <c r="N40" s="238"/>
      <c r="O40" s="238"/>
      <c r="P40" s="238"/>
      <c r="Q40" s="238"/>
      <c r="R40" s="238"/>
      <c r="S40" s="238"/>
      <c r="T40" s="300">
        <v>75.89</v>
      </c>
      <c r="U40" s="229">
        <f>+T40*0.82</f>
        <v>62.229799999999997</v>
      </c>
      <c r="V40" s="640" t="s">
        <v>209</v>
      </c>
    </row>
    <row r="41" spans="2:30" ht="15.75" thickBot="1" x14ac:dyDescent="0.3">
      <c r="B41" s="643" t="s">
        <v>7</v>
      </c>
      <c r="C41" s="644"/>
      <c r="D41" s="644"/>
      <c r="E41" s="644"/>
      <c r="F41" s="644"/>
      <c r="G41" s="644"/>
      <c r="H41" s="644"/>
      <c r="I41" s="644"/>
      <c r="J41" s="644"/>
      <c r="K41" s="644"/>
      <c r="L41" s="644"/>
      <c r="M41" s="238"/>
      <c r="N41" s="238"/>
      <c r="O41" s="238"/>
      <c r="P41" s="238"/>
      <c r="Q41" s="238"/>
      <c r="R41" s="238"/>
      <c r="S41" s="238"/>
      <c r="T41" s="299">
        <f>ROUND(T40*0.1,2)</f>
        <v>7.59</v>
      </c>
      <c r="U41" s="165">
        <f>+C36-T40</f>
        <v>7.480000000000004</v>
      </c>
      <c r="V41" s="640">
        <f>+(C3*C36+P3*P36+K36*K3)/(C3+K3+P3)</f>
        <v>83.37</v>
      </c>
      <c r="W41" s="165">
        <f>+U41-6.41</f>
        <v>1.0700000000000038</v>
      </c>
    </row>
    <row r="42" spans="2:30" ht="46.9" customHeight="1" thickBot="1" x14ac:dyDescent="0.3">
      <c r="B42" s="643" t="s">
        <v>164</v>
      </c>
      <c r="C42" s="644"/>
      <c r="D42" s="644"/>
      <c r="E42" s="644"/>
      <c r="F42" s="644"/>
      <c r="G42" s="644"/>
      <c r="H42" s="644"/>
      <c r="I42" s="644"/>
      <c r="J42" s="644"/>
      <c r="K42" s="644"/>
      <c r="L42" s="644"/>
      <c r="M42" s="644"/>
      <c r="N42" s="644"/>
      <c r="O42" s="644"/>
      <c r="P42" s="644"/>
      <c r="Q42" s="238"/>
      <c r="R42" s="238"/>
      <c r="S42" s="238"/>
      <c r="T42" s="139">
        <f>+T40</f>
        <v>75.89</v>
      </c>
      <c r="U42" s="114">
        <f>58.84-T40</f>
        <v>-17.049999999999997</v>
      </c>
      <c r="V42" s="343">
        <f>+T40-V41</f>
        <v>-7.480000000000004</v>
      </c>
      <c r="W42" s="115">
        <f>+L34*Z1</f>
        <v>0</v>
      </c>
    </row>
    <row r="43" spans="2:30" ht="48" customHeight="1" thickBot="1" x14ac:dyDescent="0.3">
      <c r="B43" s="643" t="s">
        <v>203</v>
      </c>
      <c r="C43" s="644"/>
      <c r="D43" s="644"/>
      <c r="E43" s="644"/>
      <c r="F43" s="644"/>
      <c r="G43" s="644"/>
      <c r="H43" s="644"/>
      <c r="I43" s="644"/>
      <c r="J43" s="644"/>
      <c r="K43" s="644"/>
      <c r="L43" s="644"/>
      <c r="M43" s="644"/>
      <c r="N43" s="644"/>
      <c r="O43" s="644"/>
      <c r="P43" s="644"/>
      <c r="Q43" s="238"/>
      <c r="R43" s="238"/>
      <c r="S43" s="238"/>
      <c r="T43" s="139">
        <f>ROUND(T40,2)</f>
        <v>75.89</v>
      </c>
      <c r="U43" s="114"/>
    </row>
    <row r="44" spans="2:30" ht="48" customHeight="1" thickBot="1" x14ac:dyDescent="0.3">
      <c r="B44" s="643" t="s">
        <v>316</v>
      </c>
      <c r="C44" s="644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4"/>
      <c r="P44" s="644"/>
      <c r="Q44" s="238"/>
      <c r="R44" s="238"/>
      <c r="S44" s="238"/>
      <c r="T44" s="139">
        <f>+T40+6.1</f>
        <v>81.99</v>
      </c>
      <c r="U44" s="114"/>
    </row>
    <row r="45" spans="2:30" ht="42.6" customHeight="1" thickBot="1" x14ac:dyDescent="0.3">
      <c r="B45" s="643" t="s">
        <v>324</v>
      </c>
      <c r="C45" s="644"/>
      <c r="D45" s="644"/>
      <c r="E45" s="644"/>
      <c r="F45" s="644"/>
      <c r="G45" s="644"/>
      <c r="H45" s="644"/>
      <c r="I45" s="644"/>
      <c r="J45" s="644"/>
      <c r="K45" s="644"/>
      <c r="L45" s="644"/>
      <c r="M45" s="644"/>
      <c r="N45" s="644"/>
      <c r="O45" s="644"/>
      <c r="P45" s="644"/>
      <c r="Q45" s="238"/>
      <c r="R45" s="238"/>
      <c r="S45" s="238"/>
      <c r="T45" s="139">
        <f>+T40+15</f>
        <v>90.89</v>
      </c>
      <c r="U45" s="114"/>
      <c r="Y45" s="138"/>
      <c r="AB45" s="114"/>
    </row>
    <row r="46" spans="2:30" ht="30.6" customHeight="1" thickBot="1" x14ac:dyDescent="0.3">
      <c r="B46" s="643" t="s">
        <v>236</v>
      </c>
      <c r="C46" s="644"/>
      <c r="D46" s="644"/>
      <c r="E46" s="644"/>
      <c r="F46" s="644"/>
      <c r="G46" s="644"/>
      <c r="H46" s="644"/>
      <c r="I46" s="644"/>
      <c r="J46" s="644"/>
      <c r="K46" s="644"/>
      <c r="L46" s="644"/>
      <c r="M46" s="644"/>
      <c r="N46" s="644"/>
      <c r="O46" s="644"/>
      <c r="P46" s="644"/>
      <c r="Q46" s="238"/>
      <c r="R46" s="238"/>
      <c r="S46" s="238"/>
      <c r="T46" s="139">
        <f>+T47+2</f>
        <v>83.59</v>
      </c>
      <c r="U46" s="114"/>
      <c r="Y46" s="115">
        <f>+Y45*Y43</f>
        <v>0</v>
      </c>
      <c r="AB46" s="114"/>
    </row>
    <row r="47" spans="2:30" ht="51.6" customHeight="1" thickBot="1" x14ac:dyDescent="0.3">
      <c r="B47" s="643" t="s">
        <v>204</v>
      </c>
      <c r="C47" s="644"/>
      <c r="D47" s="644"/>
      <c r="E47" s="644"/>
      <c r="F47" s="644"/>
      <c r="G47" s="644"/>
      <c r="H47" s="644"/>
      <c r="I47" s="644"/>
      <c r="J47" s="644"/>
      <c r="K47" s="644"/>
      <c r="L47" s="644"/>
      <c r="M47" s="644"/>
      <c r="N47" s="644"/>
      <c r="O47" s="644"/>
      <c r="P47" s="645"/>
      <c r="Q47" s="238"/>
      <c r="R47" s="238"/>
      <c r="S47" s="238"/>
      <c r="T47" s="306">
        <v>81.59</v>
      </c>
      <c r="U47" s="296">
        <f>+(T47/T40)-1</f>
        <v>7.5108709974963883E-2</v>
      </c>
      <c r="V47" s="166"/>
      <c r="AB47" s="114"/>
    </row>
    <row r="48" spans="2:30" ht="33" customHeight="1" thickBot="1" x14ac:dyDescent="0.3">
      <c r="B48" s="643" t="s">
        <v>19</v>
      </c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238"/>
      <c r="N48" s="238"/>
      <c r="O48" s="238"/>
      <c r="P48" s="238"/>
      <c r="Q48" s="238"/>
      <c r="R48" s="238"/>
      <c r="S48" s="238"/>
      <c r="T48" s="139">
        <f>ROUND(T40*0.92,2)</f>
        <v>69.819999999999993</v>
      </c>
      <c r="V48" s="166"/>
      <c r="AB48" s="114"/>
    </row>
    <row r="49" spans="1:28" x14ac:dyDescent="0.25">
      <c r="AB49" s="166"/>
    </row>
    <row r="50" spans="1:28" s="148" customFormat="1" x14ac:dyDescent="0.25">
      <c r="A50" s="146"/>
      <c r="B50" s="167" t="s">
        <v>117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48" t="s">
        <v>118</v>
      </c>
      <c r="Y50" s="115"/>
      <c r="Z50" s="115"/>
      <c r="AA50" s="115"/>
    </row>
    <row r="51" spans="1:28" s="148" customFormat="1" x14ac:dyDescent="0.25">
      <c r="A51" s="146" t="s">
        <v>4</v>
      </c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 t="s">
        <v>1</v>
      </c>
      <c r="M51" s="167"/>
      <c r="N51" s="167"/>
      <c r="O51" s="167"/>
      <c r="P51" s="167"/>
      <c r="Q51" s="167"/>
      <c r="R51" s="167"/>
      <c r="S51" s="167"/>
    </row>
    <row r="52" spans="1:28" s="148" customFormat="1" ht="30" x14ac:dyDescent="0.25">
      <c r="A52" s="146">
        <v>1</v>
      </c>
      <c r="B52" s="168" t="s">
        <v>2</v>
      </c>
      <c r="C52" s="168"/>
      <c r="D52" s="168"/>
      <c r="E52" s="168"/>
      <c r="F52" s="168"/>
      <c r="G52" s="168"/>
      <c r="H52" s="168"/>
      <c r="I52" s="168"/>
      <c r="J52" s="168"/>
      <c r="K52" s="168"/>
      <c r="L52" s="167">
        <f>T42-T39</f>
        <v>75.629000000000005</v>
      </c>
      <c r="M52" s="167"/>
      <c r="N52" s="167"/>
      <c r="O52" s="167"/>
      <c r="P52" s="167"/>
      <c r="Q52" s="167"/>
      <c r="R52" s="167"/>
      <c r="S52" s="167"/>
    </row>
    <row r="53" spans="1:28" s="148" customFormat="1" x14ac:dyDescent="0.25">
      <c r="A53" s="146">
        <f>+A52+1</f>
        <v>2</v>
      </c>
      <c r="B53" s="168" t="s">
        <v>125</v>
      </c>
      <c r="C53" s="168"/>
      <c r="D53" s="168"/>
      <c r="E53" s="168"/>
      <c r="F53" s="168"/>
      <c r="G53" s="168"/>
      <c r="H53" s="168"/>
      <c r="I53" s="168"/>
      <c r="J53" s="168"/>
      <c r="K53" s="168"/>
      <c r="L53" s="167">
        <f>+T43-T39</f>
        <v>75.629000000000005</v>
      </c>
      <c r="M53" s="167"/>
      <c r="N53" s="167"/>
      <c r="O53" s="167"/>
      <c r="P53" s="167"/>
      <c r="Q53" s="167"/>
      <c r="R53" s="167"/>
      <c r="S53" s="167"/>
    </row>
    <row r="54" spans="1:28" s="148" customFormat="1" ht="30" x14ac:dyDescent="0.25">
      <c r="A54" s="146">
        <f>+A53+1</f>
        <v>3</v>
      </c>
      <c r="B54" s="168" t="s">
        <v>126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7">
        <f>+T45-T39</f>
        <v>90.629000000000005</v>
      </c>
      <c r="M54" s="167"/>
      <c r="N54" s="167"/>
      <c r="O54" s="167"/>
      <c r="P54" s="167"/>
      <c r="Q54" s="167"/>
      <c r="R54" s="167"/>
      <c r="S54" s="167"/>
      <c r="T54" s="167"/>
    </row>
    <row r="55" spans="1:28" s="148" customFormat="1" x14ac:dyDescent="0.25">
      <c r="A55" s="146">
        <f>+A54+1</f>
        <v>4</v>
      </c>
      <c r="B55" s="168" t="s">
        <v>114</v>
      </c>
      <c r="C55" s="168"/>
      <c r="D55" s="168"/>
      <c r="E55" s="168"/>
      <c r="F55" s="168"/>
      <c r="G55" s="168"/>
      <c r="H55" s="168"/>
      <c r="I55" s="168"/>
      <c r="J55" s="168"/>
      <c r="K55" s="168"/>
      <c r="L55" s="167">
        <f>+T47-T39</f>
        <v>81.329000000000008</v>
      </c>
      <c r="M55" s="167"/>
      <c r="N55" s="167"/>
      <c r="O55" s="167"/>
      <c r="P55" s="167"/>
      <c r="Q55" s="167"/>
      <c r="R55" s="167"/>
      <c r="S55" s="167"/>
      <c r="T55" s="167"/>
    </row>
    <row r="56" spans="1:28" s="148" customFormat="1" ht="30" x14ac:dyDescent="0.25">
      <c r="A56" s="146">
        <f>+A55+1</f>
        <v>5</v>
      </c>
      <c r="B56" s="168" t="s">
        <v>127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7">
        <f>T46-T39</f>
        <v>83.329000000000008</v>
      </c>
      <c r="M56" s="167"/>
      <c r="N56" s="167"/>
      <c r="O56" s="167"/>
      <c r="P56" s="167"/>
      <c r="Q56" s="167"/>
      <c r="R56" s="167"/>
      <c r="S56" s="167"/>
      <c r="T56" s="169"/>
    </row>
    <row r="57" spans="1:28" s="148" customFormat="1" ht="30" x14ac:dyDescent="0.25">
      <c r="A57" s="146">
        <v>1</v>
      </c>
      <c r="B57" s="168" t="s">
        <v>77</v>
      </c>
      <c r="C57" s="168"/>
      <c r="D57" s="168"/>
      <c r="E57" s="168"/>
      <c r="F57" s="168"/>
      <c r="G57" s="168"/>
      <c r="H57" s="168"/>
      <c r="I57" s="168"/>
      <c r="J57" s="168"/>
      <c r="K57" s="168"/>
      <c r="L57" s="167">
        <f>ROUND(T40-T42,4)</f>
        <v>0</v>
      </c>
      <c r="M57" s="167"/>
      <c r="N57" s="167"/>
      <c r="O57" s="167"/>
      <c r="P57" s="167"/>
      <c r="Q57" s="167"/>
      <c r="R57" s="167"/>
      <c r="S57" s="167"/>
    </row>
    <row r="58" spans="1:28" s="148" customFormat="1" x14ac:dyDescent="0.25">
      <c r="A58" s="146">
        <f>+A57+1</f>
        <v>2</v>
      </c>
      <c r="B58" s="168" t="s">
        <v>78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9">
        <v>0.52349999999999997</v>
      </c>
      <c r="M58" s="169"/>
      <c r="N58" s="169"/>
      <c r="O58" s="169"/>
      <c r="P58" s="169"/>
      <c r="Q58" s="169"/>
      <c r="R58" s="169"/>
      <c r="S58" s="169"/>
      <c r="T58" s="170"/>
    </row>
    <row r="59" spans="1:28" s="148" customFormat="1" x14ac:dyDescent="0.25">
      <c r="A59" s="146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</row>
    <row r="60" spans="1:28" s="148" customFormat="1" x14ac:dyDescent="0.25">
      <c r="A60" s="146"/>
      <c r="B60" s="147"/>
      <c r="C60" s="147"/>
      <c r="D60" s="147"/>
      <c r="E60" s="147"/>
      <c r="F60" s="147"/>
      <c r="G60" s="147"/>
      <c r="H60" s="147"/>
      <c r="I60" s="147"/>
      <c r="J60" s="147"/>
      <c r="K60" s="147"/>
    </row>
    <row r="61" spans="1:28" s="148" customFormat="1" x14ac:dyDescent="0.25">
      <c r="A61" s="146"/>
      <c r="B61" s="147"/>
      <c r="C61" s="147"/>
      <c r="D61" s="147"/>
      <c r="E61" s="147"/>
      <c r="F61" s="147"/>
      <c r="G61" s="147"/>
      <c r="H61" s="147"/>
      <c r="I61" s="147"/>
      <c r="J61" s="147"/>
      <c r="K61" s="147"/>
    </row>
    <row r="62" spans="1:28" x14ac:dyDescent="0.25">
      <c r="Y62" s="148"/>
      <c r="Z62" s="148"/>
      <c r="AA62" s="148"/>
    </row>
    <row r="63" spans="1:28" x14ac:dyDescent="0.25">
      <c r="T63" s="138" t="e">
        <f>+T40-#REF!</f>
        <v>#REF!</v>
      </c>
    </row>
  </sheetData>
  <mergeCells count="10">
    <mergeCell ref="B48:L48"/>
    <mergeCell ref="B39:L39"/>
    <mergeCell ref="B40:L40"/>
    <mergeCell ref="B41:L41"/>
    <mergeCell ref="B46:P46"/>
    <mergeCell ref="B45:P45"/>
    <mergeCell ref="B43:P43"/>
    <mergeCell ref="B42:P42"/>
    <mergeCell ref="B47:P47"/>
    <mergeCell ref="B44:P4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B1:N36"/>
  <sheetViews>
    <sheetView topLeftCell="A2" zoomScale="70" zoomScaleNormal="70" workbookViewId="0">
      <selection activeCell="C17" sqref="C17:E19"/>
    </sheetView>
  </sheetViews>
  <sheetFormatPr defaultColWidth="8.85546875" defaultRowHeight="15" x14ac:dyDescent="0.25"/>
  <cols>
    <col min="1" max="1" width="8.85546875" style="1"/>
    <col min="2" max="2" width="12.140625" style="1" bestFit="1" customWidth="1"/>
    <col min="3" max="3" width="9" style="1" bestFit="1" customWidth="1"/>
    <col min="4" max="4" width="11.42578125" style="1" bestFit="1" customWidth="1"/>
    <col min="5" max="5" width="9.28515625" style="1" bestFit="1" customWidth="1"/>
    <col min="6" max="7" width="15.42578125" style="1" bestFit="1" customWidth="1"/>
    <col min="8" max="8" width="13" style="1" customWidth="1"/>
    <col min="9" max="10" width="17.5703125" style="69" customWidth="1"/>
    <col min="11" max="11" width="9.5703125" style="1" bestFit="1" customWidth="1"/>
    <col min="12" max="12" width="14.7109375" style="1" bestFit="1" customWidth="1"/>
    <col min="13" max="13" width="19.28515625" style="1" bestFit="1" customWidth="1"/>
    <col min="14" max="14" width="11.28515625" style="1" bestFit="1" customWidth="1"/>
    <col min="15" max="16384" width="8.85546875" style="1"/>
  </cols>
  <sheetData>
    <row r="1" spans="2:14" ht="15.75" thickBot="1" x14ac:dyDescent="0.3">
      <c r="F1" s="77"/>
      <c r="G1" s="77"/>
      <c r="H1" s="78"/>
      <c r="I1" s="78"/>
      <c r="J1" s="13"/>
      <c r="L1" s="653" t="s">
        <v>28</v>
      </c>
      <c r="M1" s="653"/>
    </row>
    <row r="2" spans="2:14" ht="28.9" customHeight="1" x14ac:dyDescent="0.25">
      <c r="B2" s="658" t="s">
        <v>133</v>
      </c>
      <c r="C2" s="659"/>
      <c r="D2" s="659"/>
      <c r="E2" s="660"/>
      <c r="F2" s="232"/>
      <c r="G2" s="652" t="s">
        <v>70</v>
      </c>
      <c r="H2" s="652"/>
      <c r="I2" s="652"/>
      <c r="J2" s="52"/>
      <c r="L2" s="2" t="s">
        <v>99</v>
      </c>
      <c r="M2" s="2" t="s">
        <v>80</v>
      </c>
      <c r="N2" s="2" t="s">
        <v>111</v>
      </c>
    </row>
    <row r="3" spans="2:14" ht="43.5" x14ac:dyDescent="0.25">
      <c r="B3" s="12" t="s">
        <v>8</v>
      </c>
      <c r="C3" s="2" t="s">
        <v>21</v>
      </c>
      <c r="D3" s="13" t="s">
        <v>26</v>
      </c>
      <c r="E3" s="79" t="s">
        <v>6</v>
      </c>
      <c r="F3" s="119" t="s">
        <v>136</v>
      </c>
      <c r="G3" s="119" t="s">
        <v>137</v>
      </c>
      <c r="H3" s="77" t="s">
        <v>102</v>
      </c>
      <c r="I3" s="77" t="s">
        <v>82</v>
      </c>
      <c r="J3" s="77" t="s">
        <v>103</v>
      </c>
      <c r="K3" s="69" t="s">
        <v>121</v>
      </c>
      <c r="L3" s="245"/>
      <c r="M3" s="245">
        <v>1</v>
      </c>
      <c r="N3" s="245"/>
    </row>
    <row r="4" spans="2:14" x14ac:dyDescent="0.25">
      <c r="B4" s="47">
        <v>45627</v>
      </c>
      <c r="C4" s="49">
        <v>149.80000000000001</v>
      </c>
      <c r="D4" s="49">
        <v>0</v>
      </c>
      <c r="E4" s="49">
        <v>180.58299999999997</v>
      </c>
      <c r="F4" s="75"/>
      <c r="G4" s="75">
        <v>170</v>
      </c>
      <c r="H4" s="171"/>
      <c r="I4" s="171">
        <f>+F4*'Цени капацитети'!$E$45+G4*'Цени капацитети'!$E$59</f>
        <v>771.37499999999989</v>
      </c>
      <c r="J4" s="113">
        <f>$M$3*'Цени капацитети'!$E$21+$L$3*'Цени капацитети'!$E$4+$N$3*'Цени капацитети'!$E$8+I4</f>
        <v>773.91599999999994</v>
      </c>
      <c r="K4" s="122"/>
    </row>
    <row r="5" spans="2:14" x14ac:dyDescent="0.25">
      <c r="B5" s="47">
        <f>+B4+1</f>
        <v>45628</v>
      </c>
      <c r="C5" s="49">
        <v>16.477</v>
      </c>
      <c r="D5" s="49">
        <v>0</v>
      </c>
      <c r="E5" s="49">
        <v>16.477</v>
      </c>
      <c r="F5" s="217"/>
      <c r="G5" s="217">
        <v>15.48</v>
      </c>
      <c r="H5" s="171"/>
      <c r="I5" s="171">
        <f>+F5*'Цени капацитети'!$E$45+G5*'Цени капацитети'!$E$59</f>
        <v>70.240499999999997</v>
      </c>
      <c r="J5" s="113">
        <f>$M$3*'Цени капацитети'!$E$21+$L$3*'Цени капацитети'!$E$4+$N$3*'Цени капацитети'!$E$8+I5</f>
        <v>72.781499999999994</v>
      </c>
      <c r="K5" s="122"/>
    </row>
    <row r="6" spans="2:14" ht="13.9" customHeight="1" x14ac:dyDescent="0.25">
      <c r="B6" s="47">
        <f t="shared" ref="B6:B34" si="0">+B5+1</f>
        <v>45629</v>
      </c>
      <c r="C6" s="49">
        <v>0</v>
      </c>
      <c r="D6" s="49">
        <v>0</v>
      </c>
      <c r="E6" s="49">
        <v>0</v>
      </c>
      <c r="F6" s="217"/>
      <c r="G6" s="217"/>
      <c r="H6" s="171"/>
      <c r="I6" s="171">
        <f>+F6*'Цени капацитети'!$E$45+G6*'Цени капацитети'!$E$59</f>
        <v>0</v>
      </c>
      <c r="J6" s="113">
        <f>$M$3*'Цени капацитети'!$E$21+$L$3*'Цени капацитети'!$E$4+$N$3*'Цени капацитети'!$E$8+I6</f>
        <v>2.5409999999999999</v>
      </c>
      <c r="K6" s="122"/>
    </row>
    <row r="7" spans="2:14" x14ac:dyDescent="0.25">
      <c r="B7" s="47">
        <f t="shared" si="0"/>
        <v>45630</v>
      </c>
      <c r="C7" s="49">
        <v>15.874000000000001</v>
      </c>
      <c r="D7" s="49">
        <v>0</v>
      </c>
      <c r="E7" s="49">
        <v>15.874000000000001</v>
      </c>
      <c r="F7" s="217"/>
      <c r="G7" s="217">
        <v>8.06</v>
      </c>
      <c r="H7" s="171"/>
      <c r="I7" s="171">
        <f>+F7*'Цени капацитети'!$E$45+G7*'Цени капацитети'!$E$59</f>
        <v>36.572249999999997</v>
      </c>
      <c r="J7" s="113">
        <f>$M$3*'Цени капацитети'!$E$21+$L$3*'Цени капацитети'!$E$4+$N$3*'Цени капацитети'!$E$8+I7</f>
        <v>39.113249999999994</v>
      </c>
      <c r="K7" s="122"/>
    </row>
    <row r="8" spans="2:14" x14ac:dyDescent="0.25">
      <c r="B8" s="47">
        <f t="shared" si="0"/>
        <v>45631</v>
      </c>
      <c r="C8" s="49">
        <v>0</v>
      </c>
      <c r="D8" s="49">
        <v>0</v>
      </c>
      <c r="E8" s="49">
        <v>0</v>
      </c>
      <c r="F8" s="217"/>
      <c r="G8" s="217"/>
      <c r="H8" s="171"/>
      <c r="I8" s="171">
        <f>+F8*'Цени капацитети'!$E$45+G8*'Цени капацитети'!$E$59</f>
        <v>0</v>
      </c>
      <c r="J8" s="113">
        <f>$M$3*'Цени капацитети'!$E$21+$L$3*'Цени капацитети'!$E$4+$N$3*'Цени капацитети'!$E$8+I8</f>
        <v>2.5409999999999999</v>
      </c>
      <c r="K8" s="122"/>
    </row>
    <row r="9" spans="2:14" x14ac:dyDescent="0.25">
      <c r="B9" s="47">
        <f t="shared" si="0"/>
        <v>45632</v>
      </c>
      <c r="C9" s="49">
        <v>0</v>
      </c>
      <c r="D9" s="49">
        <v>0</v>
      </c>
      <c r="E9" s="49">
        <v>0</v>
      </c>
      <c r="F9" s="217"/>
      <c r="G9" s="217"/>
      <c r="H9" s="171"/>
      <c r="I9" s="171">
        <f>+F9*'Цени капацитети'!$E$45+G9*'Цени капацитети'!$E$59</f>
        <v>0</v>
      </c>
      <c r="J9" s="113">
        <f>$M$3*'Цени капацитети'!$E$21+$L$3*'Цени капацитети'!$E$4+$N$3*'Цени капацитети'!$E$8+I9</f>
        <v>2.5409999999999999</v>
      </c>
      <c r="K9" s="122"/>
    </row>
    <row r="10" spans="2:14" x14ac:dyDescent="0.25">
      <c r="B10" s="47">
        <f t="shared" si="0"/>
        <v>45633</v>
      </c>
      <c r="C10" s="49">
        <v>0</v>
      </c>
      <c r="D10" s="49">
        <v>0</v>
      </c>
      <c r="E10" s="49">
        <v>0</v>
      </c>
      <c r="F10" s="217"/>
      <c r="G10" s="217"/>
      <c r="H10" s="171"/>
      <c r="I10" s="171">
        <f>+F10*'Цени капацитети'!$E$45+G10*'Цени капацитети'!$E$59</f>
        <v>0</v>
      </c>
      <c r="J10" s="113">
        <f>$M$3*'Цени капацитети'!$E$21+$L$3*'Цени капацитети'!$E$4+$N$3*'Цени капацитети'!$E$8+I10</f>
        <v>2.5409999999999999</v>
      </c>
      <c r="K10" s="122"/>
    </row>
    <row r="11" spans="2:14" x14ac:dyDescent="0.25">
      <c r="B11" s="47">
        <f t="shared" si="0"/>
        <v>45634</v>
      </c>
      <c r="C11" s="49">
        <v>0</v>
      </c>
      <c r="D11" s="49">
        <v>340</v>
      </c>
      <c r="E11" s="49">
        <v>377.66199999999998</v>
      </c>
      <c r="F11" s="217"/>
      <c r="G11" s="217">
        <v>340</v>
      </c>
      <c r="H11" s="171"/>
      <c r="I11" s="171">
        <f>+F11*'Цени капацитети'!$E$45+G11*'Цени капацитети'!$E$59</f>
        <v>1542.7499999999998</v>
      </c>
      <c r="J11" s="113">
        <f>$M$3*'Цени капацитети'!$E$21+$L$3*'Цени капацитети'!$E$4+$N$3*'Цени капацитети'!$E$8+I11</f>
        <v>1545.2909999999997</v>
      </c>
      <c r="K11" s="122"/>
    </row>
    <row r="12" spans="2:14" x14ac:dyDescent="0.25">
      <c r="B12" s="47">
        <f t="shared" si="0"/>
        <v>45635</v>
      </c>
      <c r="C12" s="49">
        <v>0</v>
      </c>
      <c r="D12" s="49">
        <v>0</v>
      </c>
      <c r="E12" s="49">
        <v>0</v>
      </c>
      <c r="F12" s="217"/>
      <c r="G12" s="217"/>
      <c r="H12" s="171"/>
      <c r="I12" s="171">
        <f>+F12*'Цени капацитети'!$E$45+G12*'Цени капацитети'!$E$59</f>
        <v>0</v>
      </c>
      <c r="J12" s="113">
        <f>$M$3*'Цени капацитети'!$E$21+$L$3*'Цени капацитети'!$E$4+$N$3*'Цени капацитети'!$E$8+I12</f>
        <v>2.5409999999999999</v>
      </c>
      <c r="K12" s="122"/>
    </row>
    <row r="13" spans="2:14" x14ac:dyDescent="0.25">
      <c r="B13" s="47">
        <f t="shared" si="0"/>
        <v>45636</v>
      </c>
      <c r="C13" s="49">
        <v>0</v>
      </c>
      <c r="D13" s="49">
        <v>5</v>
      </c>
      <c r="E13" s="49">
        <v>4.7539999999999996</v>
      </c>
      <c r="F13" s="217"/>
      <c r="G13" s="217">
        <v>4</v>
      </c>
      <c r="H13" s="171"/>
      <c r="I13" s="171">
        <f>+F13*'Цени капацитети'!$E$45+G13*'Цени капацитети'!$E$59</f>
        <v>18.149999999999999</v>
      </c>
      <c r="J13" s="113">
        <f>$M$3*'Цени капацитети'!$E$21+$L$3*'Цени капацитети'!$E$4+$N$3*'Цени капацитети'!$E$8+I13</f>
        <v>20.690999999999999</v>
      </c>
      <c r="K13" s="122"/>
      <c r="L13" s="23"/>
    </row>
    <row r="14" spans="2:14" x14ac:dyDescent="0.25">
      <c r="B14" s="47">
        <f t="shared" si="0"/>
        <v>45637</v>
      </c>
      <c r="C14" s="49">
        <v>0</v>
      </c>
      <c r="D14" s="49">
        <v>0</v>
      </c>
      <c r="E14" s="49">
        <v>0</v>
      </c>
      <c r="F14" s="217"/>
      <c r="G14" s="217"/>
      <c r="H14" s="171"/>
      <c r="I14" s="171">
        <f>+F14*'Цени капацитети'!$E$45+G14*'Цени капацитети'!$E$59</f>
        <v>0</v>
      </c>
      <c r="J14" s="113">
        <f>$M$3*'Цени капацитети'!$E$21+$L$3*'Цени капацитети'!$E$4+$N$3*'Цени капацитети'!$E$8+I14</f>
        <v>2.5409999999999999</v>
      </c>
      <c r="K14" s="122"/>
    </row>
    <row r="15" spans="2:14" x14ac:dyDescent="0.25">
      <c r="B15" s="47">
        <f t="shared" si="0"/>
        <v>45638</v>
      </c>
      <c r="C15" s="49">
        <v>0</v>
      </c>
      <c r="D15" s="49">
        <v>0</v>
      </c>
      <c r="E15" s="49">
        <v>0</v>
      </c>
      <c r="F15" s="217"/>
      <c r="G15" s="217"/>
      <c r="H15" s="171"/>
      <c r="I15" s="171">
        <f>+F15*'Цени капацитети'!$E$45+G15*'Цени капацитети'!$E$59</f>
        <v>0</v>
      </c>
      <c r="J15" s="113">
        <f>$M$3*'Цени капацитети'!$E$21+$L$3*'Цени капацитети'!$E$4+$N$3*'Цени капацитети'!$E$8+I15</f>
        <v>2.5409999999999999</v>
      </c>
      <c r="K15" s="122"/>
    </row>
    <row r="16" spans="2:14" x14ac:dyDescent="0.25">
      <c r="B16" s="47">
        <f t="shared" si="0"/>
        <v>45639</v>
      </c>
      <c r="C16" s="49">
        <v>0</v>
      </c>
      <c r="D16" s="49">
        <v>375</v>
      </c>
      <c r="E16" s="49">
        <v>373.94099999999997</v>
      </c>
      <c r="F16" s="217"/>
      <c r="G16" s="217">
        <v>374</v>
      </c>
      <c r="H16" s="171"/>
      <c r="I16" s="171">
        <f>+F16*'Цени капацитети'!$E$45+G16*'Цени капацитети'!$E$59</f>
        <v>1697.0249999999999</v>
      </c>
      <c r="J16" s="113">
        <f>$M$3*'Цени капацитети'!$E$21+$L$3*'Цени капацитети'!$E$4+$N$3*'Цени капацитети'!$E$8+I16</f>
        <v>1699.5659999999998</v>
      </c>
      <c r="K16" s="122"/>
    </row>
    <row r="17" spans="2:13" x14ac:dyDescent="0.25">
      <c r="B17" s="47">
        <f t="shared" si="0"/>
        <v>45640</v>
      </c>
      <c r="C17" s="49">
        <v>0</v>
      </c>
      <c r="D17" s="49">
        <v>0</v>
      </c>
      <c r="E17" s="49">
        <v>0</v>
      </c>
      <c r="F17" s="217"/>
      <c r="G17" s="217"/>
      <c r="H17" s="171"/>
      <c r="I17" s="171">
        <f>+F17*'Цени капацитети'!$E$45+G17*'Цени капацитети'!$E$59</f>
        <v>0</v>
      </c>
      <c r="J17" s="113">
        <f>$M$3*'Цени капацитети'!$E$21+$L$3*'Цени капацитети'!$E$4+$N$3*'Цени капацитети'!$E$8+I17</f>
        <v>2.5409999999999999</v>
      </c>
      <c r="K17" s="122"/>
    </row>
    <row r="18" spans="2:13" x14ac:dyDescent="0.25">
      <c r="B18" s="47">
        <f t="shared" si="0"/>
        <v>45641</v>
      </c>
      <c r="C18" s="49">
        <v>0</v>
      </c>
      <c r="D18" s="49">
        <v>0</v>
      </c>
      <c r="E18" s="49">
        <v>0</v>
      </c>
      <c r="F18" s="217"/>
      <c r="G18" s="217"/>
      <c r="H18" s="171"/>
      <c r="I18" s="171">
        <f>+F18*'Цени капацитети'!$E$45+G18*'Цени капацитети'!$E$59</f>
        <v>0</v>
      </c>
      <c r="J18" s="113">
        <f>$M$3*'Цени капацитети'!$E$21+$L$3*'Цени капацитети'!$E$4+$N$3*'Цени капацитети'!$E$8+I18</f>
        <v>2.5409999999999999</v>
      </c>
      <c r="K18" s="122"/>
    </row>
    <row r="19" spans="2:13" x14ac:dyDescent="0.25">
      <c r="B19" s="47">
        <f t="shared" si="0"/>
        <v>45642</v>
      </c>
      <c r="C19" s="49">
        <v>0</v>
      </c>
      <c r="D19" s="49">
        <v>0</v>
      </c>
      <c r="E19" s="49">
        <v>0</v>
      </c>
      <c r="F19" s="217"/>
      <c r="G19" s="217"/>
      <c r="H19" s="171"/>
      <c r="I19" s="171">
        <f>+F19*'Цени капацитети'!$E$45+G19*'Цени капацитети'!$E$59</f>
        <v>0</v>
      </c>
      <c r="J19" s="113">
        <f>$M$3*'Цени капацитети'!$E$21+$L$3*'Цени капацитети'!$E$4+$N$3*'Цени капацитети'!$E$8+I19</f>
        <v>2.5409999999999999</v>
      </c>
      <c r="K19" s="122"/>
      <c r="M19" s="3"/>
    </row>
    <row r="20" spans="2:13" x14ac:dyDescent="0.25">
      <c r="B20" s="47">
        <f t="shared" si="0"/>
        <v>45643</v>
      </c>
      <c r="C20" s="49"/>
      <c r="D20" s="49"/>
      <c r="E20" s="49"/>
      <c r="F20" s="217"/>
      <c r="G20" s="217"/>
      <c r="H20" s="171"/>
      <c r="I20" s="171">
        <f>+F20*'Цени капацитети'!$E$45+G20*'Цени капацитети'!$E$59</f>
        <v>0</v>
      </c>
      <c r="J20" s="113">
        <f>$M$3*'Цени капацитети'!$E$21+$L$3*'Цени капацитети'!$E$4+$N$3*'Цени капацитети'!$E$8+I20</f>
        <v>2.5409999999999999</v>
      </c>
      <c r="K20" s="122"/>
      <c r="M20" s="17"/>
    </row>
    <row r="21" spans="2:13" x14ac:dyDescent="0.25">
      <c r="B21" s="47">
        <f t="shared" si="0"/>
        <v>45644</v>
      </c>
      <c r="C21" s="49"/>
      <c r="D21" s="49"/>
      <c r="E21" s="49"/>
      <c r="F21" s="217"/>
      <c r="G21" s="217"/>
      <c r="H21" s="171"/>
      <c r="I21" s="171">
        <f>+F21*'Цени капацитети'!$E$45+G21*'Цени капацитети'!$E$59</f>
        <v>0</v>
      </c>
      <c r="J21" s="113">
        <f>$M$3*'Цени капацитети'!$E$21+$L$3*'Цени капацитети'!$E$4+$N$3*'Цени капацитети'!$E$8+I21</f>
        <v>2.5409999999999999</v>
      </c>
      <c r="K21" s="122"/>
      <c r="M21" s="17"/>
    </row>
    <row r="22" spans="2:13" x14ac:dyDescent="0.25">
      <c r="B22" s="47">
        <f t="shared" si="0"/>
        <v>45645</v>
      </c>
      <c r="C22" s="49"/>
      <c r="D22" s="49"/>
      <c r="E22" s="49"/>
      <c r="F22" s="217"/>
      <c r="G22" s="217"/>
      <c r="H22" s="171"/>
      <c r="I22" s="171">
        <f>+F22*'Цени капацитети'!$E$45+G22*'Цени капацитети'!$E$59</f>
        <v>0</v>
      </c>
      <c r="J22" s="113">
        <f>$M$3*'Цени капацитети'!$E$21+$L$3*'Цени капацитети'!$E$4+$N$3*'Цени капацитети'!$E$8+I22</f>
        <v>2.5409999999999999</v>
      </c>
      <c r="K22" s="122"/>
    </row>
    <row r="23" spans="2:13" x14ac:dyDescent="0.25">
      <c r="B23" s="47">
        <f t="shared" si="0"/>
        <v>45646</v>
      </c>
      <c r="C23" s="49"/>
      <c r="D23" s="49"/>
      <c r="E23" s="49"/>
      <c r="F23" s="217"/>
      <c r="G23" s="217"/>
      <c r="H23" s="171"/>
      <c r="I23" s="171">
        <f>+F23*'Цени капацитети'!$E$45+G23*'Цени капацитети'!$E$59</f>
        <v>0</v>
      </c>
      <c r="J23" s="113">
        <f>$M$3*'Цени капацитети'!$E$21+$L$3*'Цени капацитети'!$E$4+$N$3*'Цени капацитети'!$E$8+I23</f>
        <v>2.5409999999999999</v>
      </c>
      <c r="K23" s="122"/>
    </row>
    <row r="24" spans="2:13" x14ac:dyDescent="0.25">
      <c r="B24" s="47">
        <f t="shared" si="0"/>
        <v>45647</v>
      </c>
      <c r="C24" s="49"/>
      <c r="D24" s="49"/>
      <c r="E24" s="49"/>
      <c r="F24" s="217"/>
      <c r="G24" s="217"/>
      <c r="H24" s="171"/>
      <c r="I24" s="171">
        <f>+F24*'Цени капацитети'!$E$45+G24*'Цени капацитети'!$E$59</f>
        <v>0</v>
      </c>
      <c r="J24" s="113">
        <f>$M$3*'Цени капацитети'!$E$21+$L$3*'Цени капацитети'!$E$4+$N$3*'Цени капацитети'!$E$8+I24</f>
        <v>2.5409999999999999</v>
      </c>
      <c r="K24" s="122"/>
    </row>
    <row r="25" spans="2:13" x14ac:dyDescent="0.25">
      <c r="B25" s="47">
        <f t="shared" si="0"/>
        <v>45648</v>
      </c>
      <c r="C25" s="49"/>
      <c r="D25" s="49"/>
      <c r="E25" s="49"/>
      <c r="F25" s="217"/>
      <c r="G25" s="57"/>
      <c r="H25" s="171"/>
      <c r="I25" s="171">
        <f>+F25*'Цени капацитети'!$E$45+G25*'Цени капацитети'!$E$59</f>
        <v>0</v>
      </c>
      <c r="J25" s="113">
        <f>$M$3*'Цени капацитети'!$E$21+$L$3*'Цени капацитети'!$E$4+$N$3*'Цени капацитети'!$E$8+I25</f>
        <v>2.5409999999999999</v>
      </c>
      <c r="K25" s="122"/>
    </row>
    <row r="26" spans="2:13" x14ac:dyDescent="0.25">
      <c r="B26" s="47">
        <f t="shared" si="0"/>
        <v>45649</v>
      </c>
      <c r="C26" s="49"/>
      <c r="D26" s="49"/>
      <c r="E26" s="49"/>
      <c r="F26" s="217"/>
      <c r="G26" s="57"/>
      <c r="H26" s="171"/>
      <c r="I26" s="171">
        <f>+F26*'Цени капацитети'!$E$45+G26*'Цени капацитети'!$E$59</f>
        <v>0</v>
      </c>
      <c r="J26" s="113">
        <f>$M$3*'Цени капацитети'!$E$21+$L$3*'Цени капацитети'!$E$4+$N$3*'Цени капацитети'!$E$8+I26</f>
        <v>2.5409999999999999</v>
      </c>
      <c r="K26" s="122"/>
    </row>
    <row r="27" spans="2:13" x14ac:dyDescent="0.25">
      <c r="B27" s="47">
        <f t="shared" si="0"/>
        <v>45650</v>
      </c>
      <c r="C27" s="49"/>
      <c r="D27" s="49"/>
      <c r="E27" s="49"/>
      <c r="F27" s="57"/>
      <c r="G27" s="57"/>
      <c r="H27" s="171"/>
      <c r="I27" s="171">
        <f>+F27*'Цени капацитети'!$E$45+G27*'Цени капацитети'!$E$59</f>
        <v>0</v>
      </c>
      <c r="J27" s="113">
        <f>$M$3*'Цени капацитети'!$E$21+$L$3*'Цени капацитети'!$E$4+$N$3*'Цени капацитети'!$E$8+I27</f>
        <v>2.5409999999999999</v>
      </c>
      <c r="K27" s="122"/>
    </row>
    <row r="28" spans="2:13" x14ac:dyDescent="0.25">
      <c r="B28" s="47">
        <f t="shared" si="0"/>
        <v>45651</v>
      </c>
      <c r="C28" s="49"/>
      <c r="D28" s="49"/>
      <c r="E28" s="49"/>
      <c r="F28" s="57"/>
      <c r="G28" s="57"/>
      <c r="H28" s="171"/>
      <c r="I28" s="171">
        <f>+F28*'Цени капацитети'!$E$45+G28*'Цени капацитети'!$E$59</f>
        <v>0</v>
      </c>
      <c r="J28" s="113">
        <f>$M$3*'Цени капацитети'!$E$21+$L$3*'Цени капацитети'!$E$4+$N$3*'Цени капацитети'!$E$8+I28</f>
        <v>2.5409999999999999</v>
      </c>
      <c r="K28" s="122"/>
    </row>
    <row r="29" spans="2:13" x14ac:dyDescent="0.25">
      <c r="B29" s="47">
        <f t="shared" si="0"/>
        <v>45652</v>
      </c>
      <c r="C29" s="49"/>
      <c r="D29" s="49"/>
      <c r="E29" s="49"/>
      <c r="F29" s="57"/>
      <c r="G29" s="57"/>
      <c r="H29" s="171"/>
      <c r="I29" s="171">
        <f>+F29*'Цени капацитети'!$E$45+G29*'Цени капацитети'!$E$59</f>
        <v>0</v>
      </c>
      <c r="J29" s="113">
        <f>$M$3*'Цени капацитети'!$E$21+$L$3*'Цени капацитети'!$E$4+$N$3*'Цени капацитети'!$E$8+I29</f>
        <v>2.5409999999999999</v>
      </c>
      <c r="K29" s="122"/>
    </row>
    <row r="30" spans="2:13" x14ac:dyDescent="0.25">
      <c r="B30" s="47">
        <f t="shared" si="0"/>
        <v>45653</v>
      </c>
      <c r="C30" s="49"/>
      <c r="D30" s="49"/>
      <c r="E30" s="49"/>
      <c r="F30" s="57"/>
      <c r="G30" s="57"/>
      <c r="H30" s="171"/>
      <c r="I30" s="171">
        <f>+F30*'Цени капацитети'!$E$45+G30*'Цени капацитети'!$E$59</f>
        <v>0</v>
      </c>
      <c r="J30" s="113">
        <f>$M$3*'Цени капацитети'!$E$21+$L$3*'Цени капацитети'!$E$4+$N$3*'Цени капацитети'!$E$8+I30</f>
        <v>2.5409999999999999</v>
      </c>
      <c r="K30" s="122"/>
    </row>
    <row r="31" spans="2:13" x14ac:dyDescent="0.25">
      <c r="B31" s="47">
        <f t="shared" si="0"/>
        <v>45654</v>
      </c>
      <c r="C31" s="49"/>
      <c r="D31" s="49"/>
      <c r="E31" s="49"/>
      <c r="F31" s="57"/>
      <c r="G31" s="57"/>
      <c r="H31" s="171"/>
      <c r="I31" s="171">
        <f>+F31*'Цени капацитети'!$E$45+G31*'Цени капацитети'!$E$59</f>
        <v>0</v>
      </c>
      <c r="J31" s="113">
        <f>$M$3*'Цени капацитети'!$E$21+$L$3*'Цени капацитети'!$E$4+$N$3*'Цени капацитети'!$E$8+I31</f>
        <v>2.5409999999999999</v>
      </c>
      <c r="K31" s="122"/>
    </row>
    <row r="32" spans="2:13" x14ac:dyDescent="0.25">
      <c r="B32" s="47">
        <f t="shared" si="0"/>
        <v>45655</v>
      </c>
      <c r="C32" s="49"/>
      <c r="D32" s="49"/>
      <c r="E32" s="49"/>
      <c r="F32" s="57"/>
      <c r="G32" s="57"/>
      <c r="H32" s="171"/>
      <c r="I32" s="171">
        <f>+F32*'Цени капацитети'!$E$45+G32*'Цени капацитети'!$E$59</f>
        <v>0</v>
      </c>
      <c r="J32" s="113">
        <f>$M$3*'Цени капацитети'!$E$21+$L$3*'Цени капацитети'!$E$4+$N$3*'Цени капацитети'!$E$8+I32</f>
        <v>2.5409999999999999</v>
      </c>
      <c r="K32" s="122"/>
    </row>
    <row r="33" spans="2:11" x14ac:dyDescent="0.25">
      <c r="B33" s="47">
        <f t="shared" si="0"/>
        <v>45656</v>
      </c>
      <c r="C33" s="49"/>
      <c r="D33" s="49"/>
      <c r="E33" s="49"/>
      <c r="F33" s="57"/>
      <c r="G33" s="57"/>
      <c r="H33" s="171"/>
      <c r="I33" s="171">
        <f>+F33*'Цени капацитети'!$E$45+G33*'Цени капацитети'!$E$59</f>
        <v>0</v>
      </c>
      <c r="J33" s="113">
        <f>$M$3*'Цени капацитети'!$E$21+$L$3*'Цени капацитети'!$E$4+$N$3*'Цени капацитети'!$E$8+I33</f>
        <v>2.5409999999999999</v>
      </c>
      <c r="K33" s="122"/>
    </row>
    <row r="34" spans="2:11" x14ac:dyDescent="0.25">
      <c r="B34" s="47">
        <f t="shared" si="0"/>
        <v>45657</v>
      </c>
      <c r="C34" s="49"/>
      <c r="D34" s="49"/>
      <c r="E34" s="49"/>
      <c r="F34" s="57"/>
      <c r="G34" s="57"/>
      <c r="H34" s="171"/>
      <c r="I34" s="171">
        <f>+F34*'Цени капацитети'!$E$45+G34*'Цени капацитети'!$E$59</f>
        <v>0</v>
      </c>
      <c r="J34" s="113">
        <f>$M$3*'Цени капацитети'!$E$21+$L$3*'Цени капацитети'!$E$4+$N$3*'Цени капацитети'!$E$8+I34</f>
        <v>2.5409999999999999</v>
      </c>
      <c r="K34" s="247">
        <f>SUM(K4:K33)</f>
        <v>0</v>
      </c>
    </row>
    <row r="35" spans="2:11" x14ac:dyDescent="0.25">
      <c r="E35" s="16">
        <f>SUM(E4:E34)</f>
        <v>969.29099999999994</v>
      </c>
      <c r="F35" s="16">
        <f>SUM(F4:F34)</f>
        <v>0</v>
      </c>
      <c r="G35" s="16">
        <f>SUM(G4:G34)</f>
        <v>911.54</v>
      </c>
      <c r="H35" s="16">
        <f>SUM(H4:H34)</f>
        <v>0</v>
      </c>
    </row>
    <row r="36" spans="2:11" x14ac:dyDescent="0.25">
      <c r="E36" s="1">
        <f>+E35/31</f>
        <v>31.267451612903223</v>
      </c>
    </row>
  </sheetData>
  <mergeCells count="3">
    <mergeCell ref="L1:M1"/>
    <mergeCell ref="B2:E2"/>
    <mergeCell ref="G2:I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B1:O35"/>
  <sheetViews>
    <sheetView zoomScale="70" zoomScaleNormal="70" workbookViewId="0">
      <selection activeCell="H18" sqref="H18:H19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53" t="s">
        <v>28</v>
      </c>
      <c r="N1" s="653"/>
    </row>
    <row r="2" spans="2:15" ht="15.75" thickBot="1" x14ac:dyDescent="0.3">
      <c r="B2" s="661" t="s">
        <v>108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M2" s="2" t="s">
        <v>99</v>
      </c>
      <c r="N2" s="2" t="s">
        <v>80</v>
      </c>
      <c r="O2" s="2" t="s">
        <v>111</v>
      </c>
    </row>
    <row r="3" spans="2:15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35" t="s">
        <v>71</v>
      </c>
      <c r="L3" s="69" t="s">
        <v>121</v>
      </c>
      <c r="M3" s="252">
        <v>0</v>
      </c>
      <c r="N3" s="252"/>
      <c r="O3" s="245"/>
    </row>
    <row r="4" spans="2:15" x14ac:dyDescent="0.25">
      <c r="B4" s="47">
        <v>45627</v>
      </c>
      <c r="C4" s="49">
        <v>0</v>
      </c>
      <c r="D4" s="49">
        <v>0</v>
      </c>
      <c r="E4" s="49">
        <v>0</v>
      </c>
      <c r="F4" s="21"/>
      <c r="G4" s="48"/>
      <c r="H4" s="57">
        <v>3.8</v>
      </c>
      <c r="I4" s="57"/>
      <c r="J4" s="76"/>
      <c r="K4" s="73"/>
      <c r="L4" s="121"/>
    </row>
    <row r="5" spans="2:15" x14ac:dyDescent="0.25">
      <c r="B5" s="47">
        <f>+B4+1</f>
        <v>45628</v>
      </c>
      <c r="C5" s="49">
        <v>0</v>
      </c>
      <c r="D5" s="49">
        <v>0</v>
      </c>
      <c r="E5" s="49">
        <v>6.0439999999999996</v>
      </c>
      <c r="F5" s="21"/>
      <c r="G5" s="48"/>
      <c r="H5" s="57"/>
      <c r="I5" s="57">
        <v>3.8039999999999998</v>
      </c>
      <c r="J5" s="76"/>
      <c r="K5" s="73"/>
      <c r="L5" s="121"/>
    </row>
    <row r="6" spans="2:15" x14ac:dyDescent="0.25">
      <c r="B6" s="47">
        <f t="shared" ref="B6:B34" si="0">+B5+1</f>
        <v>45629</v>
      </c>
      <c r="C6" s="49">
        <v>0</v>
      </c>
      <c r="D6" s="49">
        <v>0</v>
      </c>
      <c r="E6" s="49">
        <v>2.863</v>
      </c>
      <c r="F6" s="21"/>
      <c r="G6" s="48"/>
      <c r="H6" s="57">
        <v>3.8</v>
      </c>
      <c r="I6" s="57"/>
      <c r="J6" s="76"/>
      <c r="K6" s="73"/>
      <c r="L6" s="121"/>
    </row>
    <row r="7" spans="2:15" x14ac:dyDescent="0.25">
      <c r="B7" s="47">
        <f t="shared" si="0"/>
        <v>45630</v>
      </c>
      <c r="C7" s="49">
        <v>0</v>
      </c>
      <c r="D7" s="49">
        <v>0</v>
      </c>
      <c r="E7" s="49">
        <v>3.0550000000000002</v>
      </c>
      <c r="F7" s="21"/>
      <c r="G7" s="48"/>
      <c r="H7" s="57">
        <v>3.8</v>
      </c>
      <c r="I7" s="57"/>
      <c r="J7" s="76"/>
      <c r="K7" s="73"/>
      <c r="L7" s="121"/>
    </row>
    <row r="8" spans="2:15" x14ac:dyDescent="0.25">
      <c r="B8" s="47">
        <f t="shared" si="0"/>
        <v>45631</v>
      </c>
      <c r="C8" s="49">
        <v>0</v>
      </c>
      <c r="D8" s="49">
        <v>0</v>
      </c>
      <c r="E8" s="49">
        <v>3.0830000000000002</v>
      </c>
      <c r="F8" s="21"/>
      <c r="G8" s="53"/>
      <c r="H8" s="57">
        <v>3.8</v>
      </c>
      <c r="I8" s="57"/>
      <c r="J8" s="76"/>
      <c r="K8" s="73"/>
      <c r="L8" s="121"/>
    </row>
    <row r="9" spans="2:15" x14ac:dyDescent="0.25">
      <c r="B9" s="47">
        <f t="shared" si="0"/>
        <v>45632</v>
      </c>
      <c r="C9" s="49">
        <v>0</v>
      </c>
      <c r="D9" s="49">
        <v>0</v>
      </c>
      <c r="E9" s="49">
        <v>3.077</v>
      </c>
      <c r="F9" s="21"/>
      <c r="G9" s="53"/>
      <c r="H9" s="57">
        <v>3.8</v>
      </c>
      <c r="I9" s="57"/>
      <c r="J9" s="76"/>
      <c r="K9" s="73"/>
      <c r="L9" s="121"/>
    </row>
    <row r="10" spans="2:15" x14ac:dyDescent="0.25">
      <c r="B10" s="47">
        <f t="shared" si="0"/>
        <v>45633</v>
      </c>
      <c r="C10" s="49">
        <v>0</v>
      </c>
      <c r="D10" s="49">
        <v>0</v>
      </c>
      <c r="E10" s="49">
        <v>0.85599999999999998</v>
      </c>
      <c r="F10" s="21"/>
      <c r="G10" s="54"/>
      <c r="H10" s="57">
        <v>3.8</v>
      </c>
      <c r="I10" s="57"/>
      <c r="J10" s="76"/>
      <c r="K10" s="73"/>
      <c r="L10" s="121"/>
    </row>
    <row r="11" spans="2:15" x14ac:dyDescent="0.25">
      <c r="B11" s="47">
        <f t="shared" si="0"/>
        <v>45634</v>
      </c>
      <c r="C11" s="49">
        <v>0</v>
      </c>
      <c r="D11" s="49">
        <v>0</v>
      </c>
      <c r="E11" s="49">
        <v>3.8149999999999999</v>
      </c>
      <c r="F11" s="21"/>
      <c r="G11" s="55"/>
      <c r="H11" s="57">
        <v>3.8</v>
      </c>
      <c r="I11" s="57"/>
      <c r="J11" s="76"/>
      <c r="K11" s="73"/>
      <c r="L11" s="121"/>
    </row>
    <row r="12" spans="2:15" x14ac:dyDescent="0.25">
      <c r="B12" s="47">
        <f t="shared" si="0"/>
        <v>45635</v>
      </c>
      <c r="C12" s="49">
        <v>0</v>
      </c>
      <c r="D12" s="49">
        <v>0</v>
      </c>
      <c r="E12" s="49">
        <v>3.84</v>
      </c>
      <c r="F12" s="21"/>
      <c r="G12" s="54"/>
      <c r="H12" s="57">
        <v>3.8</v>
      </c>
      <c r="I12" s="57"/>
      <c r="J12" s="76"/>
      <c r="K12" s="73"/>
      <c r="L12" s="121"/>
    </row>
    <row r="13" spans="2:15" x14ac:dyDescent="0.25">
      <c r="B13" s="47">
        <f t="shared" si="0"/>
        <v>45636</v>
      </c>
      <c r="C13" s="49">
        <v>0</v>
      </c>
      <c r="D13" s="49">
        <v>0</v>
      </c>
      <c r="E13" s="49">
        <v>3.097</v>
      </c>
      <c r="F13" s="21"/>
      <c r="G13" s="56"/>
      <c r="H13" s="57">
        <v>3.8</v>
      </c>
      <c r="I13" s="57"/>
      <c r="J13" s="76"/>
      <c r="K13" s="73"/>
      <c r="L13" s="121"/>
    </row>
    <row r="14" spans="2:15" x14ac:dyDescent="0.25">
      <c r="B14" s="47">
        <f t="shared" si="0"/>
        <v>45637</v>
      </c>
      <c r="C14" s="49">
        <v>0</v>
      </c>
      <c r="D14" s="49">
        <v>0</v>
      </c>
      <c r="E14" s="49">
        <v>2.7</v>
      </c>
      <c r="F14" s="21"/>
      <c r="G14" s="54"/>
      <c r="H14" s="57">
        <v>2.7</v>
      </c>
      <c r="I14" s="57"/>
      <c r="J14" s="76"/>
      <c r="K14" s="73"/>
      <c r="L14" s="121"/>
    </row>
    <row r="15" spans="2:15" x14ac:dyDescent="0.25">
      <c r="B15" s="47">
        <f t="shared" si="0"/>
        <v>45638</v>
      </c>
      <c r="C15" s="49">
        <v>0</v>
      </c>
      <c r="D15" s="49">
        <v>0</v>
      </c>
      <c r="E15" s="49">
        <v>3.097</v>
      </c>
      <c r="F15" s="21"/>
      <c r="G15" s="54"/>
      <c r="H15" s="57">
        <v>3.1</v>
      </c>
      <c r="I15" s="57"/>
      <c r="J15" s="76"/>
      <c r="K15" s="73"/>
      <c r="L15" s="121"/>
    </row>
    <row r="16" spans="2:15" x14ac:dyDescent="0.25">
      <c r="B16" s="47">
        <f t="shared" si="0"/>
        <v>45639</v>
      </c>
      <c r="C16" s="49">
        <v>0</v>
      </c>
      <c r="D16" s="49">
        <v>0</v>
      </c>
      <c r="E16" s="49">
        <v>3.2269999999999999</v>
      </c>
      <c r="F16" s="21"/>
      <c r="G16" s="54"/>
      <c r="H16" s="57">
        <v>3.3</v>
      </c>
      <c r="I16" s="57"/>
      <c r="J16" s="76"/>
      <c r="K16" s="73"/>
      <c r="L16" s="121"/>
    </row>
    <row r="17" spans="2:12" x14ac:dyDescent="0.25">
      <c r="B17" s="47">
        <f t="shared" si="0"/>
        <v>45640</v>
      </c>
      <c r="C17" s="49">
        <v>0</v>
      </c>
      <c r="D17" s="49">
        <v>0</v>
      </c>
      <c r="E17" s="49">
        <v>2.1509999999999998</v>
      </c>
      <c r="F17" s="21"/>
      <c r="G17" s="54"/>
      <c r="H17" s="57">
        <v>2.2000000000000002</v>
      </c>
      <c r="I17" s="57"/>
      <c r="J17" s="76"/>
      <c r="K17" s="73"/>
      <c r="L17" s="121"/>
    </row>
    <row r="18" spans="2:12" x14ac:dyDescent="0.25">
      <c r="B18" s="47">
        <f t="shared" si="0"/>
        <v>45641</v>
      </c>
      <c r="C18" s="49">
        <v>0</v>
      </c>
      <c r="D18" s="49">
        <v>0</v>
      </c>
      <c r="E18" s="49">
        <v>3.84</v>
      </c>
      <c r="F18" s="21"/>
      <c r="G18" s="54"/>
      <c r="H18" s="57">
        <v>3.8</v>
      </c>
      <c r="I18" s="57"/>
      <c r="J18" s="76"/>
      <c r="K18" s="73"/>
      <c r="L18" s="121"/>
    </row>
    <row r="19" spans="2:12" x14ac:dyDescent="0.25">
      <c r="B19" s="47">
        <f t="shared" si="0"/>
        <v>45642</v>
      </c>
      <c r="C19" s="49">
        <v>0</v>
      </c>
      <c r="D19" s="49">
        <v>0</v>
      </c>
      <c r="E19" s="49">
        <v>4.1079999999999997</v>
      </c>
      <c r="F19" s="21"/>
      <c r="G19" s="54"/>
      <c r="H19" s="57">
        <v>3.8</v>
      </c>
      <c r="I19" s="57"/>
      <c r="J19" s="76"/>
      <c r="K19" s="73"/>
      <c r="L19" s="121"/>
    </row>
    <row r="20" spans="2:12" x14ac:dyDescent="0.25">
      <c r="B20" s="47">
        <f t="shared" si="0"/>
        <v>45643</v>
      </c>
      <c r="C20" s="49">
        <v>0</v>
      </c>
      <c r="D20" s="49">
        <v>0</v>
      </c>
      <c r="E20" s="49"/>
      <c r="F20" s="21"/>
      <c r="G20" s="54"/>
      <c r="H20" s="57"/>
      <c r="I20" s="57"/>
      <c r="J20" s="76"/>
      <c r="K20" s="73"/>
      <c r="L20" s="121"/>
    </row>
    <row r="21" spans="2:12" x14ac:dyDescent="0.25">
      <c r="B21" s="47">
        <f t="shared" si="0"/>
        <v>45644</v>
      </c>
      <c r="C21" s="49">
        <v>0</v>
      </c>
      <c r="D21" s="49">
        <v>0</v>
      </c>
      <c r="E21" s="49"/>
      <c r="F21" s="21"/>
      <c r="G21" s="54"/>
      <c r="H21" s="57"/>
      <c r="I21" s="57"/>
      <c r="J21" s="76"/>
      <c r="K21" s="73"/>
      <c r="L21" s="121"/>
    </row>
    <row r="22" spans="2:12" x14ac:dyDescent="0.25">
      <c r="B22" s="47">
        <f t="shared" si="0"/>
        <v>45645</v>
      </c>
      <c r="C22" s="49">
        <v>0</v>
      </c>
      <c r="D22" s="49">
        <v>0</v>
      </c>
      <c r="E22" s="49"/>
      <c r="F22" s="21"/>
      <c r="G22" s="54"/>
      <c r="H22" s="57"/>
      <c r="I22" s="57"/>
      <c r="J22" s="76"/>
      <c r="K22" s="73"/>
      <c r="L22" s="121"/>
    </row>
    <row r="23" spans="2:12" x14ac:dyDescent="0.25">
      <c r="B23" s="47">
        <f t="shared" si="0"/>
        <v>45646</v>
      </c>
      <c r="C23" s="49">
        <v>0</v>
      </c>
      <c r="D23" s="49">
        <v>0</v>
      </c>
      <c r="E23" s="49"/>
      <c r="F23" s="21"/>
      <c r="G23" s="54"/>
      <c r="H23" s="57"/>
      <c r="I23" s="57"/>
      <c r="J23" s="76"/>
      <c r="K23" s="73"/>
      <c r="L23" s="121"/>
    </row>
    <row r="24" spans="2:12" x14ac:dyDescent="0.25">
      <c r="B24" s="47">
        <f t="shared" si="0"/>
        <v>45647</v>
      </c>
      <c r="C24" s="49">
        <v>0</v>
      </c>
      <c r="D24" s="49">
        <v>0</v>
      </c>
      <c r="E24" s="49"/>
      <c r="F24" s="21"/>
      <c r="G24" s="54"/>
      <c r="H24" s="57"/>
      <c r="I24" s="57"/>
      <c r="J24" s="76"/>
      <c r="K24" s="73"/>
      <c r="L24" s="121"/>
    </row>
    <row r="25" spans="2:12" x14ac:dyDescent="0.25">
      <c r="B25" s="47">
        <f t="shared" si="0"/>
        <v>45648</v>
      </c>
      <c r="C25" s="49">
        <v>0</v>
      </c>
      <c r="D25" s="49">
        <v>0</v>
      </c>
      <c r="E25" s="49"/>
      <c r="F25" s="21"/>
      <c r="G25" s="56"/>
      <c r="H25" s="57"/>
      <c r="I25" s="57"/>
      <c r="J25" s="76"/>
      <c r="K25" s="73"/>
      <c r="L25" s="121"/>
    </row>
    <row r="26" spans="2:12" x14ac:dyDescent="0.25">
      <c r="B26" s="47">
        <f t="shared" si="0"/>
        <v>45649</v>
      </c>
      <c r="C26" s="49">
        <v>0</v>
      </c>
      <c r="D26" s="49">
        <v>0</v>
      </c>
      <c r="E26" s="49"/>
      <c r="F26" s="21"/>
      <c r="G26" s="54"/>
      <c r="H26" s="57"/>
      <c r="I26" s="57"/>
      <c r="J26" s="76"/>
      <c r="K26" s="73"/>
      <c r="L26" s="121"/>
    </row>
    <row r="27" spans="2:12" x14ac:dyDescent="0.25">
      <c r="B27" s="47">
        <f t="shared" si="0"/>
        <v>45650</v>
      </c>
      <c r="C27" s="49">
        <v>0</v>
      </c>
      <c r="D27" s="49">
        <v>0</v>
      </c>
      <c r="E27" s="49"/>
      <c r="F27" s="21"/>
      <c r="G27" s="54"/>
      <c r="H27" s="57"/>
      <c r="I27" s="57"/>
      <c r="J27" s="76"/>
      <c r="K27" s="73"/>
      <c r="L27" s="121"/>
    </row>
    <row r="28" spans="2:12" x14ac:dyDescent="0.25">
      <c r="B28" s="47">
        <f t="shared" si="0"/>
        <v>45651</v>
      </c>
      <c r="C28" s="49">
        <v>0</v>
      </c>
      <c r="D28" s="49">
        <v>0</v>
      </c>
      <c r="E28" s="49"/>
      <c r="F28" s="21"/>
      <c r="G28" s="54"/>
      <c r="H28" s="57"/>
      <c r="I28" s="57"/>
      <c r="J28" s="76"/>
      <c r="K28" s="73"/>
      <c r="L28" s="121"/>
    </row>
    <row r="29" spans="2:12" x14ac:dyDescent="0.25">
      <c r="B29" s="47">
        <f t="shared" si="0"/>
        <v>45652</v>
      </c>
      <c r="C29" s="49">
        <v>0</v>
      </c>
      <c r="D29" s="49">
        <v>0</v>
      </c>
      <c r="E29" s="49"/>
      <c r="F29" s="21"/>
      <c r="G29" s="54"/>
      <c r="H29" s="57"/>
      <c r="I29" s="57"/>
      <c r="J29" s="76"/>
      <c r="K29" s="73"/>
      <c r="L29" s="121"/>
    </row>
    <row r="30" spans="2:12" x14ac:dyDescent="0.25">
      <c r="B30" s="47">
        <f t="shared" si="0"/>
        <v>45653</v>
      </c>
      <c r="C30" s="49">
        <v>0</v>
      </c>
      <c r="D30" s="49">
        <v>0</v>
      </c>
      <c r="E30" s="49"/>
      <c r="F30" s="21"/>
      <c r="G30" s="54"/>
      <c r="H30" s="57"/>
      <c r="I30" s="57"/>
      <c r="J30" s="76"/>
      <c r="K30" s="73"/>
      <c r="L30" s="121"/>
    </row>
    <row r="31" spans="2:12" x14ac:dyDescent="0.25">
      <c r="B31" s="47">
        <f t="shared" si="0"/>
        <v>45654</v>
      </c>
      <c r="C31" s="49">
        <v>0</v>
      </c>
      <c r="D31" s="49">
        <v>0</v>
      </c>
      <c r="E31" s="49"/>
      <c r="F31" s="21"/>
      <c r="G31" s="54"/>
      <c r="H31" s="57"/>
      <c r="I31" s="57"/>
      <c r="J31" s="76"/>
      <c r="K31" s="73"/>
      <c r="L31" s="121"/>
    </row>
    <row r="32" spans="2:12" x14ac:dyDescent="0.25">
      <c r="B32" s="47">
        <f t="shared" si="0"/>
        <v>45655</v>
      </c>
      <c r="C32" s="49">
        <v>0</v>
      </c>
      <c r="D32" s="49">
        <v>0</v>
      </c>
      <c r="E32" s="49"/>
      <c r="F32" s="21"/>
      <c r="G32" s="54"/>
      <c r="H32" s="57"/>
      <c r="I32" s="57"/>
      <c r="J32" s="76"/>
      <c r="K32" s="73"/>
      <c r="L32" s="121"/>
    </row>
    <row r="33" spans="2:12" x14ac:dyDescent="0.25">
      <c r="B33" s="47">
        <f t="shared" si="0"/>
        <v>45656</v>
      </c>
      <c r="C33" s="49">
        <v>0</v>
      </c>
      <c r="D33" s="49">
        <v>0</v>
      </c>
      <c r="E33" s="49"/>
      <c r="F33" s="21"/>
      <c r="G33" s="54"/>
      <c r="H33" s="57"/>
      <c r="I33" s="57"/>
      <c r="J33" s="76"/>
      <c r="K33" s="73"/>
      <c r="L33" s="121"/>
    </row>
    <row r="34" spans="2:12" x14ac:dyDescent="0.25">
      <c r="B34" s="47">
        <f t="shared" si="0"/>
        <v>45657</v>
      </c>
      <c r="C34" s="49">
        <v>0</v>
      </c>
      <c r="D34" s="49">
        <v>0</v>
      </c>
      <c r="E34" s="49"/>
      <c r="F34" s="21"/>
      <c r="G34" s="54"/>
      <c r="H34" s="57"/>
      <c r="I34" s="57"/>
      <c r="J34" s="76"/>
      <c r="K34" s="73"/>
      <c r="L34" s="18">
        <f>SUM(L4:L33)</f>
        <v>0</v>
      </c>
    </row>
    <row r="35" spans="2:12" x14ac:dyDescent="0.25">
      <c r="E35" s="16">
        <f>SUM(E4:E34)</f>
        <v>48.853000000000002</v>
      </c>
      <c r="F35" s="16"/>
      <c r="G35" s="18">
        <f>SUM(G4:G34)</f>
        <v>0</v>
      </c>
      <c r="H35" s="18"/>
      <c r="I35" s="18">
        <f>SUM(I4:I34)</f>
        <v>3.8039999999999998</v>
      </c>
      <c r="J35" s="18">
        <f>SUM(J4:J34)</f>
        <v>0</v>
      </c>
    </row>
  </sheetData>
  <mergeCells count="3">
    <mergeCell ref="B2:G2"/>
    <mergeCell ref="I2:K2"/>
    <mergeCell ref="M1:N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B1:N35"/>
  <sheetViews>
    <sheetView zoomScale="70" zoomScaleNormal="70" workbookViewId="0">
      <selection activeCell="E19" sqref="E19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50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4" ht="15.75" thickBot="1" x14ac:dyDescent="0.3">
      <c r="H1" s="81"/>
      <c r="I1" s="81"/>
      <c r="J1" s="78"/>
      <c r="K1" s="78"/>
      <c r="M1" s="653" t="s">
        <v>28</v>
      </c>
      <c r="N1" s="653"/>
    </row>
    <row r="2" spans="2:14" ht="15.75" thickBot="1" x14ac:dyDescent="0.3">
      <c r="B2" s="661" t="s">
        <v>110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M2" s="2" t="s">
        <v>99</v>
      </c>
      <c r="N2" s="2" t="s">
        <v>80</v>
      </c>
    </row>
    <row r="3" spans="2:14" ht="43.5" x14ac:dyDescent="0.25">
      <c r="B3" s="26" t="s">
        <v>8</v>
      </c>
      <c r="C3" s="46" t="s">
        <v>21</v>
      </c>
      <c r="D3" s="52" t="s">
        <v>26</v>
      </c>
      <c r="E3" s="17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35" t="s">
        <v>71</v>
      </c>
      <c r="L3" s="69" t="s">
        <v>121</v>
      </c>
      <c r="M3" s="252"/>
      <c r="N3" s="252">
        <v>27</v>
      </c>
    </row>
    <row r="4" spans="2:14" x14ac:dyDescent="0.25">
      <c r="B4" s="47">
        <v>45627</v>
      </c>
      <c r="C4" s="49">
        <v>27</v>
      </c>
      <c r="D4" s="49">
        <v>10</v>
      </c>
      <c r="E4" s="49">
        <v>26.317</v>
      </c>
      <c r="F4" s="141"/>
      <c r="G4" s="48"/>
      <c r="H4" s="57">
        <v>27</v>
      </c>
      <c r="I4" s="57"/>
      <c r="J4" s="76"/>
      <c r="K4" s="73"/>
      <c r="L4" s="122"/>
    </row>
    <row r="5" spans="2:14" x14ac:dyDescent="0.25">
      <c r="B5" s="47">
        <f>+B4+1</f>
        <v>45628</v>
      </c>
      <c r="C5" s="49"/>
      <c r="D5" s="49">
        <v>10</v>
      </c>
      <c r="E5" s="49">
        <v>27.457999999999998</v>
      </c>
      <c r="F5" s="141"/>
      <c r="G5" s="48"/>
      <c r="H5" s="57"/>
      <c r="I5" s="57">
        <v>27</v>
      </c>
      <c r="J5" s="76"/>
      <c r="K5" s="73"/>
      <c r="L5" s="122"/>
    </row>
    <row r="6" spans="2:14" x14ac:dyDescent="0.25">
      <c r="B6" s="47">
        <f t="shared" ref="B6:B34" si="0">+B5+1</f>
        <v>45629</v>
      </c>
      <c r="C6" s="49"/>
      <c r="D6" s="49">
        <v>10</v>
      </c>
      <c r="E6" s="49">
        <v>27.05</v>
      </c>
      <c r="F6" s="141"/>
      <c r="G6" s="48"/>
      <c r="H6" s="57">
        <v>27</v>
      </c>
      <c r="I6" s="57"/>
      <c r="J6" s="76"/>
      <c r="K6" s="73"/>
      <c r="L6" s="122"/>
    </row>
    <row r="7" spans="2:14" x14ac:dyDescent="0.25">
      <c r="B7" s="47">
        <f t="shared" si="0"/>
        <v>45630</v>
      </c>
      <c r="C7" s="49"/>
      <c r="D7" s="49">
        <v>10</v>
      </c>
      <c r="E7" s="49">
        <v>27.564</v>
      </c>
      <c r="F7" s="141"/>
      <c r="G7" s="48"/>
      <c r="H7" s="57">
        <v>27</v>
      </c>
      <c r="I7" s="57"/>
      <c r="J7" s="76"/>
      <c r="K7" s="73"/>
      <c r="L7" s="122"/>
    </row>
    <row r="8" spans="2:14" x14ac:dyDescent="0.25">
      <c r="B8" s="47">
        <f t="shared" si="0"/>
        <v>45631</v>
      </c>
      <c r="C8" s="49"/>
      <c r="D8" s="49">
        <v>10</v>
      </c>
      <c r="E8" s="49">
        <v>29.966000000000001</v>
      </c>
      <c r="F8" s="141"/>
      <c r="G8" s="53"/>
      <c r="H8" s="57">
        <v>27</v>
      </c>
      <c r="I8" s="57"/>
      <c r="J8" s="76"/>
      <c r="K8" s="73"/>
      <c r="L8" s="122"/>
    </row>
    <row r="9" spans="2:14" x14ac:dyDescent="0.25">
      <c r="B9" s="47">
        <f t="shared" si="0"/>
        <v>45632</v>
      </c>
      <c r="C9" s="49"/>
      <c r="D9" s="49">
        <v>10</v>
      </c>
      <c r="E9" s="49">
        <v>36.029000000000003</v>
      </c>
      <c r="F9" s="141"/>
      <c r="G9" s="53"/>
      <c r="H9" s="57">
        <v>27</v>
      </c>
      <c r="I9" s="57"/>
      <c r="J9" s="76"/>
      <c r="K9" s="73"/>
      <c r="L9" s="122"/>
    </row>
    <row r="10" spans="2:14" x14ac:dyDescent="0.25">
      <c r="B10" s="47">
        <f t="shared" si="0"/>
        <v>45633</v>
      </c>
      <c r="C10" s="49"/>
      <c r="D10" s="49">
        <v>10</v>
      </c>
      <c r="E10" s="49">
        <v>35.533999999999999</v>
      </c>
      <c r="F10" s="141"/>
      <c r="G10" s="54"/>
      <c r="H10" s="57">
        <v>27</v>
      </c>
      <c r="I10" s="57"/>
      <c r="J10" s="76"/>
      <c r="K10" s="73"/>
      <c r="L10" s="122"/>
    </row>
    <row r="11" spans="2:14" x14ac:dyDescent="0.25">
      <c r="B11" s="47">
        <f t="shared" si="0"/>
        <v>45634</v>
      </c>
      <c r="C11" s="49"/>
      <c r="D11" s="49">
        <v>10</v>
      </c>
      <c r="E11" s="49">
        <v>29.379000000000001</v>
      </c>
      <c r="F11" s="141"/>
      <c r="G11" s="55"/>
      <c r="H11" s="57">
        <v>27</v>
      </c>
      <c r="I11" s="57"/>
      <c r="J11" s="76"/>
      <c r="K11" s="73"/>
      <c r="L11" s="122"/>
    </row>
    <row r="12" spans="2:14" x14ac:dyDescent="0.25">
      <c r="B12" s="47">
        <f t="shared" si="0"/>
        <v>45635</v>
      </c>
      <c r="C12" s="49"/>
      <c r="D12" s="49">
        <v>10</v>
      </c>
      <c r="E12" s="49">
        <v>31.716000000000001</v>
      </c>
      <c r="F12" s="141"/>
      <c r="G12" s="54"/>
      <c r="H12" s="57">
        <v>10</v>
      </c>
      <c r="I12" s="57">
        <v>17</v>
      </c>
      <c r="J12" s="76"/>
      <c r="K12" s="73"/>
      <c r="L12" s="122"/>
    </row>
    <row r="13" spans="2:14" x14ac:dyDescent="0.25">
      <c r="B13" s="47">
        <f t="shared" si="0"/>
        <v>45636</v>
      </c>
      <c r="C13" s="49"/>
      <c r="D13" s="49">
        <v>10</v>
      </c>
      <c r="E13" s="49">
        <v>1.6779999999999999</v>
      </c>
      <c r="F13" s="141"/>
      <c r="G13" s="56"/>
      <c r="H13" s="57">
        <v>4</v>
      </c>
      <c r="I13" s="57"/>
      <c r="J13" s="76"/>
      <c r="K13" s="73"/>
      <c r="L13" s="122"/>
    </row>
    <row r="14" spans="2:14" x14ac:dyDescent="0.25">
      <c r="B14" s="47">
        <f t="shared" si="0"/>
        <v>45637</v>
      </c>
      <c r="C14" s="49"/>
      <c r="D14" s="49">
        <v>0</v>
      </c>
      <c r="E14" s="49">
        <v>0.34399999999999997</v>
      </c>
      <c r="F14" s="141"/>
      <c r="G14" s="54"/>
      <c r="H14" s="57"/>
      <c r="I14" s="57"/>
      <c r="J14" s="76"/>
      <c r="K14" s="73"/>
      <c r="L14" s="122"/>
    </row>
    <row r="15" spans="2:14" x14ac:dyDescent="0.25">
      <c r="B15" s="47">
        <f t="shared" si="0"/>
        <v>45638</v>
      </c>
      <c r="C15" s="49"/>
      <c r="D15" s="49">
        <v>0</v>
      </c>
      <c r="E15" s="49">
        <v>0.35499999999999998</v>
      </c>
      <c r="F15" s="141"/>
      <c r="G15" s="54"/>
      <c r="H15" s="57"/>
      <c r="I15" s="57"/>
      <c r="J15" s="76"/>
      <c r="K15" s="73"/>
      <c r="L15" s="122"/>
    </row>
    <row r="16" spans="2:14" x14ac:dyDescent="0.25">
      <c r="B16" s="47">
        <f t="shared" si="0"/>
        <v>45639</v>
      </c>
      <c r="C16" s="49"/>
      <c r="D16" s="49">
        <v>0</v>
      </c>
      <c r="E16" s="49">
        <v>0.35499999999999998</v>
      </c>
      <c r="F16" s="141"/>
      <c r="G16" s="54"/>
      <c r="H16" s="57"/>
      <c r="I16" s="57"/>
      <c r="J16" s="76"/>
      <c r="K16" s="73"/>
      <c r="L16" s="122"/>
    </row>
    <row r="17" spans="2:12" x14ac:dyDescent="0.25">
      <c r="B17" s="47">
        <f t="shared" si="0"/>
        <v>45640</v>
      </c>
      <c r="C17" s="49"/>
      <c r="D17" s="49">
        <v>0</v>
      </c>
      <c r="E17" s="49">
        <v>0</v>
      </c>
      <c r="F17" s="141"/>
      <c r="G17" s="54"/>
      <c r="H17" s="57"/>
      <c r="I17" s="57"/>
      <c r="J17" s="76"/>
      <c r="K17" s="73"/>
      <c r="L17" s="122"/>
    </row>
    <row r="18" spans="2:12" x14ac:dyDescent="0.25">
      <c r="B18" s="47">
        <f t="shared" si="0"/>
        <v>45641</v>
      </c>
      <c r="C18" s="49"/>
      <c r="D18" s="49">
        <v>0</v>
      </c>
      <c r="E18" s="49">
        <v>0</v>
      </c>
      <c r="F18" s="141"/>
      <c r="G18" s="54"/>
      <c r="H18" s="57"/>
      <c r="I18" s="57"/>
      <c r="J18" s="76"/>
      <c r="K18" s="73"/>
      <c r="L18" s="122"/>
    </row>
    <row r="19" spans="2:12" x14ac:dyDescent="0.25">
      <c r="B19" s="47">
        <f t="shared" si="0"/>
        <v>45642</v>
      </c>
      <c r="C19" s="49"/>
      <c r="D19" s="49"/>
      <c r="E19" s="49">
        <v>0.34399999999999997</v>
      </c>
      <c r="F19" s="141"/>
      <c r="G19" s="54"/>
      <c r="H19" s="57"/>
      <c r="I19" s="57"/>
      <c r="J19" s="76"/>
      <c r="K19" s="73"/>
      <c r="L19" s="122"/>
    </row>
    <row r="20" spans="2:12" x14ac:dyDescent="0.25">
      <c r="B20" s="47">
        <f t="shared" si="0"/>
        <v>45643</v>
      </c>
      <c r="C20" s="49"/>
      <c r="D20" s="49"/>
      <c r="E20" s="49"/>
      <c r="F20" s="141"/>
      <c r="G20" s="54"/>
      <c r="H20" s="57"/>
      <c r="I20" s="57"/>
      <c r="J20" s="76"/>
      <c r="K20" s="73"/>
      <c r="L20" s="122"/>
    </row>
    <row r="21" spans="2:12" x14ac:dyDescent="0.25">
      <c r="B21" s="47">
        <f t="shared" si="0"/>
        <v>45644</v>
      </c>
      <c r="C21" s="49"/>
      <c r="D21" s="49"/>
      <c r="E21" s="49"/>
      <c r="F21" s="141"/>
      <c r="G21" s="54"/>
      <c r="H21" s="57"/>
      <c r="I21" s="57"/>
      <c r="J21" s="76"/>
      <c r="K21" s="73"/>
      <c r="L21" s="122"/>
    </row>
    <row r="22" spans="2:12" x14ac:dyDescent="0.25">
      <c r="B22" s="47">
        <f t="shared" si="0"/>
        <v>45645</v>
      </c>
      <c r="C22" s="49"/>
      <c r="D22" s="49"/>
      <c r="E22" s="49"/>
      <c r="F22" s="141"/>
      <c r="G22" s="54"/>
      <c r="H22" s="57"/>
      <c r="I22" s="57"/>
      <c r="J22" s="76"/>
      <c r="K22" s="73"/>
      <c r="L22" s="122"/>
    </row>
    <row r="23" spans="2:12" x14ac:dyDescent="0.25">
      <c r="B23" s="47">
        <f t="shared" si="0"/>
        <v>45646</v>
      </c>
      <c r="C23" s="49"/>
      <c r="D23" s="49"/>
      <c r="E23" s="49"/>
      <c r="F23" s="141"/>
      <c r="G23" s="54"/>
      <c r="H23" s="57"/>
      <c r="I23" s="57"/>
      <c r="J23" s="76"/>
      <c r="K23" s="73"/>
      <c r="L23" s="122"/>
    </row>
    <row r="24" spans="2:12" x14ac:dyDescent="0.25">
      <c r="B24" s="47">
        <f t="shared" si="0"/>
        <v>45647</v>
      </c>
      <c r="C24" s="49"/>
      <c r="D24" s="49"/>
      <c r="E24" s="49"/>
      <c r="F24" s="141"/>
      <c r="G24" s="54"/>
      <c r="H24" s="57"/>
      <c r="I24" s="57"/>
      <c r="J24" s="76"/>
      <c r="K24" s="73"/>
      <c r="L24" s="122"/>
    </row>
    <row r="25" spans="2:12" x14ac:dyDescent="0.25">
      <c r="B25" s="47">
        <f t="shared" si="0"/>
        <v>45648</v>
      </c>
      <c r="C25" s="49"/>
      <c r="D25" s="49"/>
      <c r="E25" s="49"/>
      <c r="F25" s="141"/>
      <c r="G25" s="56"/>
      <c r="H25" s="57"/>
      <c r="I25" s="57"/>
      <c r="J25" s="76"/>
      <c r="K25" s="73"/>
      <c r="L25" s="122"/>
    </row>
    <row r="26" spans="2:12" x14ac:dyDescent="0.25">
      <c r="B26" s="47">
        <f t="shared" si="0"/>
        <v>45649</v>
      </c>
      <c r="C26" s="49"/>
      <c r="D26" s="49"/>
      <c r="E26" s="49"/>
      <c r="F26" s="141"/>
      <c r="G26" s="54"/>
      <c r="H26" s="57"/>
      <c r="I26" s="57"/>
      <c r="J26" s="76"/>
      <c r="K26" s="73"/>
      <c r="L26" s="122"/>
    </row>
    <row r="27" spans="2:12" x14ac:dyDescent="0.25">
      <c r="B27" s="47">
        <f t="shared" si="0"/>
        <v>45650</v>
      </c>
      <c r="C27" s="49"/>
      <c r="D27" s="49"/>
      <c r="E27" s="49"/>
      <c r="F27" s="141"/>
      <c r="G27" s="54"/>
      <c r="H27" s="57"/>
      <c r="I27" s="57"/>
      <c r="J27" s="76"/>
      <c r="K27" s="73"/>
      <c r="L27" s="122"/>
    </row>
    <row r="28" spans="2:12" x14ac:dyDescent="0.25">
      <c r="B28" s="47">
        <f t="shared" si="0"/>
        <v>45651</v>
      </c>
      <c r="C28" s="49"/>
      <c r="D28" s="49"/>
      <c r="E28" s="49"/>
      <c r="F28" s="141"/>
      <c r="G28" s="54"/>
      <c r="H28" s="57"/>
      <c r="I28" s="57"/>
      <c r="J28" s="76"/>
      <c r="K28" s="73"/>
      <c r="L28" s="122"/>
    </row>
    <row r="29" spans="2:12" x14ac:dyDescent="0.25">
      <c r="B29" s="47">
        <f t="shared" si="0"/>
        <v>45652</v>
      </c>
      <c r="C29" s="49"/>
      <c r="D29" s="49"/>
      <c r="E29" s="49"/>
      <c r="F29" s="141"/>
      <c r="G29" s="54"/>
      <c r="H29" s="57"/>
      <c r="I29" s="57"/>
      <c r="J29" s="76"/>
      <c r="K29" s="73"/>
      <c r="L29" s="122"/>
    </row>
    <row r="30" spans="2:12" x14ac:dyDescent="0.25">
      <c r="B30" s="47">
        <f t="shared" si="0"/>
        <v>45653</v>
      </c>
      <c r="C30" s="49"/>
      <c r="D30" s="49"/>
      <c r="E30" s="49"/>
      <c r="F30" s="141"/>
      <c r="G30" s="54"/>
      <c r="H30" s="57"/>
      <c r="I30" s="57"/>
      <c r="J30" s="76"/>
      <c r="K30" s="73"/>
      <c r="L30" s="122"/>
    </row>
    <row r="31" spans="2:12" x14ac:dyDescent="0.25">
      <c r="B31" s="47">
        <f t="shared" si="0"/>
        <v>45654</v>
      </c>
      <c r="C31" s="49"/>
      <c r="D31" s="49"/>
      <c r="E31" s="49"/>
      <c r="F31" s="141"/>
      <c r="G31" s="54"/>
      <c r="H31" s="57"/>
      <c r="I31" s="57"/>
      <c r="J31" s="76"/>
      <c r="K31" s="73"/>
      <c r="L31" s="122"/>
    </row>
    <row r="32" spans="2:12" x14ac:dyDescent="0.25">
      <c r="B32" s="47">
        <f t="shared" si="0"/>
        <v>45655</v>
      </c>
      <c r="C32" s="49"/>
      <c r="D32" s="49"/>
      <c r="E32" s="49"/>
      <c r="F32" s="141"/>
      <c r="G32" s="54"/>
      <c r="H32" s="57"/>
      <c r="I32" s="57"/>
      <c r="J32" s="76"/>
      <c r="K32" s="73"/>
      <c r="L32" s="122"/>
    </row>
    <row r="33" spans="2:12" x14ac:dyDescent="0.25">
      <c r="B33" s="47">
        <f t="shared" si="0"/>
        <v>45656</v>
      </c>
      <c r="C33" s="49"/>
      <c r="D33" s="49"/>
      <c r="E33" s="49"/>
      <c r="F33" s="141"/>
      <c r="G33" s="54"/>
      <c r="H33" s="57"/>
      <c r="I33" s="57"/>
      <c r="J33" s="76"/>
      <c r="K33" s="73"/>
      <c r="L33" s="122"/>
    </row>
    <row r="34" spans="2:12" x14ac:dyDescent="0.25">
      <c r="B34" s="47">
        <f t="shared" si="0"/>
        <v>45657</v>
      </c>
      <c r="C34" s="49"/>
      <c r="D34" s="49"/>
      <c r="E34" s="49"/>
      <c r="F34" s="141"/>
      <c r="G34" s="54"/>
      <c r="H34" s="57"/>
      <c r="I34" s="57"/>
      <c r="J34" s="76"/>
      <c r="K34" s="73"/>
      <c r="L34" s="181">
        <f>SUM(L4:L33)</f>
        <v>0</v>
      </c>
    </row>
    <row r="35" spans="2:12" x14ac:dyDescent="0.25">
      <c r="E35" s="152">
        <f>SUM(E4:E34)</f>
        <v>274.089</v>
      </c>
      <c r="F35" s="16"/>
      <c r="G35" s="18">
        <f>SUM(G4:G34)</f>
        <v>0</v>
      </c>
      <c r="H35" s="18">
        <f>SUM(H4:H34)</f>
        <v>203</v>
      </c>
      <c r="I35" s="18">
        <f>SUM(I4:I34)</f>
        <v>44</v>
      </c>
      <c r="J35" s="18">
        <f>SUM(J4:J34)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O35"/>
  <sheetViews>
    <sheetView zoomScale="70" zoomScaleNormal="70" workbookViewId="0">
      <selection activeCell="D38" sqref="D38:E38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53" t="s">
        <v>28</v>
      </c>
      <c r="N1" s="653"/>
    </row>
    <row r="2" spans="2:15" ht="15.75" thickBot="1" x14ac:dyDescent="0.3">
      <c r="B2" s="661" t="s">
        <v>112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M2" s="2" t="s">
        <v>99</v>
      </c>
      <c r="N2" s="2" t="s">
        <v>80</v>
      </c>
      <c r="O2" s="2" t="s">
        <v>111</v>
      </c>
    </row>
    <row r="3" spans="2:15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35" t="s">
        <v>71</v>
      </c>
      <c r="L3" s="69"/>
      <c r="M3" s="109"/>
      <c r="N3" s="109"/>
      <c r="O3" s="245"/>
    </row>
    <row r="4" spans="2:15" x14ac:dyDescent="0.25">
      <c r="B4" s="47">
        <v>45627</v>
      </c>
      <c r="C4" s="49">
        <v>0</v>
      </c>
      <c r="D4" s="49">
        <v>0</v>
      </c>
      <c r="E4" s="49">
        <v>0.76400000000000001</v>
      </c>
      <c r="F4" s="141"/>
      <c r="G4" s="48"/>
      <c r="H4" s="57"/>
      <c r="I4" s="57"/>
      <c r="J4" s="76"/>
      <c r="K4" s="73"/>
      <c r="L4" s="297"/>
      <c r="O4" s="121"/>
    </row>
    <row r="5" spans="2:15" x14ac:dyDescent="0.25">
      <c r="B5" s="47">
        <f>+B4+1</f>
        <v>45628</v>
      </c>
      <c r="C5" s="49">
        <v>0</v>
      </c>
      <c r="D5" s="49">
        <v>0</v>
      </c>
      <c r="E5" s="49">
        <v>0.376</v>
      </c>
      <c r="F5" s="141"/>
      <c r="G5" s="48"/>
      <c r="H5" s="57"/>
      <c r="I5" s="57"/>
      <c r="J5" s="76"/>
      <c r="K5" s="73"/>
      <c r="L5" s="297"/>
      <c r="O5" s="121"/>
    </row>
    <row r="6" spans="2:15" x14ac:dyDescent="0.25">
      <c r="B6" s="47">
        <f t="shared" ref="B6:B34" si="0">+B5+1</f>
        <v>45629</v>
      </c>
      <c r="C6" s="49">
        <v>0</v>
      </c>
      <c r="D6" s="49">
        <v>0</v>
      </c>
      <c r="E6" s="49">
        <v>0.36899999999999999</v>
      </c>
      <c r="F6" s="141"/>
      <c r="G6" s="48"/>
      <c r="H6" s="57"/>
      <c r="I6" s="57"/>
      <c r="J6" s="76"/>
      <c r="K6" s="73"/>
      <c r="L6" s="297"/>
      <c r="O6" s="121"/>
    </row>
    <row r="7" spans="2:15" x14ac:dyDescent="0.25">
      <c r="B7" s="47">
        <f t="shared" si="0"/>
        <v>45630</v>
      </c>
      <c r="C7" s="49">
        <v>0</v>
      </c>
      <c r="D7" s="49">
        <v>0</v>
      </c>
      <c r="E7" s="49">
        <v>0.36</v>
      </c>
      <c r="F7" s="141"/>
      <c r="G7" s="48"/>
      <c r="H7" s="57"/>
      <c r="I7" s="57"/>
      <c r="J7" s="76"/>
      <c r="K7" s="73"/>
      <c r="L7" s="297"/>
      <c r="O7" s="121"/>
    </row>
    <row r="8" spans="2:15" x14ac:dyDescent="0.25">
      <c r="B8" s="47">
        <f t="shared" si="0"/>
        <v>45631</v>
      </c>
      <c r="C8" s="49">
        <v>0</v>
      </c>
      <c r="D8" s="49">
        <v>0</v>
      </c>
      <c r="E8" s="49">
        <v>0.36599999999999999</v>
      </c>
      <c r="F8" s="141"/>
      <c r="G8" s="48"/>
      <c r="H8" s="57"/>
      <c r="I8" s="57"/>
      <c r="J8" s="76"/>
      <c r="K8" s="73"/>
      <c r="L8" s="297"/>
      <c r="O8" s="121"/>
    </row>
    <row r="9" spans="2:15" x14ac:dyDescent="0.25">
      <c r="B9" s="47">
        <f t="shared" si="0"/>
        <v>45632</v>
      </c>
      <c r="C9" s="49">
        <v>0</v>
      </c>
      <c r="D9" s="49">
        <v>0</v>
      </c>
      <c r="E9" s="49">
        <v>0.36499999999999999</v>
      </c>
      <c r="F9" s="141"/>
      <c r="G9" s="48"/>
      <c r="H9" s="57"/>
      <c r="I9" s="57"/>
      <c r="J9" s="76"/>
      <c r="K9" s="73"/>
      <c r="L9" s="297"/>
      <c r="O9" s="121"/>
    </row>
    <row r="10" spans="2:15" x14ac:dyDescent="0.25">
      <c r="B10" s="47">
        <f t="shared" si="0"/>
        <v>45633</v>
      </c>
      <c r="C10" s="49">
        <v>0</v>
      </c>
      <c r="D10" s="49">
        <v>0</v>
      </c>
      <c r="E10" s="49">
        <v>0</v>
      </c>
      <c r="F10" s="141"/>
      <c r="G10" s="48"/>
      <c r="H10" s="57"/>
      <c r="I10" s="57"/>
      <c r="J10" s="76"/>
      <c r="K10" s="73"/>
      <c r="L10" s="297"/>
      <c r="O10" s="121"/>
    </row>
    <row r="11" spans="2:15" x14ac:dyDescent="0.25">
      <c r="B11" s="47">
        <f t="shared" si="0"/>
        <v>45634</v>
      </c>
      <c r="C11" s="49">
        <v>0</v>
      </c>
      <c r="D11" s="49">
        <v>0</v>
      </c>
      <c r="E11" s="49">
        <v>0.33300000000000002</v>
      </c>
      <c r="F11" s="141"/>
      <c r="G11" s="48"/>
      <c r="H11" s="57"/>
      <c r="I11" s="57"/>
      <c r="J11" s="76"/>
      <c r="K11" s="73"/>
      <c r="L11" s="297"/>
      <c r="O11" s="121"/>
    </row>
    <row r="12" spans="2:15" x14ac:dyDescent="0.25">
      <c r="B12" s="47">
        <f t="shared" si="0"/>
        <v>45635</v>
      </c>
      <c r="C12" s="49">
        <v>0</v>
      </c>
      <c r="D12" s="49">
        <v>0</v>
      </c>
      <c r="E12" s="49">
        <v>0.51600000000000001</v>
      </c>
      <c r="F12" s="141"/>
      <c r="G12" s="48"/>
      <c r="H12" s="57"/>
      <c r="I12" s="57"/>
      <c r="J12" s="76"/>
      <c r="K12" s="73"/>
      <c r="L12" s="297"/>
      <c r="O12" s="121"/>
    </row>
    <row r="13" spans="2:15" x14ac:dyDescent="0.25">
      <c r="B13" s="47">
        <f t="shared" si="0"/>
        <v>45636</v>
      </c>
      <c r="C13" s="49">
        <v>0</v>
      </c>
      <c r="D13" s="49">
        <v>0</v>
      </c>
      <c r="E13" s="49">
        <v>0.30099999999999999</v>
      </c>
      <c r="F13" s="141"/>
      <c r="G13" s="48"/>
      <c r="H13" s="57"/>
      <c r="I13" s="57"/>
      <c r="J13" s="76"/>
      <c r="K13" s="73"/>
      <c r="L13" s="297"/>
      <c r="O13" s="121"/>
    </row>
    <row r="14" spans="2:15" x14ac:dyDescent="0.25">
      <c r="B14" s="47">
        <f t="shared" si="0"/>
        <v>45637</v>
      </c>
      <c r="C14" s="49">
        <v>0</v>
      </c>
      <c r="D14" s="49">
        <v>0</v>
      </c>
      <c r="E14" s="49">
        <v>0.33300000000000002</v>
      </c>
      <c r="F14" s="141"/>
      <c r="G14" s="48"/>
      <c r="H14" s="57"/>
      <c r="I14" s="57"/>
      <c r="J14" s="76"/>
      <c r="K14" s="73"/>
      <c r="L14" s="297"/>
      <c r="O14" s="121"/>
    </row>
    <row r="15" spans="2:15" x14ac:dyDescent="0.25">
      <c r="B15" s="47">
        <f t="shared" si="0"/>
        <v>45638</v>
      </c>
      <c r="C15" s="49">
        <v>0</v>
      </c>
      <c r="D15" s="49">
        <v>0</v>
      </c>
      <c r="E15" s="49">
        <v>0.33300000000000002</v>
      </c>
      <c r="F15" s="141"/>
      <c r="G15" s="48"/>
      <c r="H15" s="57"/>
      <c r="I15" s="57"/>
      <c r="J15" s="76"/>
      <c r="K15" s="73"/>
      <c r="L15" s="297"/>
      <c r="O15" s="121"/>
    </row>
    <row r="16" spans="2:15" x14ac:dyDescent="0.25">
      <c r="B16" s="47">
        <f t="shared" si="0"/>
        <v>45639</v>
      </c>
      <c r="C16" s="49">
        <v>0</v>
      </c>
      <c r="D16" s="49">
        <v>0</v>
      </c>
      <c r="E16" s="49">
        <v>0.33300000000000002</v>
      </c>
      <c r="F16" s="141"/>
      <c r="G16" s="48"/>
      <c r="H16" s="57"/>
      <c r="I16" s="57"/>
      <c r="J16" s="76"/>
      <c r="K16" s="73"/>
      <c r="L16" s="297"/>
      <c r="O16" s="121"/>
    </row>
    <row r="17" spans="2:15" x14ac:dyDescent="0.25">
      <c r="B17" s="47">
        <f t="shared" si="0"/>
        <v>45640</v>
      </c>
      <c r="C17" s="49">
        <v>0</v>
      </c>
      <c r="D17" s="49">
        <v>0</v>
      </c>
      <c r="E17" s="49">
        <v>0.32300000000000001</v>
      </c>
      <c r="F17" s="141"/>
      <c r="G17" s="48"/>
      <c r="H17" s="57"/>
      <c r="I17" s="57"/>
      <c r="J17" s="76"/>
      <c r="K17" s="73"/>
      <c r="L17" s="297"/>
      <c r="O17" s="121"/>
    </row>
    <row r="18" spans="2:15" x14ac:dyDescent="0.25">
      <c r="B18" s="47">
        <f t="shared" si="0"/>
        <v>45641</v>
      </c>
      <c r="C18" s="49">
        <v>0</v>
      </c>
      <c r="D18" s="49">
        <v>0</v>
      </c>
      <c r="E18" s="49">
        <v>0.32300000000000001</v>
      </c>
      <c r="F18" s="141"/>
      <c r="G18" s="48"/>
      <c r="H18" s="57"/>
      <c r="I18" s="57"/>
      <c r="J18" s="76"/>
      <c r="K18" s="73"/>
      <c r="L18" s="297"/>
      <c r="O18" s="121"/>
    </row>
    <row r="19" spans="2:15" x14ac:dyDescent="0.25">
      <c r="B19" s="47">
        <f t="shared" si="0"/>
        <v>45642</v>
      </c>
      <c r="C19" s="49">
        <v>0</v>
      </c>
      <c r="D19" s="49">
        <v>0</v>
      </c>
      <c r="E19" s="49">
        <v>0.32300000000000001</v>
      </c>
      <c r="F19" s="141"/>
      <c r="G19" s="48"/>
      <c r="H19" s="57"/>
      <c r="I19" s="57"/>
      <c r="J19" s="76"/>
      <c r="K19" s="73"/>
      <c r="L19" s="297"/>
      <c r="O19" s="121"/>
    </row>
    <row r="20" spans="2:15" x14ac:dyDescent="0.25">
      <c r="B20" s="47">
        <f t="shared" si="0"/>
        <v>45643</v>
      </c>
      <c r="C20" s="49">
        <v>0</v>
      </c>
      <c r="D20" s="49">
        <v>0</v>
      </c>
      <c r="E20" s="49"/>
      <c r="F20" s="141"/>
      <c r="G20" s="48"/>
      <c r="H20" s="57"/>
      <c r="I20" s="57"/>
      <c r="J20" s="76"/>
      <c r="K20" s="73"/>
      <c r="L20" s="297"/>
      <c r="O20" s="121"/>
    </row>
    <row r="21" spans="2:15" x14ac:dyDescent="0.25">
      <c r="B21" s="47">
        <f t="shared" si="0"/>
        <v>45644</v>
      </c>
      <c r="C21" s="49">
        <v>0</v>
      </c>
      <c r="D21" s="49">
        <v>0</v>
      </c>
      <c r="E21" s="49"/>
      <c r="F21" s="141"/>
      <c r="G21" s="48"/>
      <c r="H21" s="57"/>
      <c r="I21" s="57"/>
      <c r="J21" s="76"/>
      <c r="K21" s="73"/>
      <c r="L21" s="297"/>
      <c r="O21" s="121"/>
    </row>
    <row r="22" spans="2:15" x14ac:dyDescent="0.25">
      <c r="B22" s="47">
        <f t="shared" si="0"/>
        <v>45645</v>
      </c>
      <c r="C22" s="49">
        <v>0</v>
      </c>
      <c r="D22" s="49">
        <v>0</v>
      </c>
      <c r="E22" s="49"/>
      <c r="F22" s="141"/>
      <c r="G22" s="48"/>
      <c r="H22" s="57"/>
      <c r="I22" s="57"/>
      <c r="J22" s="76"/>
      <c r="K22" s="73"/>
      <c r="L22" s="297"/>
      <c r="O22" s="121"/>
    </row>
    <row r="23" spans="2:15" x14ac:dyDescent="0.25">
      <c r="B23" s="47">
        <f t="shared" si="0"/>
        <v>45646</v>
      </c>
      <c r="C23" s="49">
        <v>0</v>
      </c>
      <c r="D23" s="49">
        <v>0</v>
      </c>
      <c r="E23" s="49"/>
      <c r="F23" s="141"/>
      <c r="G23" s="48"/>
      <c r="H23" s="57"/>
      <c r="I23" s="57"/>
      <c r="J23" s="76"/>
      <c r="K23" s="73"/>
      <c r="L23" s="297"/>
      <c r="O23" s="121"/>
    </row>
    <row r="24" spans="2:15" x14ac:dyDescent="0.25">
      <c r="B24" s="47">
        <f t="shared" si="0"/>
        <v>45647</v>
      </c>
      <c r="C24" s="49">
        <v>0</v>
      </c>
      <c r="D24" s="49">
        <v>0</v>
      </c>
      <c r="E24" s="49"/>
      <c r="F24" s="141"/>
      <c r="G24" s="48"/>
      <c r="H24" s="57"/>
      <c r="I24" s="57"/>
      <c r="J24" s="76"/>
      <c r="K24" s="73"/>
      <c r="L24" s="297"/>
      <c r="O24" s="121"/>
    </row>
    <row r="25" spans="2:15" x14ac:dyDescent="0.25">
      <c r="B25" s="47">
        <f t="shared" si="0"/>
        <v>45648</v>
      </c>
      <c r="C25" s="49">
        <v>0</v>
      </c>
      <c r="D25" s="49">
        <v>0</v>
      </c>
      <c r="E25" s="49"/>
      <c r="F25" s="141"/>
      <c r="G25" s="48"/>
      <c r="H25" s="57"/>
      <c r="I25" s="57"/>
      <c r="J25" s="76"/>
      <c r="K25" s="73"/>
      <c r="L25" s="297"/>
      <c r="O25" s="121"/>
    </row>
    <row r="26" spans="2:15" x14ac:dyDescent="0.25">
      <c r="B26" s="47">
        <f t="shared" si="0"/>
        <v>45649</v>
      </c>
      <c r="C26" s="49">
        <v>0</v>
      </c>
      <c r="D26" s="49">
        <v>0</v>
      </c>
      <c r="E26" s="49"/>
      <c r="F26" s="141"/>
      <c r="G26" s="48"/>
      <c r="H26" s="57"/>
      <c r="I26" s="57"/>
      <c r="J26" s="76"/>
      <c r="K26" s="73"/>
      <c r="L26" s="297"/>
      <c r="O26" s="121"/>
    </row>
    <row r="27" spans="2:15" x14ac:dyDescent="0.25">
      <c r="B27" s="47">
        <f t="shared" si="0"/>
        <v>45650</v>
      </c>
      <c r="C27" s="49">
        <v>0</v>
      </c>
      <c r="D27" s="49">
        <v>0</v>
      </c>
      <c r="E27" s="49"/>
      <c r="F27" s="141"/>
      <c r="G27" s="48"/>
      <c r="H27" s="57"/>
      <c r="I27" s="57"/>
      <c r="J27" s="76"/>
      <c r="K27" s="73"/>
      <c r="L27" s="297"/>
      <c r="O27" s="121"/>
    </row>
    <row r="28" spans="2:15" x14ac:dyDescent="0.25">
      <c r="B28" s="47">
        <f t="shared" si="0"/>
        <v>45651</v>
      </c>
      <c r="C28" s="49">
        <v>0</v>
      </c>
      <c r="D28" s="49">
        <v>0</v>
      </c>
      <c r="E28" s="49"/>
      <c r="F28" s="141"/>
      <c r="G28" s="48"/>
      <c r="H28" s="57"/>
      <c r="I28" s="57"/>
      <c r="J28" s="76"/>
      <c r="K28" s="73"/>
      <c r="L28" s="297"/>
      <c r="O28" s="121"/>
    </row>
    <row r="29" spans="2:15" x14ac:dyDescent="0.25">
      <c r="B29" s="47">
        <f t="shared" si="0"/>
        <v>45652</v>
      </c>
      <c r="C29" s="49">
        <v>0</v>
      </c>
      <c r="D29" s="49">
        <v>0</v>
      </c>
      <c r="E29" s="49"/>
      <c r="F29" s="141"/>
      <c r="G29" s="48"/>
      <c r="H29" s="57"/>
      <c r="I29" s="57"/>
      <c r="J29" s="76"/>
      <c r="K29" s="73"/>
      <c r="L29" s="297"/>
      <c r="O29" s="121"/>
    </row>
    <row r="30" spans="2:15" x14ac:dyDescent="0.25">
      <c r="B30" s="47">
        <f t="shared" si="0"/>
        <v>45653</v>
      </c>
      <c r="C30" s="49">
        <v>0</v>
      </c>
      <c r="D30" s="49">
        <v>0</v>
      </c>
      <c r="E30" s="49"/>
      <c r="F30" s="141"/>
      <c r="G30" s="48"/>
      <c r="H30" s="57"/>
      <c r="I30" s="57"/>
      <c r="J30" s="76"/>
      <c r="K30" s="73"/>
      <c r="L30" s="297"/>
      <c r="O30" s="121"/>
    </row>
    <row r="31" spans="2:15" x14ac:dyDescent="0.25">
      <c r="B31" s="47">
        <f t="shared" si="0"/>
        <v>45654</v>
      </c>
      <c r="C31" s="49">
        <v>0</v>
      </c>
      <c r="D31" s="49">
        <v>0</v>
      </c>
      <c r="E31" s="49"/>
      <c r="F31" s="141"/>
      <c r="G31" s="48"/>
      <c r="H31" s="57"/>
      <c r="I31" s="57"/>
      <c r="J31" s="76"/>
      <c r="K31" s="73"/>
      <c r="L31" s="297"/>
      <c r="O31" s="121"/>
    </row>
    <row r="32" spans="2:15" x14ac:dyDescent="0.25">
      <c r="B32" s="47">
        <f t="shared" si="0"/>
        <v>45655</v>
      </c>
      <c r="C32" s="49">
        <v>0</v>
      </c>
      <c r="D32" s="49">
        <v>0</v>
      </c>
      <c r="E32" s="49"/>
      <c r="F32" s="141"/>
      <c r="G32" s="48"/>
      <c r="H32" s="57"/>
      <c r="I32" s="57"/>
      <c r="J32" s="76"/>
      <c r="K32" s="73"/>
      <c r="L32" s="297"/>
      <c r="O32" s="121"/>
    </row>
    <row r="33" spans="2:15" x14ac:dyDescent="0.25">
      <c r="B33" s="47">
        <f t="shared" si="0"/>
        <v>45656</v>
      </c>
      <c r="C33" s="49">
        <v>0</v>
      </c>
      <c r="D33" s="49">
        <v>0</v>
      </c>
      <c r="E33" s="49"/>
      <c r="F33" s="141"/>
      <c r="G33" s="48"/>
      <c r="H33" s="57"/>
      <c r="I33" s="57"/>
      <c r="J33" s="76"/>
      <c r="K33" s="73"/>
      <c r="L33" s="297"/>
      <c r="O33" s="121"/>
    </row>
    <row r="34" spans="2:15" x14ac:dyDescent="0.25">
      <c r="B34" s="47">
        <f t="shared" si="0"/>
        <v>45657</v>
      </c>
      <c r="C34" s="49">
        <v>0</v>
      </c>
      <c r="D34" s="49">
        <v>0</v>
      </c>
      <c r="E34" s="49"/>
      <c r="F34" s="141"/>
      <c r="G34" s="48"/>
      <c r="H34" s="57"/>
      <c r="I34" s="57"/>
      <c r="J34" s="76"/>
      <c r="K34" s="73"/>
      <c r="L34" s="181">
        <f>SUM(L4:L33)</f>
        <v>0</v>
      </c>
    </row>
    <row r="35" spans="2:15" x14ac:dyDescent="0.25">
      <c r="E35" s="16">
        <f>SUM(E4:E34)</f>
        <v>5.7180000000000026</v>
      </c>
      <c r="F35" s="16"/>
      <c r="G35" s="18">
        <f>SUM(G4:G34)</f>
        <v>0</v>
      </c>
      <c r="H35" s="18"/>
      <c r="I35" s="18">
        <f>SUM(I4:I34)</f>
        <v>0</v>
      </c>
      <c r="J35" s="18">
        <f>SUM(J4:J34)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B1:O35"/>
  <sheetViews>
    <sheetView zoomScale="70" zoomScaleNormal="70" workbookViewId="0">
      <selection activeCell="D33" sqref="D33:D34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53" t="s">
        <v>28</v>
      </c>
      <c r="N1" s="653"/>
    </row>
    <row r="2" spans="2:15" ht="15.75" thickBot="1" x14ac:dyDescent="0.3">
      <c r="B2" s="661" t="s">
        <v>129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M2" s="2" t="s">
        <v>99</v>
      </c>
      <c r="N2" s="2" t="s">
        <v>111</v>
      </c>
      <c r="O2" s="2" t="s">
        <v>140</v>
      </c>
    </row>
    <row r="3" spans="2:15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35" t="s">
        <v>71</v>
      </c>
      <c r="L3" s="69"/>
      <c r="M3" s="109"/>
      <c r="N3" s="109"/>
      <c r="O3" s="109"/>
    </row>
    <row r="4" spans="2:15" x14ac:dyDescent="0.25">
      <c r="B4" s="47">
        <v>45627</v>
      </c>
      <c r="C4" s="49"/>
      <c r="D4" s="49">
        <v>0</v>
      </c>
      <c r="E4" s="49">
        <v>0.35499999999999998</v>
      </c>
      <c r="F4" s="141"/>
      <c r="G4" s="48"/>
      <c r="H4" s="57"/>
      <c r="I4" s="57"/>
      <c r="J4" s="76"/>
      <c r="K4" s="73"/>
      <c r="L4" s="121"/>
    </row>
    <row r="5" spans="2:15" x14ac:dyDescent="0.25">
      <c r="B5" s="47">
        <f>+B4+1</f>
        <v>45628</v>
      </c>
      <c r="C5" s="49"/>
      <c r="D5" s="49">
        <v>0</v>
      </c>
      <c r="E5" s="49">
        <v>2.2160000000000002</v>
      </c>
      <c r="F5" s="141"/>
      <c r="G5" s="48"/>
      <c r="H5" s="57"/>
      <c r="I5" s="57"/>
      <c r="J5" s="76"/>
      <c r="K5" s="73"/>
      <c r="L5" s="121"/>
    </row>
    <row r="6" spans="2:15" x14ac:dyDescent="0.25">
      <c r="B6" s="47">
        <f t="shared" ref="B6:B34" si="0">+B5+1</f>
        <v>45629</v>
      </c>
      <c r="C6" s="49"/>
      <c r="D6" s="49">
        <v>0</v>
      </c>
      <c r="E6" s="49">
        <v>2.2610000000000001</v>
      </c>
      <c r="F6" s="141"/>
      <c r="G6" s="48"/>
      <c r="H6" s="57"/>
      <c r="I6" s="57"/>
      <c r="J6" s="76"/>
      <c r="K6" s="73"/>
      <c r="L6" s="121"/>
    </row>
    <row r="7" spans="2:15" x14ac:dyDescent="0.25">
      <c r="B7" s="47">
        <f t="shared" si="0"/>
        <v>45630</v>
      </c>
      <c r="C7" s="49"/>
      <c r="D7" s="49">
        <v>0</v>
      </c>
      <c r="E7" s="49">
        <v>2.2210000000000001</v>
      </c>
      <c r="F7" s="141"/>
      <c r="G7" s="48"/>
      <c r="H7" s="57"/>
      <c r="I7" s="57"/>
      <c r="J7" s="76"/>
      <c r="K7" s="73"/>
      <c r="L7" s="121"/>
    </row>
    <row r="8" spans="2:15" x14ac:dyDescent="0.25">
      <c r="B8" s="47">
        <f t="shared" si="0"/>
        <v>45631</v>
      </c>
      <c r="C8" s="49"/>
      <c r="D8" s="49">
        <v>0</v>
      </c>
      <c r="E8" s="49">
        <v>2.2559999999999998</v>
      </c>
      <c r="F8" s="141"/>
      <c r="G8" s="48"/>
      <c r="H8" s="57"/>
      <c r="I8" s="57"/>
      <c r="J8" s="76"/>
      <c r="K8" s="73"/>
      <c r="L8" s="121"/>
    </row>
    <row r="9" spans="2:15" x14ac:dyDescent="0.25">
      <c r="B9" s="47">
        <f t="shared" si="0"/>
        <v>45632</v>
      </c>
      <c r="C9" s="49"/>
      <c r="D9" s="49">
        <v>0</v>
      </c>
      <c r="E9" s="49">
        <v>2.2519999999999998</v>
      </c>
      <c r="F9" s="141"/>
      <c r="G9" s="48"/>
      <c r="H9" s="57"/>
      <c r="I9" s="57"/>
      <c r="J9" s="76"/>
      <c r="K9" s="73"/>
      <c r="L9" s="121"/>
    </row>
    <row r="10" spans="2:15" x14ac:dyDescent="0.25">
      <c r="B10" s="47">
        <f t="shared" si="0"/>
        <v>45633</v>
      </c>
      <c r="C10" s="49"/>
      <c r="D10" s="49">
        <v>0</v>
      </c>
      <c r="E10" s="49">
        <v>0.38500000000000001</v>
      </c>
      <c r="F10" s="141"/>
      <c r="G10" s="48"/>
      <c r="H10" s="57"/>
      <c r="I10" s="57"/>
      <c r="J10" s="76"/>
      <c r="K10" s="73"/>
      <c r="L10" s="121"/>
    </row>
    <row r="11" spans="2:15" x14ac:dyDescent="0.25">
      <c r="B11" s="47">
        <f t="shared" si="0"/>
        <v>45634</v>
      </c>
      <c r="C11" s="49"/>
      <c r="D11" s="49">
        <v>1</v>
      </c>
      <c r="E11" s="49">
        <v>0.36599999999999999</v>
      </c>
      <c r="F11" s="141"/>
      <c r="G11" s="48"/>
      <c r="H11" s="57"/>
      <c r="I11" s="57"/>
      <c r="J11" s="76"/>
      <c r="K11" s="73"/>
      <c r="L11" s="121"/>
    </row>
    <row r="12" spans="2:15" x14ac:dyDescent="0.25">
      <c r="B12" s="47">
        <f t="shared" si="0"/>
        <v>45635</v>
      </c>
      <c r="C12" s="49"/>
      <c r="D12" s="49">
        <v>0</v>
      </c>
      <c r="E12" s="49">
        <v>2.3119999999999998</v>
      </c>
      <c r="F12" s="141"/>
      <c r="G12" s="48"/>
      <c r="H12" s="57"/>
      <c r="I12" s="57"/>
      <c r="J12" s="76"/>
      <c r="K12" s="73"/>
      <c r="L12" s="121"/>
    </row>
    <row r="13" spans="2:15" x14ac:dyDescent="0.25">
      <c r="B13" s="47">
        <f t="shared" si="0"/>
        <v>45636</v>
      </c>
      <c r="C13" s="49"/>
      <c r="D13" s="49">
        <v>0</v>
      </c>
      <c r="E13" s="49">
        <v>2.2160000000000002</v>
      </c>
      <c r="F13" s="141"/>
      <c r="G13" s="48"/>
      <c r="H13" s="57">
        <v>1</v>
      </c>
      <c r="I13" s="57"/>
      <c r="J13" s="76"/>
      <c r="K13" s="73"/>
      <c r="L13" s="121"/>
    </row>
    <row r="14" spans="2:15" x14ac:dyDescent="0.25">
      <c r="B14" s="47">
        <f t="shared" si="0"/>
        <v>45637</v>
      </c>
      <c r="C14" s="49"/>
      <c r="D14" s="49">
        <v>0</v>
      </c>
      <c r="E14" s="49">
        <v>2.2799999999999998</v>
      </c>
      <c r="F14" s="141"/>
      <c r="G14" s="48"/>
      <c r="H14" s="57"/>
      <c r="I14" s="57"/>
      <c r="J14" s="76"/>
      <c r="K14" s="73"/>
      <c r="L14" s="121"/>
    </row>
    <row r="15" spans="2:15" x14ac:dyDescent="0.25">
      <c r="B15" s="47">
        <f t="shared" si="0"/>
        <v>45638</v>
      </c>
      <c r="C15" s="49"/>
      <c r="D15" s="49">
        <v>0</v>
      </c>
      <c r="E15" s="49">
        <v>2.3340000000000001</v>
      </c>
      <c r="F15" s="141"/>
      <c r="G15" s="48"/>
      <c r="H15" s="57"/>
      <c r="I15" s="57"/>
      <c r="J15" s="76"/>
      <c r="K15" s="73"/>
      <c r="L15" s="121"/>
    </row>
    <row r="16" spans="2:15" x14ac:dyDescent="0.25">
      <c r="B16" s="47">
        <f t="shared" si="0"/>
        <v>45639</v>
      </c>
      <c r="C16" s="49"/>
      <c r="D16" s="49">
        <v>0</v>
      </c>
      <c r="E16" s="49">
        <v>2.2589999999999999</v>
      </c>
      <c r="F16" s="141"/>
      <c r="G16" s="48"/>
      <c r="H16" s="57"/>
      <c r="I16" s="57"/>
      <c r="J16" s="76"/>
      <c r="K16" s="73"/>
      <c r="L16" s="121"/>
    </row>
    <row r="17" spans="2:13" x14ac:dyDescent="0.25">
      <c r="B17" s="47">
        <f t="shared" si="0"/>
        <v>45640</v>
      </c>
      <c r="C17" s="49"/>
      <c r="D17" s="49">
        <v>0</v>
      </c>
      <c r="E17" s="49">
        <v>0.38700000000000001</v>
      </c>
      <c r="F17" s="141"/>
      <c r="G17" s="48"/>
      <c r="H17" s="57"/>
      <c r="I17" s="57"/>
      <c r="J17" s="76"/>
      <c r="K17" s="73"/>
      <c r="L17" s="121"/>
      <c r="M17" s="1" t="s">
        <v>73</v>
      </c>
    </row>
    <row r="18" spans="2:13" x14ac:dyDescent="0.25">
      <c r="B18" s="47">
        <f t="shared" si="0"/>
        <v>45641</v>
      </c>
      <c r="C18" s="49"/>
      <c r="D18" s="49">
        <v>0</v>
      </c>
      <c r="E18" s="49">
        <v>0.151</v>
      </c>
      <c r="F18" s="141"/>
      <c r="G18" s="48"/>
      <c r="H18" s="57"/>
      <c r="I18" s="57"/>
      <c r="J18" s="76"/>
      <c r="K18" s="73"/>
      <c r="L18" s="121"/>
    </row>
    <row r="19" spans="2:13" x14ac:dyDescent="0.25">
      <c r="B19" s="47">
        <f t="shared" si="0"/>
        <v>45642</v>
      </c>
      <c r="C19" s="49"/>
      <c r="D19" s="49">
        <v>0</v>
      </c>
      <c r="E19" s="49">
        <v>2.226</v>
      </c>
      <c r="F19" s="141"/>
      <c r="G19" s="48"/>
      <c r="H19" s="57"/>
      <c r="I19" s="57"/>
      <c r="J19" s="76"/>
      <c r="K19" s="73"/>
      <c r="L19" s="121"/>
    </row>
    <row r="20" spans="2:13" x14ac:dyDescent="0.25">
      <c r="B20" s="47">
        <f t="shared" si="0"/>
        <v>45643</v>
      </c>
      <c r="C20" s="49"/>
      <c r="D20" s="49">
        <v>0</v>
      </c>
      <c r="E20" s="49"/>
      <c r="F20" s="141"/>
      <c r="G20" s="48"/>
      <c r="H20" s="57"/>
      <c r="I20" s="57"/>
      <c r="J20" s="76"/>
      <c r="K20" s="73"/>
      <c r="L20" s="121"/>
    </row>
    <row r="21" spans="2:13" x14ac:dyDescent="0.25">
      <c r="B21" s="47">
        <f t="shared" si="0"/>
        <v>45644</v>
      </c>
      <c r="C21" s="49"/>
      <c r="D21" s="49">
        <v>0</v>
      </c>
      <c r="E21" s="49"/>
      <c r="F21" s="141"/>
      <c r="G21" s="48"/>
      <c r="H21" s="57"/>
      <c r="I21" s="57"/>
      <c r="J21" s="76"/>
      <c r="K21" s="73"/>
      <c r="L21" s="121"/>
    </row>
    <row r="22" spans="2:13" x14ac:dyDescent="0.25">
      <c r="B22" s="47">
        <f t="shared" si="0"/>
        <v>45645</v>
      </c>
      <c r="C22" s="49"/>
      <c r="D22" s="49">
        <v>0</v>
      </c>
      <c r="E22" s="49"/>
      <c r="F22" s="141"/>
      <c r="G22" s="48"/>
      <c r="H22" s="57"/>
      <c r="I22" s="57"/>
      <c r="J22" s="76"/>
      <c r="K22" s="73"/>
      <c r="L22" s="121"/>
    </row>
    <row r="23" spans="2:13" x14ac:dyDescent="0.25">
      <c r="B23" s="47">
        <f t="shared" si="0"/>
        <v>45646</v>
      </c>
      <c r="C23" s="49"/>
      <c r="D23" s="49">
        <v>0</v>
      </c>
      <c r="E23" s="49"/>
      <c r="F23" s="141"/>
      <c r="G23" s="48"/>
      <c r="H23" s="57"/>
      <c r="I23" s="57"/>
      <c r="J23" s="76"/>
      <c r="K23" s="73"/>
      <c r="L23" s="121"/>
    </row>
    <row r="24" spans="2:13" x14ac:dyDescent="0.25">
      <c r="B24" s="47">
        <f t="shared" si="0"/>
        <v>45647</v>
      </c>
      <c r="C24" s="49"/>
      <c r="D24" s="49">
        <v>0</v>
      </c>
      <c r="E24" s="49"/>
      <c r="F24" s="141"/>
      <c r="G24" s="48"/>
      <c r="H24" s="57"/>
      <c r="I24" s="57"/>
      <c r="J24" s="76"/>
      <c r="K24" s="73"/>
      <c r="L24" s="121"/>
    </row>
    <row r="25" spans="2:13" x14ac:dyDescent="0.25">
      <c r="B25" s="47">
        <f t="shared" si="0"/>
        <v>45648</v>
      </c>
      <c r="C25" s="49"/>
      <c r="D25" s="49">
        <v>0</v>
      </c>
      <c r="E25" s="49"/>
      <c r="F25" s="141"/>
      <c r="G25" s="48"/>
      <c r="H25" s="57"/>
      <c r="I25" s="57"/>
      <c r="J25" s="76"/>
      <c r="K25" s="73"/>
      <c r="L25" s="121"/>
    </row>
    <row r="26" spans="2:13" x14ac:dyDescent="0.25">
      <c r="B26" s="47">
        <f t="shared" si="0"/>
        <v>45649</v>
      </c>
      <c r="C26" s="49"/>
      <c r="D26" s="49">
        <v>0</v>
      </c>
      <c r="E26" s="49"/>
      <c r="F26" s="141"/>
      <c r="G26" s="48"/>
      <c r="H26" s="57"/>
      <c r="I26" s="57"/>
      <c r="J26" s="76"/>
      <c r="K26" s="73"/>
      <c r="L26" s="121"/>
    </row>
    <row r="27" spans="2:13" x14ac:dyDescent="0.25">
      <c r="B27" s="47">
        <f t="shared" si="0"/>
        <v>45650</v>
      </c>
      <c r="C27" s="49"/>
      <c r="D27" s="49">
        <v>0</v>
      </c>
      <c r="E27" s="49"/>
      <c r="F27" s="141"/>
      <c r="G27" s="48"/>
      <c r="H27" s="57"/>
      <c r="I27" s="57"/>
      <c r="J27" s="76"/>
      <c r="K27" s="73"/>
      <c r="L27" s="121"/>
    </row>
    <row r="28" spans="2:13" x14ac:dyDescent="0.25">
      <c r="B28" s="47">
        <f t="shared" si="0"/>
        <v>45651</v>
      </c>
      <c r="C28" s="49"/>
      <c r="D28" s="49">
        <v>0</v>
      </c>
      <c r="E28" s="49"/>
      <c r="F28" s="141"/>
      <c r="G28" s="48"/>
      <c r="H28" s="57"/>
      <c r="I28" s="57"/>
      <c r="J28" s="76"/>
      <c r="K28" s="73"/>
      <c r="L28" s="121"/>
    </row>
    <row r="29" spans="2:13" x14ac:dyDescent="0.25">
      <c r="B29" s="47">
        <f t="shared" si="0"/>
        <v>45652</v>
      </c>
      <c r="C29" s="49"/>
      <c r="D29" s="49">
        <v>0</v>
      </c>
      <c r="E29" s="49"/>
      <c r="F29" s="141"/>
      <c r="G29" s="48"/>
      <c r="H29" s="57"/>
      <c r="I29" s="57"/>
      <c r="J29" s="76"/>
      <c r="K29" s="73"/>
      <c r="L29" s="121"/>
    </row>
    <row r="30" spans="2:13" x14ac:dyDescent="0.25">
      <c r="B30" s="47">
        <f t="shared" si="0"/>
        <v>45653</v>
      </c>
      <c r="C30" s="49"/>
      <c r="D30" s="49">
        <v>0</v>
      </c>
      <c r="E30" s="49"/>
      <c r="F30" s="141"/>
      <c r="G30" s="48"/>
      <c r="H30" s="57"/>
      <c r="I30" s="57"/>
      <c r="J30" s="76"/>
      <c r="K30" s="73"/>
      <c r="L30" s="121"/>
    </row>
    <row r="31" spans="2:13" x14ac:dyDescent="0.25">
      <c r="B31" s="47">
        <f t="shared" si="0"/>
        <v>45654</v>
      </c>
      <c r="C31" s="49"/>
      <c r="D31" s="49">
        <v>0</v>
      </c>
      <c r="E31" s="49"/>
      <c r="F31" s="141"/>
      <c r="G31" s="48"/>
      <c r="H31" s="57"/>
      <c r="I31" s="57"/>
      <c r="J31" s="76"/>
      <c r="K31" s="73"/>
      <c r="L31" s="121"/>
    </row>
    <row r="32" spans="2:13" x14ac:dyDescent="0.25">
      <c r="B32" s="47">
        <f t="shared" si="0"/>
        <v>45655</v>
      </c>
      <c r="C32" s="49"/>
      <c r="D32" s="49">
        <v>0</v>
      </c>
      <c r="E32" s="49"/>
      <c r="F32" s="141"/>
      <c r="G32" s="48"/>
      <c r="H32" s="57"/>
      <c r="I32" s="57"/>
      <c r="J32" s="76"/>
      <c r="K32" s="73"/>
      <c r="L32" s="121"/>
    </row>
    <row r="33" spans="2:12" x14ac:dyDescent="0.25">
      <c r="B33" s="47">
        <f t="shared" si="0"/>
        <v>45656</v>
      </c>
      <c r="C33" s="49"/>
      <c r="D33" s="49">
        <v>0</v>
      </c>
      <c r="E33" s="49"/>
      <c r="F33" s="141"/>
      <c r="G33" s="48"/>
      <c r="H33" s="57"/>
      <c r="I33" s="57"/>
      <c r="J33" s="76"/>
      <c r="K33" s="73"/>
      <c r="L33" s="121"/>
    </row>
    <row r="34" spans="2:12" x14ac:dyDescent="0.25">
      <c r="B34" s="47">
        <f t="shared" si="0"/>
        <v>45657</v>
      </c>
      <c r="C34" s="49"/>
      <c r="D34" s="49">
        <v>0</v>
      </c>
      <c r="E34" s="49"/>
      <c r="F34" s="141"/>
      <c r="G34" s="48"/>
      <c r="H34" s="57"/>
      <c r="I34" s="57"/>
      <c r="J34" s="76"/>
      <c r="K34" s="73"/>
      <c r="L34" s="16">
        <f>SUM(L4:L33)</f>
        <v>0</v>
      </c>
    </row>
    <row r="35" spans="2:12" x14ac:dyDescent="0.25">
      <c r="E35" s="16">
        <f>SUM(E4:E34)</f>
        <v>26.477</v>
      </c>
      <c r="F35" s="16"/>
      <c r="G35" s="18">
        <f>SUM(G4:G34)</f>
        <v>0</v>
      </c>
      <c r="H35" s="18">
        <f>SUM(H4:H34)</f>
        <v>1</v>
      </c>
      <c r="I35" s="18">
        <f>SUM(I4:I34)</f>
        <v>0</v>
      </c>
      <c r="J35" s="18">
        <f>SUM(J4:J34)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B1:O35"/>
  <sheetViews>
    <sheetView zoomScale="70" zoomScaleNormal="70" workbookViewId="0">
      <selection activeCell="H20" sqref="H20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53" t="s">
        <v>28</v>
      </c>
      <c r="N1" s="653"/>
    </row>
    <row r="2" spans="2:15" ht="15.75" thickBot="1" x14ac:dyDescent="0.3">
      <c r="B2" s="661" t="s">
        <v>109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M2" s="2" t="s">
        <v>99</v>
      </c>
      <c r="N2" s="2" t="s">
        <v>111</v>
      </c>
      <c r="O2" s="2" t="s">
        <v>80</v>
      </c>
    </row>
    <row r="3" spans="2:15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35" t="s">
        <v>71</v>
      </c>
      <c r="L3" s="69"/>
      <c r="M3" s="109"/>
      <c r="N3" s="109"/>
      <c r="O3" s="109"/>
    </row>
    <row r="4" spans="2:15" x14ac:dyDescent="0.25">
      <c r="B4" s="47">
        <v>45627</v>
      </c>
      <c r="C4" s="49">
        <v>2.5</v>
      </c>
      <c r="D4" s="49">
        <v>2</v>
      </c>
      <c r="E4" s="49">
        <v>3.9689999999999999</v>
      </c>
      <c r="F4" s="21"/>
      <c r="G4" s="48"/>
      <c r="H4" s="57"/>
      <c r="I4" s="57"/>
      <c r="J4" s="76"/>
      <c r="K4" s="73"/>
      <c r="L4" s="122"/>
    </row>
    <row r="5" spans="2:15" x14ac:dyDescent="0.25">
      <c r="B5" s="47">
        <f>+B4+1</f>
        <v>45628</v>
      </c>
      <c r="C5" s="49">
        <v>24</v>
      </c>
      <c r="D5" s="49">
        <v>20</v>
      </c>
      <c r="E5" s="49">
        <v>24.382000000000001</v>
      </c>
      <c r="F5" s="21"/>
      <c r="G5" s="48"/>
      <c r="H5" s="57"/>
      <c r="I5" s="57"/>
      <c r="J5" s="76"/>
      <c r="K5" s="73"/>
      <c r="L5" s="122"/>
    </row>
    <row r="6" spans="2:15" x14ac:dyDescent="0.25">
      <c r="B6" s="47">
        <f t="shared" ref="B6:B34" si="0">+B5+1</f>
        <v>45629</v>
      </c>
      <c r="C6" s="49">
        <v>22</v>
      </c>
      <c r="D6" s="49">
        <v>20</v>
      </c>
      <c r="E6" s="49">
        <v>23.827999999999999</v>
      </c>
      <c r="F6" s="21"/>
      <c r="G6" s="48"/>
      <c r="H6" s="57"/>
      <c r="I6" s="57"/>
      <c r="J6" s="76"/>
      <c r="K6" s="73"/>
      <c r="L6" s="122"/>
    </row>
    <row r="7" spans="2:15" x14ac:dyDescent="0.25">
      <c r="B7" s="47">
        <f t="shared" si="0"/>
        <v>45630</v>
      </c>
      <c r="C7" s="49">
        <v>21</v>
      </c>
      <c r="D7" s="49">
        <v>20</v>
      </c>
      <c r="E7" s="49">
        <v>24.35</v>
      </c>
      <c r="F7" s="21"/>
      <c r="G7" s="48"/>
      <c r="H7" s="57"/>
      <c r="I7" s="57"/>
      <c r="J7" s="76"/>
      <c r="K7" s="73"/>
      <c r="L7" s="122"/>
    </row>
    <row r="8" spans="2:15" x14ac:dyDescent="0.25">
      <c r="B8" s="47">
        <f t="shared" si="0"/>
        <v>45631</v>
      </c>
      <c r="C8" s="49">
        <v>21</v>
      </c>
      <c r="D8" s="49">
        <v>20</v>
      </c>
      <c r="E8" s="49">
        <v>23.533000000000001</v>
      </c>
      <c r="F8" s="21"/>
      <c r="G8" s="53"/>
      <c r="H8" s="57"/>
      <c r="I8" s="57"/>
      <c r="J8" s="76"/>
      <c r="K8" s="73"/>
      <c r="L8" s="122"/>
    </row>
    <row r="9" spans="2:15" x14ac:dyDescent="0.25">
      <c r="B9" s="47">
        <f t="shared" si="0"/>
        <v>45632</v>
      </c>
      <c r="C9" s="49">
        <v>21</v>
      </c>
      <c r="D9" s="49">
        <v>20</v>
      </c>
      <c r="E9" s="49">
        <v>23.497</v>
      </c>
      <c r="F9" s="21"/>
      <c r="G9" s="53"/>
      <c r="H9" s="57"/>
      <c r="I9" s="57"/>
      <c r="J9" s="76"/>
      <c r="K9" s="73"/>
      <c r="L9" s="122"/>
    </row>
    <row r="10" spans="2:15" x14ac:dyDescent="0.25">
      <c r="B10" s="47">
        <f t="shared" si="0"/>
        <v>45633</v>
      </c>
      <c r="C10" s="49">
        <v>4</v>
      </c>
      <c r="D10" s="49">
        <v>4</v>
      </c>
      <c r="E10" s="49">
        <v>6.3179999999999996</v>
      </c>
      <c r="F10" s="21"/>
      <c r="G10" s="54"/>
      <c r="H10" s="57"/>
      <c r="I10" s="57"/>
      <c r="J10" s="76"/>
      <c r="K10" s="73"/>
      <c r="L10" s="122"/>
    </row>
    <row r="11" spans="2:15" x14ac:dyDescent="0.25">
      <c r="B11" s="47">
        <f t="shared" si="0"/>
        <v>45634</v>
      </c>
      <c r="C11" s="49">
        <v>2.5</v>
      </c>
      <c r="D11" s="49">
        <v>2</v>
      </c>
      <c r="E11" s="49">
        <v>3.8039999999999998</v>
      </c>
      <c r="F11" s="21"/>
      <c r="G11" s="55"/>
      <c r="H11" s="57"/>
      <c r="I11" s="57"/>
      <c r="J11" s="76"/>
      <c r="K11" s="73"/>
      <c r="L11" s="122"/>
    </row>
    <row r="12" spans="2:15" x14ac:dyDescent="0.25">
      <c r="B12" s="47">
        <f t="shared" si="0"/>
        <v>45635</v>
      </c>
      <c r="C12" s="49">
        <v>24</v>
      </c>
      <c r="D12" s="49">
        <v>20</v>
      </c>
      <c r="E12" s="49">
        <v>24.521000000000001</v>
      </c>
      <c r="F12" s="21"/>
      <c r="G12" s="54"/>
      <c r="H12" s="57"/>
      <c r="I12" s="57"/>
      <c r="J12" s="76"/>
      <c r="K12" s="73"/>
      <c r="L12" s="122"/>
    </row>
    <row r="13" spans="2:15" x14ac:dyDescent="0.25">
      <c r="B13" s="47">
        <f t="shared" si="0"/>
        <v>45636</v>
      </c>
      <c r="C13" s="49">
        <v>21</v>
      </c>
      <c r="D13" s="49">
        <v>20</v>
      </c>
      <c r="E13" s="49">
        <v>26.123999999999999</v>
      </c>
      <c r="F13" s="21"/>
      <c r="G13" s="56"/>
      <c r="H13" s="57">
        <v>5</v>
      </c>
      <c r="I13" s="57">
        <v>3</v>
      </c>
      <c r="J13" s="76"/>
      <c r="K13" s="73"/>
      <c r="L13" s="122"/>
    </row>
    <row r="14" spans="2:15" x14ac:dyDescent="0.25">
      <c r="B14" s="47">
        <f t="shared" si="0"/>
        <v>45637</v>
      </c>
      <c r="C14" s="49">
        <v>21</v>
      </c>
      <c r="D14" s="49">
        <v>20</v>
      </c>
      <c r="E14" s="49">
        <v>24.059000000000001</v>
      </c>
      <c r="F14" s="21"/>
      <c r="G14" s="54"/>
      <c r="H14" s="57"/>
      <c r="I14" s="57">
        <v>4.0999999999999996</v>
      </c>
      <c r="J14" s="76"/>
      <c r="K14" s="73"/>
      <c r="L14" s="122"/>
    </row>
    <row r="15" spans="2:15" x14ac:dyDescent="0.25">
      <c r="B15" s="47">
        <f t="shared" si="0"/>
        <v>45638</v>
      </c>
      <c r="C15" s="49">
        <v>21</v>
      </c>
      <c r="D15" s="49">
        <v>20</v>
      </c>
      <c r="E15" s="49">
        <v>25.370999999999999</v>
      </c>
      <c r="F15" s="21"/>
      <c r="G15" s="54"/>
      <c r="H15" s="57"/>
      <c r="I15" s="57">
        <v>3.7</v>
      </c>
      <c r="J15" s="76"/>
      <c r="K15" s="73"/>
      <c r="L15" s="122"/>
    </row>
    <row r="16" spans="2:15" x14ac:dyDescent="0.25">
      <c r="B16" s="47">
        <f t="shared" si="0"/>
        <v>45639</v>
      </c>
      <c r="C16" s="49">
        <v>21</v>
      </c>
      <c r="D16" s="49">
        <v>20</v>
      </c>
      <c r="E16" s="49">
        <v>24.704000000000001</v>
      </c>
      <c r="F16" s="21"/>
      <c r="G16" s="54"/>
      <c r="H16" s="57"/>
      <c r="I16" s="57">
        <v>3.5</v>
      </c>
      <c r="J16" s="76"/>
      <c r="K16" s="73"/>
      <c r="L16" s="122"/>
    </row>
    <row r="17" spans="2:12" x14ac:dyDescent="0.25">
      <c r="B17" s="47">
        <f t="shared" si="0"/>
        <v>45640</v>
      </c>
      <c r="C17" s="49">
        <v>4</v>
      </c>
      <c r="D17" s="49">
        <v>4</v>
      </c>
      <c r="E17" s="49">
        <v>6.55</v>
      </c>
      <c r="F17" s="21"/>
      <c r="G17" s="54"/>
      <c r="H17" s="57"/>
      <c r="I17" s="57"/>
      <c r="J17" s="76"/>
      <c r="K17" s="73"/>
      <c r="L17" s="122"/>
    </row>
    <row r="18" spans="2:12" x14ac:dyDescent="0.25">
      <c r="B18" s="47">
        <f t="shared" si="0"/>
        <v>45641</v>
      </c>
      <c r="C18" s="49">
        <v>2.5</v>
      </c>
      <c r="D18" s="49">
        <v>5</v>
      </c>
      <c r="E18" s="49">
        <v>3.8929999999999998</v>
      </c>
      <c r="F18" s="21"/>
      <c r="G18" s="54"/>
      <c r="H18" s="57"/>
      <c r="I18" s="57"/>
      <c r="J18" s="76"/>
      <c r="K18" s="73"/>
      <c r="L18" s="122"/>
    </row>
    <row r="19" spans="2:12" x14ac:dyDescent="0.25">
      <c r="B19" s="47">
        <f t="shared" si="0"/>
        <v>45642</v>
      </c>
      <c r="C19" s="49">
        <v>24</v>
      </c>
      <c r="D19" s="49">
        <v>20</v>
      </c>
      <c r="E19" s="49">
        <v>26.317</v>
      </c>
      <c r="F19" s="21"/>
      <c r="G19" s="54"/>
      <c r="H19" s="57">
        <v>6</v>
      </c>
      <c r="I19" s="57"/>
      <c r="J19" s="76"/>
      <c r="K19" s="73"/>
      <c r="L19" s="122"/>
    </row>
    <row r="20" spans="2:12" x14ac:dyDescent="0.25">
      <c r="B20" s="47">
        <f t="shared" si="0"/>
        <v>45643</v>
      </c>
      <c r="C20" s="49">
        <v>21</v>
      </c>
      <c r="D20" s="49"/>
      <c r="E20" s="49"/>
      <c r="F20" s="21"/>
      <c r="G20" s="54"/>
      <c r="H20" s="57"/>
      <c r="I20" s="57"/>
      <c r="J20" s="76"/>
      <c r="K20" s="73"/>
      <c r="L20" s="122"/>
    </row>
    <row r="21" spans="2:12" x14ac:dyDescent="0.25">
      <c r="B21" s="47">
        <f t="shared" si="0"/>
        <v>45644</v>
      </c>
      <c r="C21" s="49">
        <v>21</v>
      </c>
      <c r="D21" s="49"/>
      <c r="E21" s="49"/>
      <c r="F21" s="21"/>
      <c r="G21" s="54"/>
      <c r="H21" s="57"/>
      <c r="I21" s="57"/>
      <c r="J21" s="76"/>
      <c r="K21" s="73"/>
      <c r="L21" s="122"/>
    </row>
    <row r="22" spans="2:12" x14ac:dyDescent="0.25">
      <c r="B22" s="47">
        <f t="shared" si="0"/>
        <v>45645</v>
      </c>
      <c r="C22" s="49">
        <v>21</v>
      </c>
      <c r="D22" s="49"/>
      <c r="E22" s="49"/>
      <c r="F22" s="21"/>
      <c r="G22" s="54"/>
      <c r="H22" s="57"/>
      <c r="I22" s="57"/>
      <c r="J22" s="76"/>
      <c r="K22" s="73"/>
      <c r="L22" s="122"/>
    </row>
    <row r="23" spans="2:12" x14ac:dyDescent="0.25">
      <c r="B23" s="47">
        <f t="shared" si="0"/>
        <v>45646</v>
      </c>
      <c r="C23" s="49">
        <v>21</v>
      </c>
      <c r="D23" s="49"/>
      <c r="E23" s="49"/>
      <c r="F23" s="21"/>
      <c r="G23" s="54"/>
      <c r="H23" s="57"/>
      <c r="I23" s="57"/>
      <c r="J23" s="76"/>
      <c r="K23" s="73"/>
      <c r="L23" s="122"/>
    </row>
    <row r="24" spans="2:12" x14ac:dyDescent="0.25">
      <c r="B24" s="47">
        <f t="shared" si="0"/>
        <v>45647</v>
      </c>
      <c r="C24" s="49">
        <v>5.5</v>
      </c>
      <c r="D24" s="49"/>
      <c r="E24" s="49"/>
      <c r="F24" s="21"/>
      <c r="G24" s="54"/>
      <c r="H24" s="57"/>
      <c r="I24" s="57"/>
      <c r="J24" s="76"/>
      <c r="K24" s="73"/>
      <c r="L24" s="122"/>
    </row>
    <row r="25" spans="2:12" x14ac:dyDescent="0.25">
      <c r="B25" s="47">
        <f t="shared" si="0"/>
        <v>45648</v>
      </c>
      <c r="C25" s="49">
        <v>0</v>
      </c>
      <c r="D25" s="49"/>
      <c r="E25" s="49"/>
      <c r="F25" s="21"/>
      <c r="G25" s="56"/>
      <c r="H25" s="57"/>
      <c r="I25" s="57"/>
      <c r="J25" s="76"/>
      <c r="K25" s="73"/>
      <c r="L25" s="122"/>
    </row>
    <row r="26" spans="2:12" x14ac:dyDescent="0.25">
      <c r="B26" s="47">
        <f t="shared" si="0"/>
        <v>45649</v>
      </c>
      <c r="C26" s="49">
        <v>0</v>
      </c>
      <c r="D26" s="49"/>
      <c r="E26" s="49"/>
      <c r="F26" s="21"/>
      <c r="G26" s="54"/>
      <c r="H26" s="57"/>
      <c r="I26" s="57"/>
      <c r="J26" s="76"/>
      <c r="K26" s="73"/>
      <c r="L26" s="122"/>
    </row>
    <row r="27" spans="2:12" x14ac:dyDescent="0.25">
      <c r="B27" s="47">
        <f t="shared" si="0"/>
        <v>45650</v>
      </c>
      <c r="C27" s="49">
        <v>0</v>
      </c>
      <c r="D27" s="49"/>
      <c r="E27" s="49"/>
      <c r="F27" s="21"/>
      <c r="G27" s="54"/>
      <c r="H27" s="57"/>
      <c r="I27" s="57"/>
      <c r="J27" s="76"/>
      <c r="K27" s="73"/>
      <c r="L27" s="122"/>
    </row>
    <row r="28" spans="2:12" x14ac:dyDescent="0.25">
      <c r="B28" s="47">
        <f t="shared" si="0"/>
        <v>45651</v>
      </c>
      <c r="C28" s="49">
        <v>0</v>
      </c>
      <c r="D28" s="49"/>
      <c r="E28" s="49"/>
      <c r="F28" s="21"/>
      <c r="G28" s="54"/>
      <c r="H28" s="57"/>
      <c r="I28" s="57"/>
      <c r="J28" s="76"/>
      <c r="K28" s="73"/>
      <c r="L28" s="122"/>
    </row>
    <row r="29" spans="2:12" x14ac:dyDescent="0.25">
      <c r="B29" s="47">
        <f t="shared" si="0"/>
        <v>45652</v>
      </c>
      <c r="C29" s="49">
        <v>0</v>
      </c>
      <c r="D29" s="49"/>
      <c r="E29" s="49"/>
      <c r="F29" s="21"/>
      <c r="G29" s="54"/>
      <c r="H29" s="57"/>
      <c r="I29" s="57"/>
      <c r="J29" s="76"/>
      <c r="K29" s="73"/>
      <c r="L29" s="122"/>
    </row>
    <row r="30" spans="2:12" x14ac:dyDescent="0.25">
      <c r="B30" s="47">
        <f t="shared" si="0"/>
        <v>45653</v>
      </c>
      <c r="C30" s="49">
        <v>0</v>
      </c>
      <c r="D30" s="49"/>
      <c r="E30" s="49"/>
      <c r="F30" s="21"/>
      <c r="G30" s="54"/>
      <c r="H30" s="57"/>
      <c r="I30" s="57"/>
      <c r="J30" s="76"/>
      <c r="K30" s="73"/>
      <c r="L30" s="122"/>
    </row>
    <row r="31" spans="2:12" x14ac:dyDescent="0.25">
      <c r="B31" s="47">
        <f t="shared" si="0"/>
        <v>45654</v>
      </c>
      <c r="C31" s="49">
        <v>0</v>
      </c>
      <c r="D31" s="49"/>
      <c r="E31" s="49"/>
      <c r="F31" s="21"/>
      <c r="G31" s="54"/>
      <c r="H31" s="57"/>
      <c r="I31" s="57"/>
      <c r="J31" s="76"/>
      <c r="K31" s="73"/>
      <c r="L31" s="122"/>
    </row>
    <row r="32" spans="2:12" x14ac:dyDescent="0.25">
      <c r="B32" s="47">
        <f t="shared" si="0"/>
        <v>45655</v>
      </c>
      <c r="C32" s="49">
        <v>0</v>
      </c>
      <c r="D32" s="49"/>
      <c r="E32" s="49"/>
      <c r="F32" s="21"/>
      <c r="G32" s="54"/>
      <c r="H32" s="57"/>
      <c r="I32" s="57"/>
      <c r="J32" s="76"/>
      <c r="K32" s="73"/>
      <c r="L32" s="122"/>
    </row>
    <row r="33" spans="2:12" ht="13.15" customHeight="1" x14ac:dyDescent="0.25">
      <c r="B33" s="47">
        <f t="shared" si="0"/>
        <v>45656</v>
      </c>
      <c r="C33" s="49">
        <v>0</v>
      </c>
      <c r="D33" s="49"/>
      <c r="E33" s="49"/>
      <c r="F33" s="21"/>
      <c r="G33" s="54"/>
      <c r="H33" s="57"/>
      <c r="I33" s="57"/>
      <c r="J33" s="76"/>
      <c r="K33" s="73"/>
      <c r="L33" s="122"/>
    </row>
    <row r="34" spans="2:12" x14ac:dyDescent="0.25">
      <c r="B34" s="47">
        <f t="shared" si="0"/>
        <v>45657</v>
      </c>
      <c r="C34" s="49">
        <v>0</v>
      </c>
      <c r="D34" s="49"/>
      <c r="E34" s="49"/>
      <c r="F34" s="21"/>
      <c r="G34" s="54"/>
      <c r="H34" s="57"/>
      <c r="I34" s="57"/>
      <c r="J34" s="76"/>
      <c r="K34" s="73"/>
      <c r="L34" s="180">
        <f>SUM(L4:L33)</f>
        <v>0</v>
      </c>
    </row>
    <row r="35" spans="2:12" x14ac:dyDescent="0.25">
      <c r="E35" s="16">
        <f>SUM(E4:E34)</f>
        <v>295.21999999999997</v>
      </c>
      <c r="F35" s="16"/>
      <c r="G35" s="18">
        <f>SUM(G4:G34)</f>
        <v>0</v>
      </c>
      <c r="H35" s="18">
        <f>SUM(H4:H34)</f>
        <v>11</v>
      </c>
      <c r="I35" s="18">
        <f>SUM(I4:I34)</f>
        <v>14.3</v>
      </c>
      <c r="J35" s="18">
        <f>SUM(J4:J34)</f>
        <v>0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1:O49"/>
  <sheetViews>
    <sheetView zoomScale="70" zoomScaleNormal="70" workbookViewId="0">
      <selection activeCell="D4" sqref="D4:E19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1" width="17.5703125" style="69" customWidth="1"/>
    <col min="12" max="12" width="13.28515625" style="1" customWidth="1"/>
    <col min="13" max="13" width="17.42578125" style="1" customWidth="1"/>
    <col min="14" max="14" width="19.140625" style="1" bestFit="1" customWidth="1"/>
    <col min="15" max="15" width="12.5703125" style="1" bestFit="1" customWidth="1"/>
    <col min="16" max="16384" width="8.85546875" style="1"/>
  </cols>
  <sheetData>
    <row r="1" spans="2:15" ht="15.75" thickBot="1" x14ac:dyDescent="0.3">
      <c r="H1" s="81"/>
      <c r="I1" s="81"/>
      <c r="J1" s="78"/>
      <c r="K1" s="78"/>
      <c r="M1" s="653" t="s">
        <v>28</v>
      </c>
      <c r="N1" s="653"/>
    </row>
    <row r="2" spans="2:15" ht="15.75" thickBot="1" x14ac:dyDescent="0.3">
      <c r="B2" s="661" t="s">
        <v>113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M2" s="2" t="s">
        <v>99</v>
      </c>
      <c r="N2" s="2" t="s">
        <v>80</v>
      </c>
      <c r="O2" s="1" t="s">
        <v>111</v>
      </c>
    </row>
    <row r="3" spans="2:15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35" t="s">
        <v>71</v>
      </c>
      <c r="L3" s="69"/>
      <c r="M3" s="109"/>
      <c r="N3" s="109"/>
      <c r="O3" s="109"/>
    </row>
    <row r="4" spans="2:15" x14ac:dyDescent="0.25">
      <c r="B4" s="47">
        <v>45627</v>
      </c>
      <c r="C4" s="49">
        <v>32.32</v>
      </c>
      <c r="D4" s="49">
        <v>25</v>
      </c>
      <c r="E4" s="49">
        <v>27.553999999999998</v>
      </c>
      <c r="F4" s="21"/>
      <c r="G4" s="48"/>
      <c r="H4" s="57"/>
      <c r="I4" s="57"/>
      <c r="J4" s="76"/>
      <c r="K4" s="73"/>
      <c r="L4" s="122"/>
    </row>
    <row r="5" spans="2:15" x14ac:dyDescent="0.25">
      <c r="B5" s="47">
        <f>+B4+1</f>
        <v>45628</v>
      </c>
      <c r="C5" s="49">
        <v>32.32</v>
      </c>
      <c r="D5" s="49">
        <v>25</v>
      </c>
      <c r="E5" s="49">
        <v>25.78</v>
      </c>
      <c r="F5" s="21"/>
      <c r="G5" s="48"/>
      <c r="H5" s="57"/>
      <c r="I5" s="57"/>
      <c r="J5" s="76"/>
      <c r="K5" s="73"/>
      <c r="L5" s="122"/>
    </row>
    <row r="6" spans="2:15" x14ac:dyDescent="0.25">
      <c r="B6" s="47">
        <f t="shared" ref="B6:B34" si="0">+B5+1</f>
        <v>45629</v>
      </c>
      <c r="C6" s="49">
        <v>32.32</v>
      </c>
      <c r="D6" s="49">
        <v>25</v>
      </c>
      <c r="E6" s="49">
        <v>26.585999999999999</v>
      </c>
      <c r="F6" s="21"/>
      <c r="G6" s="48"/>
      <c r="H6" s="57"/>
      <c r="I6" s="57"/>
      <c r="J6" s="76"/>
      <c r="K6" s="73"/>
      <c r="L6" s="122"/>
    </row>
    <row r="7" spans="2:15" x14ac:dyDescent="0.25">
      <c r="B7" s="47">
        <f t="shared" si="0"/>
        <v>45630</v>
      </c>
      <c r="C7" s="49">
        <v>32.32</v>
      </c>
      <c r="D7" s="49">
        <v>25</v>
      </c>
      <c r="E7" s="49">
        <v>26.393000000000001</v>
      </c>
      <c r="F7" s="21"/>
      <c r="G7" s="48"/>
      <c r="H7" s="57"/>
      <c r="I7" s="57"/>
      <c r="J7" s="76"/>
      <c r="K7" s="73"/>
      <c r="L7" s="122"/>
    </row>
    <row r="8" spans="2:15" x14ac:dyDescent="0.25">
      <c r="B8" s="47">
        <f t="shared" si="0"/>
        <v>45631</v>
      </c>
      <c r="C8" s="49">
        <v>32.32</v>
      </c>
      <c r="D8" s="49">
        <v>25</v>
      </c>
      <c r="E8" s="49">
        <v>26.317</v>
      </c>
      <c r="F8" s="21"/>
      <c r="G8" s="53"/>
      <c r="H8" s="57"/>
      <c r="I8" s="57"/>
      <c r="J8" s="76"/>
      <c r="K8" s="73"/>
      <c r="L8" s="122"/>
    </row>
    <row r="9" spans="2:15" x14ac:dyDescent="0.25">
      <c r="B9" s="47">
        <f t="shared" si="0"/>
        <v>45632</v>
      </c>
      <c r="C9" s="49">
        <v>32.32</v>
      </c>
      <c r="D9" s="49">
        <v>25</v>
      </c>
      <c r="E9" s="49">
        <v>26.123999999999999</v>
      </c>
      <c r="F9" s="21"/>
      <c r="G9" s="53"/>
      <c r="H9" s="57"/>
      <c r="I9" s="57"/>
      <c r="J9" s="76"/>
      <c r="K9" s="73"/>
      <c r="L9" s="122"/>
    </row>
    <row r="10" spans="2:15" x14ac:dyDescent="0.25">
      <c r="B10" s="47">
        <f t="shared" si="0"/>
        <v>45633</v>
      </c>
      <c r="C10" s="49">
        <v>32.32</v>
      </c>
      <c r="D10" s="49">
        <v>25</v>
      </c>
      <c r="E10" s="49">
        <v>28.157</v>
      </c>
      <c r="F10" s="21"/>
      <c r="G10" s="54"/>
      <c r="H10" s="57"/>
      <c r="I10" s="57"/>
      <c r="J10" s="76"/>
      <c r="K10" s="73"/>
      <c r="L10" s="122"/>
    </row>
    <row r="11" spans="2:15" x14ac:dyDescent="0.25">
      <c r="B11" s="47">
        <f t="shared" si="0"/>
        <v>45634</v>
      </c>
      <c r="C11" s="49">
        <v>32.32</v>
      </c>
      <c r="D11" s="49">
        <v>25</v>
      </c>
      <c r="E11" s="49">
        <v>28.157</v>
      </c>
      <c r="F11" s="21"/>
      <c r="G11" s="55"/>
      <c r="H11" s="57"/>
      <c r="I11" s="57"/>
      <c r="J11" s="76"/>
      <c r="K11" s="73"/>
      <c r="L11" s="122"/>
    </row>
    <row r="12" spans="2:15" x14ac:dyDescent="0.25">
      <c r="B12" s="47">
        <f t="shared" si="0"/>
        <v>45635</v>
      </c>
      <c r="C12" s="49">
        <v>32.32</v>
      </c>
      <c r="D12" s="49">
        <v>25</v>
      </c>
      <c r="E12" s="49">
        <v>25.231000000000002</v>
      </c>
      <c r="F12" s="21"/>
      <c r="G12" s="54"/>
      <c r="H12" s="57"/>
      <c r="I12" s="57"/>
      <c r="J12" s="76"/>
      <c r="K12" s="73"/>
      <c r="L12" s="122"/>
    </row>
    <row r="13" spans="2:15" x14ac:dyDescent="0.25">
      <c r="B13" s="47">
        <f t="shared" si="0"/>
        <v>45636</v>
      </c>
      <c r="C13" s="49">
        <v>32.32</v>
      </c>
      <c r="D13" s="49">
        <v>25</v>
      </c>
      <c r="E13" s="49">
        <v>25.177</v>
      </c>
      <c r="F13" s="21"/>
      <c r="G13" s="56"/>
      <c r="H13" s="57"/>
      <c r="I13" s="57"/>
      <c r="J13" s="76"/>
      <c r="K13" s="73"/>
      <c r="L13" s="122"/>
    </row>
    <row r="14" spans="2:15" x14ac:dyDescent="0.25">
      <c r="B14" s="47">
        <f t="shared" si="0"/>
        <v>45637</v>
      </c>
      <c r="C14" s="49">
        <v>32.32</v>
      </c>
      <c r="D14" s="49">
        <v>25</v>
      </c>
      <c r="E14" s="49">
        <v>26.274000000000001</v>
      </c>
      <c r="F14" s="21"/>
      <c r="G14" s="54"/>
      <c r="H14" s="57"/>
      <c r="I14" s="57"/>
      <c r="J14" s="76"/>
      <c r="K14" s="73"/>
      <c r="L14" s="122"/>
    </row>
    <row r="15" spans="2:15" x14ac:dyDescent="0.25">
      <c r="B15" s="47">
        <f t="shared" si="0"/>
        <v>45638</v>
      </c>
      <c r="C15" s="49">
        <v>32.32</v>
      </c>
      <c r="D15" s="49">
        <v>25</v>
      </c>
      <c r="E15" s="49">
        <v>26.113</v>
      </c>
      <c r="F15" s="21"/>
      <c r="G15" s="54"/>
      <c r="H15" s="57"/>
      <c r="I15" s="57"/>
      <c r="J15" s="76"/>
      <c r="K15" s="73"/>
      <c r="L15" s="122"/>
    </row>
    <row r="16" spans="2:15" x14ac:dyDescent="0.25">
      <c r="B16" s="47">
        <f t="shared" si="0"/>
        <v>45639</v>
      </c>
      <c r="C16" s="49">
        <v>32.32</v>
      </c>
      <c r="D16" s="49">
        <v>25</v>
      </c>
      <c r="E16" s="49">
        <v>28.995000000000001</v>
      </c>
      <c r="F16" s="21"/>
      <c r="G16" s="54"/>
      <c r="H16" s="57"/>
      <c r="I16" s="57"/>
      <c r="J16" s="76"/>
      <c r="K16" s="73"/>
      <c r="L16" s="122"/>
    </row>
    <row r="17" spans="2:12" x14ac:dyDescent="0.25">
      <c r="B17" s="47">
        <f t="shared" si="0"/>
        <v>45640</v>
      </c>
      <c r="C17" s="49">
        <v>32.32</v>
      </c>
      <c r="D17" s="49">
        <v>25</v>
      </c>
      <c r="E17" s="49">
        <v>28.242999999999999</v>
      </c>
      <c r="F17" s="21"/>
      <c r="G17" s="54"/>
      <c r="H17" s="57"/>
      <c r="I17" s="57"/>
      <c r="J17" s="76"/>
      <c r="K17" s="73"/>
      <c r="L17" s="122"/>
    </row>
    <row r="18" spans="2:12" x14ac:dyDescent="0.25">
      <c r="B18" s="47">
        <f t="shared" si="0"/>
        <v>45641</v>
      </c>
      <c r="C18" s="49">
        <v>32.32</v>
      </c>
      <c r="D18" s="49">
        <v>25</v>
      </c>
      <c r="E18" s="49">
        <v>27.984999999999999</v>
      </c>
      <c r="F18" s="21"/>
      <c r="G18" s="54"/>
      <c r="H18" s="57"/>
      <c r="I18" s="57"/>
      <c r="J18" s="76"/>
      <c r="K18" s="73"/>
      <c r="L18" s="122"/>
    </row>
    <row r="19" spans="2:12" x14ac:dyDescent="0.25">
      <c r="B19" s="47">
        <f t="shared" si="0"/>
        <v>45642</v>
      </c>
      <c r="C19" s="49">
        <v>32.32</v>
      </c>
      <c r="D19" s="49">
        <v>25</v>
      </c>
      <c r="E19" s="49">
        <v>28.189</v>
      </c>
      <c r="F19" s="21"/>
      <c r="G19" s="54"/>
      <c r="H19" s="57"/>
      <c r="I19" s="57"/>
      <c r="J19" s="76"/>
      <c r="K19" s="73"/>
      <c r="L19" s="122"/>
    </row>
    <row r="20" spans="2:12" x14ac:dyDescent="0.25">
      <c r="B20" s="47">
        <f t="shared" si="0"/>
        <v>45643</v>
      </c>
      <c r="C20" s="49">
        <v>32.32</v>
      </c>
      <c r="D20" s="49"/>
      <c r="E20" s="49"/>
      <c r="F20" s="21"/>
      <c r="G20" s="54"/>
      <c r="H20" s="57"/>
      <c r="I20" s="57"/>
      <c r="J20" s="76"/>
      <c r="K20" s="73"/>
      <c r="L20" s="122"/>
    </row>
    <row r="21" spans="2:12" x14ac:dyDescent="0.25">
      <c r="B21" s="47">
        <f t="shared" si="0"/>
        <v>45644</v>
      </c>
      <c r="C21" s="49">
        <v>32.32</v>
      </c>
      <c r="D21" s="49"/>
      <c r="E21" s="49"/>
      <c r="F21" s="21"/>
      <c r="G21" s="54"/>
      <c r="H21" s="57"/>
      <c r="I21" s="57"/>
      <c r="J21" s="76"/>
      <c r="K21" s="73"/>
      <c r="L21" s="122"/>
    </row>
    <row r="22" spans="2:12" x14ac:dyDescent="0.25">
      <c r="B22" s="47">
        <f t="shared" si="0"/>
        <v>45645</v>
      </c>
      <c r="C22" s="49">
        <v>32.32</v>
      </c>
      <c r="D22" s="49"/>
      <c r="E22" s="49"/>
      <c r="F22" s="21"/>
      <c r="G22" s="54"/>
      <c r="H22" s="57"/>
      <c r="I22" s="57"/>
      <c r="J22" s="76"/>
      <c r="K22" s="73"/>
      <c r="L22" s="122"/>
    </row>
    <row r="23" spans="2:12" x14ac:dyDescent="0.25">
      <c r="B23" s="47">
        <f t="shared" si="0"/>
        <v>45646</v>
      </c>
      <c r="C23" s="49">
        <v>32.32</v>
      </c>
      <c r="D23" s="49"/>
      <c r="E23" s="49"/>
      <c r="F23" s="21"/>
      <c r="G23" s="54"/>
      <c r="H23" s="57"/>
      <c r="I23" s="57"/>
      <c r="J23" s="76"/>
      <c r="K23" s="73"/>
      <c r="L23" s="122"/>
    </row>
    <row r="24" spans="2:12" x14ac:dyDescent="0.25">
      <c r="B24" s="47">
        <f t="shared" si="0"/>
        <v>45647</v>
      </c>
      <c r="C24" s="49">
        <v>32.32</v>
      </c>
      <c r="D24" s="49"/>
      <c r="E24" s="49"/>
      <c r="F24" s="21"/>
      <c r="G24" s="54"/>
      <c r="H24" s="57"/>
      <c r="I24" s="57"/>
      <c r="J24" s="76"/>
      <c r="K24" s="73"/>
      <c r="L24" s="122"/>
    </row>
    <row r="25" spans="2:12" x14ac:dyDescent="0.25">
      <c r="B25" s="47">
        <f t="shared" si="0"/>
        <v>45648</v>
      </c>
      <c r="C25" s="49">
        <v>32.32</v>
      </c>
      <c r="D25" s="49"/>
      <c r="E25" s="49"/>
      <c r="F25" s="21"/>
      <c r="G25" s="56"/>
      <c r="H25" s="57"/>
      <c r="I25" s="57"/>
      <c r="J25" s="76"/>
      <c r="K25" s="73"/>
      <c r="L25" s="122"/>
    </row>
    <row r="26" spans="2:12" x14ac:dyDescent="0.25">
      <c r="B26" s="47">
        <f t="shared" si="0"/>
        <v>45649</v>
      </c>
      <c r="C26" s="49">
        <v>32.32</v>
      </c>
      <c r="D26" s="49"/>
      <c r="E26" s="49"/>
      <c r="F26" s="21"/>
      <c r="G26" s="54"/>
      <c r="H26" s="57"/>
      <c r="I26" s="57"/>
      <c r="J26" s="76"/>
      <c r="K26" s="73"/>
      <c r="L26" s="122"/>
    </row>
    <row r="27" spans="2:12" x14ac:dyDescent="0.25">
      <c r="B27" s="47">
        <f t="shared" si="0"/>
        <v>45650</v>
      </c>
      <c r="C27" s="49">
        <v>32.32</v>
      </c>
      <c r="D27" s="49"/>
      <c r="E27" s="49"/>
      <c r="F27" s="21"/>
      <c r="G27" s="54"/>
      <c r="H27" s="57"/>
      <c r="I27" s="57"/>
      <c r="J27" s="76"/>
      <c r="K27" s="73"/>
      <c r="L27" s="122"/>
    </row>
    <row r="28" spans="2:12" x14ac:dyDescent="0.25">
      <c r="B28" s="47">
        <f t="shared" si="0"/>
        <v>45651</v>
      </c>
      <c r="C28" s="49">
        <v>32.32</v>
      </c>
      <c r="D28" s="49"/>
      <c r="E28" s="49"/>
      <c r="F28" s="21"/>
      <c r="G28" s="54"/>
      <c r="H28" s="57"/>
      <c r="I28" s="57"/>
      <c r="J28" s="76"/>
      <c r="K28" s="73"/>
      <c r="L28" s="122"/>
    </row>
    <row r="29" spans="2:12" x14ac:dyDescent="0.25">
      <c r="B29" s="47">
        <f t="shared" si="0"/>
        <v>45652</v>
      </c>
      <c r="C29" s="49">
        <v>32.32</v>
      </c>
      <c r="D29" s="49"/>
      <c r="E29" s="49"/>
      <c r="F29" s="21"/>
      <c r="G29" s="54"/>
      <c r="H29" s="57"/>
      <c r="I29" s="57"/>
      <c r="J29" s="76"/>
      <c r="K29" s="73"/>
      <c r="L29" s="122"/>
    </row>
    <row r="30" spans="2:12" x14ac:dyDescent="0.25">
      <c r="B30" s="47">
        <f t="shared" si="0"/>
        <v>45653</v>
      </c>
      <c r="C30" s="49">
        <v>32.32</v>
      </c>
      <c r="D30" s="49"/>
      <c r="E30" s="49"/>
      <c r="F30" s="21"/>
      <c r="G30" s="54"/>
      <c r="H30" s="57"/>
      <c r="I30" s="57"/>
      <c r="J30" s="76"/>
      <c r="K30" s="73"/>
      <c r="L30" s="122"/>
    </row>
    <row r="31" spans="2:12" x14ac:dyDescent="0.25">
      <c r="B31" s="47">
        <f t="shared" si="0"/>
        <v>45654</v>
      </c>
      <c r="C31" s="49">
        <v>32.32</v>
      </c>
      <c r="D31" s="49"/>
      <c r="E31" s="49"/>
      <c r="F31" s="21"/>
      <c r="G31" s="54"/>
      <c r="H31" s="57"/>
      <c r="I31" s="57"/>
      <c r="J31" s="76"/>
      <c r="K31" s="73"/>
      <c r="L31" s="122"/>
    </row>
    <row r="32" spans="2:12" x14ac:dyDescent="0.25">
      <c r="B32" s="47">
        <f t="shared" si="0"/>
        <v>45655</v>
      </c>
      <c r="C32" s="49">
        <v>32.32</v>
      </c>
      <c r="D32" s="49"/>
      <c r="E32" s="49"/>
      <c r="F32" s="21"/>
      <c r="G32" s="54"/>
      <c r="H32" s="57"/>
      <c r="I32" s="57"/>
      <c r="J32" s="76"/>
      <c r="K32" s="73"/>
      <c r="L32" s="122"/>
    </row>
    <row r="33" spans="2:13" x14ac:dyDescent="0.25">
      <c r="B33" s="47">
        <f t="shared" si="0"/>
        <v>45656</v>
      </c>
      <c r="C33" s="49">
        <v>32.32</v>
      </c>
      <c r="D33" s="49"/>
      <c r="E33" s="49"/>
      <c r="F33" s="21"/>
      <c r="G33" s="54"/>
      <c r="H33" s="57"/>
      <c r="I33" s="57"/>
      <c r="J33" s="76"/>
      <c r="K33" s="73"/>
      <c r="L33" s="122"/>
    </row>
    <row r="34" spans="2:13" x14ac:dyDescent="0.25">
      <c r="B34" s="47">
        <f t="shared" si="0"/>
        <v>45657</v>
      </c>
      <c r="C34" s="49">
        <v>32.32</v>
      </c>
      <c r="D34" s="49"/>
      <c r="E34" s="49"/>
      <c r="F34" s="21"/>
      <c r="G34" s="54"/>
      <c r="H34" s="57"/>
      <c r="I34" s="57"/>
      <c r="J34" s="76"/>
      <c r="K34" s="73"/>
      <c r="L34" s="180">
        <f>SUM(L4:L33)</f>
        <v>0</v>
      </c>
    </row>
    <row r="35" spans="2:13" x14ac:dyDescent="0.25">
      <c r="E35" s="16">
        <f>SUM(E4:E34)</f>
        <v>431.27500000000003</v>
      </c>
      <c r="F35" s="16"/>
      <c r="G35" s="18">
        <f>SUM(G4:G34)</f>
        <v>0</v>
      </c>
      <c r="H35" s="18"/>
      <c r="I35" s="18">
        <f>SUM(I4:I34)</f>
        <v>0</v>
      </c>
      <c r="J35" s="18">
        <f>SUM(J4:J34)</f>
        <v>0</v>
      </c>
    </row>
    <row r="48" spans="2:13" x14ac:dyDescent="0.25">
      <c r="M48" s="1">
        <f>4.6155+3.637</f>
        <v>8.2524999999999995</v>
      </c>
    </row>
    <row r="49" spans="11:11" x14ac:dyDescent="0.25">
      <c r="K49" s="69">
        <v>301</v>
      </c>
    </row>
  </sheetData>
  <mergeCells count="3">
    <mergeCell ref="M1:N1"/>
    <mergeCell ref="B2:G2"/>
    <mergeCell ref="I2:K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B1:P35"/>
  <sheetViews>
    <sheetView zoomScale="70" zoomScaleNormal="70" workbookViewId="0">
      <selection activeCell="H20" sqref="H20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2" width="17.5703125" style="69" customWidth="1"/>
    <col min="13" max="13" width="9.5703125" style="1" bestFit="1" customWidth="1"/>
    <col min="14" max="14" width="14.7109375" style="1" bestFit="1" customWidth="1"/>
    <col min="15" max="15" width="19.28515625" style="1" bestFit="1" customWidth="1"/>
    <col min="16" max="16" width="11.28515625" style="1" bestFit="1" customWidth="1"/>
    <col min="17" max="16384" width="8.85546875" style="1"/>
  </cols>
  <sheetData>
    <row r="1" spans="2:16" ht="15.75" thickBot="1" x14ac:dyDescent="0.3">
      <c r="H1" s="81"/>
      <c r="I1" s="81"/>
      <c r="J1" s="78"/>
      <c r="K1" s="78"/>
      <c r="L1" s="13"/>
      <c r="N1" s="653" t="s">
        <v>28</v>
      </c>
      <c r="O1" s="653"/>
    </row>
    <row r="2" spans="2:16" ht="15.75" thickBot="1" x14ac:dyDescent="0.3">
      <c r="B2" s="661" t="s">
        <v>325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L2" s="52"/>
      <c r="N2" s="2" t="s">
        <v>99</v>
      </c>
      <c r="O2" s="2" t="s">
        <v>80</v>
      </c>
      <c r="P2" s="2" t="s">
        <v>111</v>
      </c>
    </row>
    <row r="3" spans="2:16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77" t="s">
        <v>82</v>
      </c>
      <c r="L3" s="77" t="s">
        <v>103</v>
      </c>
      <c r="M3" s="69" t="s">
        <v>121</v>
      </c>
      <c r="N3" s="245"/>
      <c r="O3" s="245"/>
      <c r="P3" s="245"/>
    </row>
    <row r="4" spans="2:16" x14ac:dyDescent="0.25">
      <c r="B4" s="47">
        <v>45627</v>
      </c>
      <c r="C4" s="49">
        <v>0</v>
      </c>
      <c r="D4" s="49">
        <v>0</v>
      </c>
      <c r="E4" s="49">
        <v>0</v>
      </c>
      <c r="F4" s="141"/>
      <c r="G4" s="48"/>
      <c r="H4" s="57"/>
      <c r="I4" s="57"/>
      <c r="J4" s="76"/>
      <c r="K4" s="171">
        <f>+H4*'Цени капацитети'!$E$45+I4*'Цени капацитети'!$E$59</f>
        <v>0</v>
      </c>
      <c r="L4" s="113">
        <f>$O$3*'Цени капацитети'!$E$21+$N$3*'Цени капацитети'!$E$4+$P$3*'Цени капацитети'!$E$8+K4</f>
        <v>0</v>
      </c>
      <c r="M4" s="122"/>
    </row>
    <row r="5" spans="2:16" x14ac:dyDescent="0.25">
      <c r="B5" s="47">
        <f>+B4+1</f>
        <v>45628</v>
      </c>
      <c r="C5" s="49">
        <v>5.7</v>
      </c>
      <c r="D5" s="49">
        <v>5</v>
      </c>
      <c r="E5" s="49">
        <v>5.9929237325174824</v>
      </c>
      <c r="F5" s="141"/>
      <c r="G5" s="48"/>
      <c r="H5" s="57"/>
      <c r="I5" s="57">
        <v>5.7</v>
      </c>
      <c r="J5" s="76"/>
      <c r="K5" s="171">
        <f>+H5*'Цени капацитети'!$E$45+I5*'Цени капацитети'!$E$59</f>
        <v>25.86375</v>
      </c>
      <c r="L5" s="113">
        <f>$O$3*'Цени капацитети'!$E$21+$N$3*'Цени капацитети'!$E$4+$P$3*'Цени капацитети'!$E$8+K5</f>
        <v>25.86375</v>
      </c>
      <c r="M5" s="122"/>
    </row>
    <row r="6" spans="2:16" x14ac:dyDescent="0.25">
      <c r="B6" s="47">
        <f t="shared" ref="B6:B34" si="0">+B5+1</f>
        <v>45629</v>
      </c>
      <c r="C6" s="49">
        <v>3.5</v>
      </c>
      <c r="D6" s="49">
        <v>3</v>
      </c>
      <c r="E6" s="49">
        <v>3.6505348258706469</v>
      </c>
      <c r="F6" s="141"/>
      <c r="G6" s="48"/>
      <c r="H6" s="57">
        <v>3.5</v>
      </c>
      <c r="I6" s="57"/>
      <c r="J6" s="76"/>
      <c r="K6" s="171">
        <f>+H6*'Цени капацитети'!$E$45+I6*'Цени капацитети'!$E$59</f>
        <v>12.705</v>
      </c>
      <c r="L6" s="113">
        <f>$O$3*'Цени капацитети'!$E$21+$N$3*'Цени капацитети'!$E$4+$P$3*'Цени капацитети'!$E$8+K6</f>
        <v>12.705</v>
      </c>
      <c r="M6" s="122"/>
    </row>
    <row r="7" spans="2:16" x14ac:dyDescent="0.25">
      <c r="B7" s="47">
        <f t="shared" si="0"/>
        <v>45630</v>
      </c>
      <c r="C7" s="49">
        <v>5</v>
      </c>
      <c r="D7" s="49">
        <v>5</v>
      </c>
      <c r="E7" s="49">
        <v>5.2592504977163603</v>
      </c>
      <c r="F7" s="141"/>
      <c r="G7" s="48"/>
      <c r="H7" s="57">
        <v>5</v>
      </c>
      <c r="I7" s="57"/>
      <c r="J7" s="76"/>
      <c r="K7" s="171">
        <f>+H7*'Цени капацитети'!$E$45+I7*'Цени капацитети'!$E$59</f>
        <v>18.149999999999999</v>
      </c>
      <c r="L7" s="113">
        <f>$O$3*'Цени капацитети'!$E$21+$N$3*'Цени капацитети'!$E$4+$P$3*'Цени капацитети'!$E$8+K7</f>
        <v>18.149999999999999</v>
      </c>
      <c r="M7" s="122"/>
    </row>
    <row r="8" spans="2:16" x14ac:dyDescent="0.25">
      <c r="B8" s="47">
        <f t="shared" si="0"/>
        <v>45631</v>
      </c>
      <c r="C8" s="49">
        <v>4.5</v>
      </c>
      <c r="D8" s="49">
        <v>4</v>
      </c>
      <c r="E8" s="49">
        <v>4.2704244721169458</v>
      </c>
      <c r="F8" s="141"/>
      <c r="G8" s="48"/>
      <c r="H8" s="57">
        <v>4.5</v>
      </c>
      <c r="I8" s="57"/>
      <c r="J8" s="76"/>
      <c r="K8" s="171">
        <f>+H8*'Цени капацитети'!$E$45+I8*'Цени капацитети'!$E$59</f>
        <v>16.335000000000001</v>
      </c>
      <c r="L8" s="113">
        <f>$O$3*'Цени капацитети'!$E$21+$N$3*'Цени капацитети'!$E$4+$P$3*'Цени капацитети'!$E$8+K8</f>
        <v>16.335000000000001</v>
      </c>
      <c r="M8" s="122"/>
    </row>
    <row r="9" spans="2:16" x14ac:dyDescent="0.25">
      <c r="B9" s="47">
        <f t="shared" si="0"/>
        <v>45632</v>
      </c>
      <c r="C9" s="49">
        <v>0</v>
      </c>
      <c r="D9" s="49">
        <v>0</v>
      </c>
      <c r="E9" s="49">
        <v>0.36913826366559482</v>
      </c>
      <c r="F9" s="141"/>
      <c r="G9" s="48"/>
      <c r="H9" s="57"/>
      <c r="I9" s="57"/>
      <c r="J9" s="76"/>
      <c r="K9" s="171">
        <f>+H9*'Цени капацитети'!$E$45+I9*'Цени капацитети'!$E$59</f>
        <v>0</v>
      </c>
      <c r="L9" s="113">
        <f>$O$3*'Цени капацитети'!$E$21+$N$3*'Цени капацитети'!$E$4+$P$3*'Цени капацитети'!$E$8+K9</f>
        <v>0</v>
      </c>
      <c r="M9" s="122"/>
    </row>
    <row r="10" spans="2:16" x14ac:dyDescent="0.25">
      <c r="B10" s="47">
        <f t="shared" si="0"/>
        <v>45633</v>
      </c>
      <c r="C10" s="49">
        <v>0</v>
      </c>
      <c r="D10" s="49">
        <v>0</v>
      </c>
      <c r="E10" s="49">
        <v>0</v>
      </c>
      <c r="F10" s="141"/>
      <c r="G10" s="48"/>
      <c r="H10" s="57"/>
      <c r="I10" s="57"/>
      <c r="J10" s="76"/>
      <c r="K10" s="171">
        <f>+H10*'Цени капацитети'!$E$45+I10*'Цени капацитети'!$E$59</f>
        <v>0</v>
      </c>
      <c r="L10" s="113">
        <f>$O$3*'Цени капацитети'!$E$21+$N$3*'Цени капацитети'!$E$4+$P$3*'Цени капацитети'!$E$8+K10</f>
        <v>0</v>
      </c>
      <c r="M10" s="122"/>
    </row>
    <row r="11" spans="2:16" x14ac:dyDescent="0.25">
      <c r="B11" s="47">
        <f t="shared" si="0"/>
        <v>45634</v>
      </c>
      <c r="C11" s="49">
        <v>0</v>
      </c>
      <c r="D11" s="49">
        <v>0</v>
      </c>
      <c r="E11" s="49">
        <v>0</v>
      </c>
      <c r="F11" s="141"/>
      <c r="G11" s="48"/>
      <c r="H11" s="57"/>
      <c r="I11" s="57"/>
      <c r="J11" s="76"/>
      <c r="K11" s="171">
        <f>+H11*'Цени капацитети'!$E$45+I11*'Цени капацитети'!$E$59</f>
        <v>0</v>
      </c>
      <c r="L11" s="113">
        <f>$O$3*'Цени капацитети'!$E$21+$N$3*'Цени капацитети'!$E$4+$P$3*'Цени капацитети'!$E$8+K11</f>
        <v>0</v>
      </c>
      <c r="M11" s="122"/>
    </row>
    <row r="12" spans="2:16" x14ac:dyDescent="0.25">
      <c r="B12" s="47">
        <f t="shared" si="0"/>
        <v>45635</v>
      </c>
      <c r="C12" s="49">
        <v>5.7</v>
      </c>
      <c r="D12" s="49">
        <v>5</v>
      </c>
      <c r="E12" s="49">
        <v>6.2078367629811284</v>
      </c>
      <c r="F12" s="141"/>
      <c r="G12" s="48"/>
      <c r="H12" s="57">
        <v>5.7</v>
      </c>
      <c r="I12" s="57"/>
      <c r="J12" s="76"/>
      <c r="K12" s="171">
        <f>+H12*'Цени капацитети'!$E$45+I12*'Цени капацитети'!$E$59</f>
        <v>20.690999999999999</v>
      </c>
      <c r="L12" s="113">
        <f>$O$3*'Цени капацитети'!$E$21+$N$3*'Цени капацитети'!$E$4+$P$3*'Цени капацитети'!$E$8+K12</f>
        <v>20.690999999999999</v>
      </c>
      <c r="M12" s="122"/>
    </row>
    <row r="13" spans="2:16" x14ac:dyDescent="0.25">
      <c r="B13" s="47">
        <f t="shared" si="0"/>
        <v>45636</v>
      </c>
      <c r="C13" s="49">
        <v>3.5</v>
      </c>
      <c r="D13" s="49">
        <v>3</v>
      </c>
      <c r="E13" s="49">
        <v>4.0049636286442123</v>
      </c>
      <c r="F13" s="141"/>
      <c r="G13" s="48"/>
      <c r="H13" s="57">
        <v>3.5</v>
      </c>
      <c r="I13" s="57"/>
      <c r="J13" s="76"/>
      <c r="K13" s="171">
        <f>+H13*'Цени капацитети'!$E$45+I13*'Цени капацитети'!$E$59</f>
        <v>12.705</v>
      </c>
      <c r="L13" s="113">
        <f>$O$3*'Цени капацитети'!$E$21+$N$3*'Цени капацитети'!$E$4+$P$3*'Цени капацитети'!$E$8+K13</f>
        <v>12.705</v>
      </c>
      <c r="M13" s="122"/>
      <c r="N13" s="23"/>
    </row>
    <row r="14" spans="2:16" x14ac:dyDescent="0.25">
      <c r="B14" s="47">
        <f t="shared" si="0"/>
        <v>45637</v>
      </c>
      <c r="C14" s="49">
        <v>4.5</v>
      </c>
      <c r="D14" s="49">
        <v>4</v>
      </c>
      <c r="E14" s="49">
        <v>5.1289007152382107</v>
      </c>
      <c r="F14" s="141"/>
      <c r="G14" s="48"/>
      <c r="H14" s="57">
        <v>4.5</v>
      </c>
      <c r="I14" s="57"/>
      <c r="J14" s="76"/>
      <c r="K14" s="171">
        <f>+H14*'Цени капацитети'!$E$45+I14*'Цени капацитети'!$E$59</f>
        <v>16.335000000000001</v>
      </c>
      <c r="L14" s="113">
        <f>$O$3*'Цени капацитети'!$E$21+$N$3*'Цени капацитети'!$E$4+$P$3*'Цени капацитети'!$E$8+K14</f>
        <v>16.335000000000001</v>
      </c>
      <c r="M14" s="122"/>
    </row>
    <row r="15" spans="2:16" x14ac:dyDescent="0.25">
      <c r="B15" s="47">
        <f t="shared" si="0"/>
        <v>45638</v>
      </c>
      <c r="C15" s="49">
        <v>4.5</v>
      </c>
      <c r="D15" s="49">
        <v>4</v>
      </c>
      <c r="E15" s="49">
        <v>3.4577862714508578</v>
      </c>
      <c r="F15" s="141"/>
      <c r="G15" s="48"/>
      <c r="H15" s="57">
        <v>4.5</v>
      </c>
      <c r="I15" s="57"/>
      <c r="J15" s="76"/>
      <c r="K15" s="171">
        <f>+H15*'Цени капацитети'!$E$45+I15*'Цени капацитети'!$E$59</f>
        <v>16.335000000000001</v>
      </c>
      <c r="L15" s="113">
        <f>$O$3*'Цени капацитети'!$E$21+$N$3*'Цени капацитети'!$E$4+$P$3*'Цени капацитети'!$E$8+K15</f>
        <v>16.335000000000001</v>
      </c>
      <c r="M15" s="122"/>
    </row>
    <row r="16" spans="2:16" x14ac:dyDescent="0.25">
      <c r="B16" s="47">
        <f t="shared" si="0"/>
        <v>45639</v>
      </c>
      <c r="C16" s="49">
        <v>0</v>
      </c>
      <c r="D16" s="49">
        <v>0</v>
      </c>
      <c r="E16" s="49">
        <v>0.43190377804014163</v>
      </c>
      <c r="F16" s="141"/>
      <c r="G16" s="48"/>
      <c r="H16" s="57"/>
      <c r="I16" s="57"/>
      <c r="J16" s="76"/>
      <c r="K16" s="171">
        <f>+H16*'Цени капацитети'!$E$45+I16*'Цени капацитети'!$E$59</f>
        <v>0</v>
      </c>
      <c r="L16" s="113">
        <f>$O$3*'Цени капацитети'!$E$21+$N$3*'Цени капацитети'!$E$4+$P$3*'Цени капацитети'!$E$8+K16</f>
        <v>0</v>
      </c>
      <c r="M16" s="122"/>
    </row>
    <row r="17" spans="2:15" x14ac:dyDescent="0.25">
      <c r="B17" s="47">
        <f t="shared" si="0"/>
        <v>45640</v>
      </c>
      <c r="C17" s="49">
        <v>0</v>
      </c>
      <c r="D17" s="49">
        <v>0</v>
      </c>
      <c r="E17" s="49">
        <v>0</v>
      </c>
      <c r="F17" s="141"/>
      <c r="G17" s="48"/>
      <c r="H17" s="57"/>
      <c r="I17" s="57"/>
      <c r="J17" s="76"/>
      <c r="K17" s="171">
        <f>+H17*'Цени капацитети'!$E$45+I17*'Цени капацитети'!$E$59</f>
        <v>0</v>
      </c>
      <c r="L17" s="113">
        <f>$O$3*'Цени капацитети'!$E$21+$N$3*'Цени капацитети'!$E$4+$P$3*'Цени капацитети'!$E$8+K17</f>
        <v>0</v>
      </c>
      <c r="M17" s="122"/>
    </row>
    <row r="18" spans="2:15" x14ac:dyDescent="0.25">
      <c r="B18" s="47">
        <f t="shared" si="0"/>
        <v>45641</v>
      </c>
      <c r="C18" s="49">
        <v>0</v>
      </c>
      <c r="D18" s="49">
        <v>0</v>
      </c>
      <c r="E18" s="49">
        <v>0</v>
      </c>
      <c r="F18" s="141"/>
      <c r="G18" s="48"/>
      <c r="H18" s="57"/>
      <c r="I18" s="57"/>
      <c r="J18" s="76"/>
      <c r="K18" s="171">
        <f>+H18*'Цени капацитети'!$E$45+I18*'Цени капацитети'!$E$59</f>
        <v>0</v>
      </c>
      <c r="L18" s="113">
        <f>$O$3*'Цени капацитети'!$E$21+$N$3*'Цени капацитети'!$E$4+$P$3*'Цени капацитети'!$E$8+K18</f>
        <v>0</v>
      </c>
      <c r="M18" s="122"/>
    </row>
    <row r="19" spans="2:15" x14ac:dyDescent="0.25">
      <c r="B19" s="47">
        <f t="shared" si="0"/>
        <v>45642</v>
      </c>
      <c r="C19" s="49">
        <v>58</v>
      </c>
      <c r="D19" s="49">
        <v>58</v>
      </c>
      <c r="E19" s="49">
        <v>52.354341867197391</v>
      </c>
      <c r="F19" s="141"/>
      <c r="G19" s="48"/>
      <c r="H19" s="57">
        <v>58</v>
      </c>
      <c r="I19" s="57"/>
      <c r="J19" s="76"/>
      <c r="K19" s="171">
        <f>+H19*'Цени капацитети'!$E$45+I19*'Цени капацитети'!$E$59</f>
        <v>210.54</v>
      </c>
      <c r="L19" s="113">
        <f>$O$3*'Цени капацитети'!$E$21+$N$3*'Цени капацитети'!$E$4+$P$3*'Цени капацитети'!$E$8+K19</f>
        <v>210.54</v>
      </c>
      <c r="M19" s="122"/>
      <c r="O19" s="3"/>
    </row>
    <row r="20" spans="2:15" x14ac:dyDescent="0.25">
      <c r="B20" s="47">
        <f t="shared" si="0"/>
        <v>45643</v>
      </c>
      <c r="C20" s="49">
        <v>27</v>
      </c>
      <c r="D20" s="49">
        <v>27</v>
      </c>
      <c r="E20" s="49"/>
      <c r="F20" s="141"/>
      <c r="G20" s="48"/>
      <c r="H20" s="57"/>
      <c r="I20" s="57"/>
      <c r="J20" s="76"/>
      <c r="K20" s="171">
        <f>+H20*'Цени капацитети'!$E$45+I20*'Цени капацитети'!$E$59</f>
        <v>0</v>
      </c>
      <c r="L20" s="113">
        <f>$O$3*'Цени капацитети'!$E$21+$N$3*'Цени капацитети'!$E$4+$P$3*'Цени капацитети'!$E$8+K20</f>
        <v>0</v>
      </c>
      <c r="M20" s="122"/>
      <c r="O20" s="17"/>
    </row>
    <row r="21" spans="2:15" x14ac:dyDescent="0.25">
      <c r="B21" s="47">
        <f t="shared" si="0"/>
        <v>45644</v>
      </c>
      <c r="C21" s="49">
        <v>4.5</v>
      </c>
      <c r="D21" s="49">
        <v>4</v>
      </c>
      <c r="E21" s="49"/>
      <c r="F21" s="141"/>
      <c r="G21" s="48"/>
      <c r="H21" s="57"/>
      <c r="I21" s="57"/>
      <c r="J21" s="76"/>
      <c r="K21" s="171">
        <f>+H21*'Цени капацитети'!$E$45+I21*'Цени капацитети'!$E$59</f>
        <v>0</v>
      </c>
      <c r="L21" s="113">
        <f>$O$3*'Цени капацитети'!$E$21+$N$3*'Цени капацитети'!$E$4+$P$3*'Цени капацитети'!$E$8+K21</f>
        <v>0</v>
      </c>
      <c r="M21" s="122"/>
      <c r="O21" s="17"/>
    </row>
    <row r="22" spans="2:15" x14ac:dyDescent="0.25">
      <c r="B22" s="47">
        <f t="shared" si="0"/>
        <v>45645</v>
      </c>
      <c r="C22" s="49">
        <v>4.5</v>
      </c>
      <c r="D22" s="49">
        <v>4</v>
      </c>
      <c r="E22" s="49"/>
      <c r="F22" s="141"/>
      <c r="G22" s="48"/>
      <c r="H22" s="57"/>
      <c r="I22" s="57"/>
      <c r="J22" s="76"/>
      <c r="K22" s="171">
        <f>+H22*'Цени капацитети'!$E$45+I22*'Цени капацитети'!$E$59</f>
        <v>0</v>
      </c>
      <c r="L22" s="113">
        <f>$O$3*'Цени капацитети'!$E$21+$N$3*'Цени капацитети'!$E$4+$P$3*'Цени капацитети'!$E$8+K22</f>
        <v>0</v>
      </c>
      <c r="M22" s="122"/>
    </row>
    <row r="23" spans="2:15" x14ac:dyDescent="0.25">
      <c r="B23" s="47">
        <f t="shared" si="0"/>
        <v>45646</v>
      </c>
      <c r="C23" s="49">
        <v>0</v>
      </c>
      <c r="D23" s="49">
        <v>0</v>
      </c>
      <c r="E23" s="49"/>
      <c r="F23" s="141"/>
      <c r="G23" s="48"/>
      <c r="H23" s="57"/>
      <c r="I23" s="57"/>
      <c r="J23" s="76"/>
      <c r="K23" s="171">
        <f>+H23*'Цени капацитети'!$E$45+I23*'Цени капацитети'!$E$59</f>
        <v>0</v>
      </c>
      <c r="L23" s="113">
        <f>$O$3*'Цени капацитети'!$E$21+$N$3*'Цени капацитети'!$E$4+$P$3*'Цени капацитети'!$E$8+K23</f>
        <v>0</v>
      </c>
      <c r="M23" s="122"/>
    </row>
    <row r="24" spans="2:15" x14ac:dyDescent="0.25">
      <c r="B24" s="47">
        <f t="shared" si="0"/>
        <v>45647</v>
      </c>
      <c r="C24" s="49">
        <v>0</v>
      </c>
      <c r="D24" s="49">
        <v>0</v>
      </c>
      <c r="E24" s="49"/>
      <c r="F24" s="141"/>
      <c r="G24" s="48"/>
      <c r="H24" s="57"/>
      <c r="I24" s="57"/>
      <c r="J24" s="76"/>
      <c r="K24" s="171">
        <f>+H24*'Цени капацитети'!$E$45+I24*'Цени капацитети'!$E$59</f>
        <v>0</v>
      </c>
      <c r="L24" s="113">
        <f>$O$3*'Цени капацитети'!$E$21+$N$3*'Цени капацитети'!$E$4+$P$3*'Цени капацитети'!$E$8+K24</f>
        <v>0</v>
      </c>
      <c r="M24" s="122"/>
    </row>
    <row r="25" spans="2:15" x14ac:dyDescent="0.25">
      <c r="B25" s="47">
        <f t="shared" si="0"/>
        <v>45648</v>
      </c>
      <c r="C25" s="49">
        <v>0</v>
      </c>
      <c r="D25" s="49">
        <v>0</v>
      </c>
      <c r="E25" s="49"/>
      <c r="F25" s="141"/>
      <c r="G25" s="48"/>
      <c r="H25" s="57"/>
      <c r="I25" s="57"/>
      <c r="J25" s="76"/>
      <c r="K25" s="171">
        <f>+H25*'Цени капацитети'!$E$45+I25*'Цени капацитети'!$E$59</f>
        <v>0</v>
      </c>
      <c r="L25" s="113">
        <f>$O$3*'Цени капацитети'!$E$21+$N$3*'Цени капацитети'!$E$4+$P$3*'Цени капацитети'!$E$8+K25</f>
        <v>0</v>
      </c>
      <c r="M25" s="122"/>
    </row>
    <row r="26" spans="2:15" x14ac:dyDescent="0.25">
      <c r="B26" s="47">
        <f t="shared" si="0"/>
        <v>45649</v>
      </c>
      <c r="C26" s="49">
        <v>0</v>
      </c>
      <c r="D26" s="49">
        <v>0</v>
      </c>
      <c r="E26" s="49"/>
      <c r="F26" s="141"/>
      <c r="G26" s="48"/>
      <c r="H26" s="57"/>
      <c r="I26" s="57"/>
      <c r="J26" s="76"/>
      <c r="K26" s="171">
        <f>+H26*'Цени капацитети'!$E$45+I26*'Цени капацитети'!$E$59</f>
        <v>0</v>
      </c>
      <c r="L26" s="113">
        <f>$O$3*'Цени капацитети'!$E$21+$N$3*'Цени капацитети'!$E$4+$P$3*'Цени капацитети'!$E$8+K26</f>
        <v>0</v>
      </c>
      <c r="M26" s="122"/>
    </row>
    <row r="27" spans="2:15" x14ac:dyDescent="0.25">
      <c r="B27" s="47">
        <f t="shared" si="0"/>
        <v>45650</v>
      </c>
      <c r="C27" s="49">
        <v>0</v>
      </c>
      <c r="D27" s="49">
        <v>0</v>
      </c>
      <c r="E27" s="49"/>
      <c r="F27" s="141"/>
      <c r="G27" s="48"/>
      <c r="H27" s="57"/>
      <c r="I27" s="57"/>
      <c r="J27" s="76"/>
      <c r="K27" s="171">
        <f>+H27*'Цени капацитети'!$E$45+I27*'Цени капацитети'!$E$59</f>
        <v>0</v>
      </c>
      <c r="L27" s="113">
        <f>$O$3*'Цени капацитети'!$E$21+$N$3*'Цени капацитети'!$E$4+$P$3*'Цени капацитети'!$E$8+K27</f>
        <v>0</v>
      </c>
      <c r="M27" s="122"/>
    </row>
    <row r="28" spans="2:15" x14ac:dyDescent="0.25">
      <c r="B28" s="47">
        <f t="shared" si="0"/>
        <v>45651</v>
      </c>
      <c r="C28" s="49">
        <v>0</v>
      </c>
      <c r="D28" s="49">
        <v>0</v>
      </c>
      <c r="E28" s="49"/>
      <c r="F28" s="141"/>
      <c r="G28" s="48"/>
      <c r="H28" s="57"/>
      <c r="I28" s="57"/>
      <c r="J28" s="76"/>
      <c r="K28" s="171">
        <f>+H28*'Цени капацитети'!$E$45+I28*'Цени капацитети'!$E$59</f>
        <v>0</v>
      </c>
      <c r="L28" s="113">
        <f>$O$3*'Цени капацитети'!$E$21+$N$3*'Цени капацитети'!$E$4+$P$3*'Цени капацитети'!$E$8+K28</f>
        <v>0</v>
      </c>
      <c r="M28" s="122"/>
    </row>
    <row r="29" spans="2:15" x14ac:dyDescent="0.25">
      <c r="B29" s="47">
        <f t="shared" si="0"/>
        <v>45652</v>
      </c>
      <c r="C29" s="49">
        <v>0</v>
      </c>
      <c r="D29" s="49">
        <v>0</v>
      </c>
      <c r="E29" s="49"/>
      <c r="F29" s="141"/>
      <c r="G29" s="48"/>
      <c r="H29" s="57"/>
      <c r="I29" s="57"/>
      <c r="J29" s="76"/>
      <c r="K29" s="171">
        <f>+H29*'Цени капацитети'!$E$45+I29*'Цени капацитети'!$E$59</f>
        <v>0</v>
      </c>
      <c r="L29" s="113">
        <f>$O$3*'Цени капацитети'!$E$21+$N$3*'Цени капацитети'!$E$4+$P$3*'Цени капацитети'!$E$8+K29</f>
        <v>0</v>
      </c>
      <c r="M29" s="122"/>
    </row>
    <row r="30" spans="2:15" x14ac:dyDescent="0.25">
      <c r="B30" s="47">
        <f t="shared" si="0"/>
        <v>45653</v>
      </c>
      <c r="C30" s="49">
        <v>0</v>
      </c>
      <c r="D30" s="49">
        <v>0</v>
      </c>
      <c r="E30" s="49"/>
      <c r="F30" s="141"/>
      <c r="G30" s="48"/>
      <c r="H30" s="57"/>
      <c r="I30" s="57"/>
      <c r="J30" s="76"/>
      <c r="K30" s="171">
        <f>+H30*'Цени капацитети'!$E$45+I30*'Цени капацитети'!$E$59</f>
        <v>0</v>
      </c>
      <c r="L30" s="113">
        <f>$O$3*'Цени капацитети'!$E$21+$N$3*'Цени капацитети'!$E$4+$P$3*'Цени капацитети'!$E$8+K30</f>
        <v>0</v>
      </c>
      <c r="M30" s="122"/>
    </row>
    <row r="31" spans="2:15" x14ac:dyDescent="0.25">
      <c r="B31" s="47">
        <f t="shared" si="0"/>
        <v>45654</v>
      </c>
      <c r="C31" s="49">
        <v>0</v>
      </c>
      <c r="D31" s="49">
        <v>0</v>
      </c>
      <c r="E31" s="49"/>
      <c r="F31" s="141"/>
      <c r="G31" s="48"/>
      <c r="H31" s="57"/>
      <c r="I31" s="57"/>
      <c r="J31" s="76"/>
      <c r="K31" s="171">
        <f>+H31*'Цени капацитети'!$E$45+I31*'Цени капацитети'!$E$59</f>
        <v>0</v>
      </c>
      <c r="L31" s="113">
        <f>$O$3*'Цени капацитети'!$E$21+$N$3*'Цени капацитети'!$E$4+$P$3*'Цени капацитети'!$E$8+K31</f>
        <v>0</v>
      </c>
      <c r="M31" s="122"/>
    </row>
    <row r="32" spans="2:15" x14ac:dyDescent="0.25">
      <c r="B32" s="47">
        <f t="shared" si="0"/>
        <v>45655</v>
      </c>
      <c r="C32" s="49">
        <v>0</v>
      </c>
      <c r="D32" s="49">
        <v>0</v>
      </c>
      <c r="E32" s="49"/>
      <c r="F32" s="141"/>
      <c r="G32" s="48"/>
      <c r="H32" s="57"/>
      <c r="I32" s="57"/>
      <c r="J32" s="76"/>
      <c r="K32" s="171">
        <f>+H32*'Цени капацитети'!$E$45+I32*'Цени капацитети'!$E$59</f>
        <v>0</v>
      </c>
      <c r="L32" s="113">
        <f>$O$3*'Цени капацитети'!$E$21+$N$3*'Цени капацитети'!$E$4+$P$3*'Цени капацитети'!$E$8+K32</f>
        <v>0</v>
      </c>
      <c r="M32" s="122"/>
    </row>
    <row r="33" spans="2:13" x14ac:dyDescent="0.25">
      <c r="B33" s="47">
        <f t="shared" si="0"/>
        <v>45656</v>
      </c>
      <c r="C33" s="49">
        <v>0</v>
      </c>
      <c r="D33" s="49">
        <v>0</v>
      </c>
      <c r="E33" s="49"/>
      <c r="F33" s="141"/>
      <c r="G33" s="48"/>
      <c r="H33" s="57"/>
      <c r="I33" s="57"/>
      <c r="J33" s="76"/>
      <c r="K33" s="171">
        <f>+H33*'Цени капацитети'!$E$45+I33*'Цени капацитети'!$E$59</f>
        <v>0</v>
      </c>
      <c r="L33" s="113">
        <f>$O$3*'Цени капацитети'!$E$21+$N$3*'Цени капацитети'!$E$4+$P$3*'Цени капацитети'!$E$8+K33</f>
        <v>0</v>
      </c>
      <c r="M33" s="122"/>
    </row>
    <row r="34" spans="2:13" x14ac:dyDescent="0.25">
      <c r="B34" s="47">
        <f t="shared" si="0"/>
        <v>45657</v>
      </c>
      <c r="C34" s="49">
        <v>0</v>
      </c>
      <c r="D34" s="49">
        <v>0</v>
      </c>
      <c r="E34" s="49"/>
      <c r="F34" s="141"/>
      <c r="G34" s="48"/>
      <c r="H34" s="57"/>
      <c r="I34" s="57"/>
      <c r="J34" s="76"/>
      <c r="K34" s="171">
        <f>+H34*'Цени капацитети'!$E$45+I34*'Цени капацитети'!$E$59</f>
        <v>0</v>
      </c>
      <c r="L34" s="113">
        <f>$O$3*'Цени капацитети'!$E$21+$N$3*'Цени капацитети'!$E$4+$P$3*'Цени капацитети'!$E$8+K34</f>
        <v>0</v>
      </c>
      <c r="M34" s="247">
        <f>SUM(M4:M33)</f>
        <v>0</v>
      </c>
    </row>
    <row r="35" spans="2:13" x14ac:dyDescent="0.25">
      <c r="E35" s="16">
        <f>SUM(E4:E34)</f>
        <v>91.12800481543897</v>
      </c>
      <c r="F35" s="16"/>
      <c r="G35" s="18">
        <f>SUM(G4:G34)</f>
        <v>0</v>
      </c>
      <c r="H35" s="18"/>
      <c r="I35" s="18">
        <f>SUM(I4:I34)</f>
        <v>5.7</v>
      </c>
      <c r="J35" s="18">
        <f>SUM(J4:J34)</f>
        <v>0</v>
      </c>
    </row>
  </sheetData>
  <mergeCells count="3">
    <mergeCell ref="B2:G2"/>
    <mergeCell ref="I2:K2"/>
    <mergeCell ref="N1:O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B1:P35"/>
  <sheetViews>
    <sheetView zoomScale="70" zoomScaleNormal="70" workbookViewId="0">
      <selection activeCell="H20" sqref="H20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9" width="15.42578125" style="1" bestFit="1" customWidth="1"/>
    <col min="10" max="10" width="13" style="1" customWidth="1"/>
    <col min="11" max="12" width="17.5703125" style="69" customWidth="1"/>
    <col min="13" max="13" width="9.5703125" style="1" bestFit="1" customWidth="1"/>
    <col min="14" max="14" width="14.7109375" style="1" bestFit="1" customWidth="1"/>
    <col min="15" max="15" width="19.28515625" style="1" bestFit="1" customWidth="1"/>
    <col min="16" max="16" width="11.28515625" style="1" bestFit="1" customWidth="1"/>
    <col min="17" max="16384" width="8.85546875" style="1"/>
  </cols>
  <sheetData>
    <row r="1" spans="2:16" ht="15.75" thickBot="1" x14ac:dyDescent="0.3">
      <c r="H1" s="81"/>
      <c r="I1" s="81"/>
      <c r="J1" s="78"/>
      <c r="K1" s="78"/>
      <c r="L1" s="13"/>
      <c r="N1" s="653" t="s">
        <v>28</v>
      </c>
      <c r="O1" s="653"/>
    </row>
    <row r="2" spans="2:16" ht="15.75" thickBot="1" x14ac:dyDescent="0.3">
      <c r="B2" s="661" t="s">
        <v>134</v>
      </c>
      <c r="C2" s="662"/>
      <c r="D2" s="662"/>
      <c r="E2" s="662"/>
      <c r="F2" s="662"/>
      <c r="G2" s="663"/>
      <c r="H2" s="243"/>
      <c r="I2" s="664" t="s">
        <v>70</v>
      </c>
      <c r="J2" s="652"/>
      <c r="K2" s="665"/>
      <c r="L2" s="52"/>
      <c r="N2" s="2" t="s">
        <v>99</v>
      </c>
      <c r="O2" s="2" t="s">
        <v>80</v>
      </c>
      <c r="P2" s="2" t="s">
        <v>111</v>
      </c>
    </row>
    <row r="3" spans="2:16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119" t="s">
        <v>136</v>
      </c>
      <c r="I3" s="119" t="s">
        <v>137</v>
      </c>
      <c r="J3" s="81" t="s">
        <v>104</v>
      </c>
      <c r="K3" s="77" t="s">
        <v>82</v>
      </c>
      <c r="L3" s="77" t="s">
        <v>103</v>
      </c>
      <c r="M3" s="69" t="s">
        <v>121</v>
      </c>
      <c r="N3" s="245"/>
      <c r="O3" s="245"/>
      <c r="P3" s="245"/>
    </row>
    <row r="4" spans="2:16" x14ac:dyDescent="0.25">
      <c r="B4" s="47">
        <v>45627</v>
      </c>
      <c r="C4" s="49">
        <v>0.215</v>
      </c>
      <c r="D4" s="49">
        <v>0</v>
      </c>
      <c r="E4" s="49">
        <v>0.20599999999999999</v>
      </c>
      <c r="F4" s="141"/>
      <c r="G4" s="156"/>
      <c r="H4" s="75">
        <v>0.21299999999999999</v>
      </c>
      <c r="I4" s="75"/>
      <c r="J4" s="76"/>
      <c r="K4" s="171">
        <f>+H4*'Цени капацитети'!$E$45+I4*'Цени капацитети'!$E$59</f>
        <v>0.77318999999999993</v>
      </c>
      <c r="L4" s="113">
        <f>$O$3*'Цени капацитети'!$E$21+$N$3*'Цени капацитети'!$E$4+$P$3*'Цени капацитети'!$E$8+K4</f>
        <v>0.77318999999999993</v>
      </c>
      <c r="M4" s="122"/>
    </row>
    <row r="5" spans="2:16" x14ac:dyDescent="0.25">
      <c r="B5" s="47">
        <f>+B4+1</f>
        <v>45628</v>
      </c>
      <c r="C5" s="49">
        <v>3.226</v>
      </c>
      <c r="D5" s="49">
        <v>3</v>
      </c>
      <c r="E5" s="49">
        <v>3.3650762674825176</v>
      </c>
      <c r="F5" s="141"/>
      <c r="G5" s="156"/>
      <c r="H5" s="75"/>
      <c r="I5" s="75">
        <v>3.1920000000000002</v>
      </c>
      <c r="J5" s="76"/>
      <c r="K5" s="171">
        <f>+H5*'Цени капацитети'!$E$45+I5*'Цени капацитети'!$E$59</f>
        <v>14.483699999999999</v>
      </c>
      <c r="L5" s="113">
        <f>$O$3*'Цени капацитети'!$E$21+$N$3*'Цени капацитети'!$E$4+$P$3*'Цени капацитети'!$E$8+K5</f>
        <v>14.483699999999999</v>
      </c>
      <c r="M5" s="122"/>
    </row>
    <row r="6" spans="2:16" x14ac:dyDescent="0.25">
      <c r="B6" s="47">
        <f t="shared" ref="B6:B34" si="0">+B5+1</f>
        <v>45629</v>
      </c>
      <c r="C6" s="49">
        <v>3.1190000000000002</v>
      </c>
      <c r="D6" s="49">
        <v>3</v>
      </c>
      <c r="E6" s="49">
        <v>2.7894651741293535</v>
      </c>
      <c r="F6" s="141"/>
      <c r="G6" s="156"/>
      <c r="H6" s="75">
        <v>3.0859999999999999</v>
      </c>
      <c r="I6" s="75"/>
      <c r="J6" s="76"/>
      <c r="K6" s="171">
        <f>+H6*'Цени капацитети'!$E$45+I6*'Цени капацитети'!$E$59</f>
        <v>11.202179999999998</v>
      </c>
      <c r="L6" s="113">
        <f>$O$3*'Цени капацитети'!$E$21+$N$3*'Цени капацитети'!$E$4+$P$3*'Цени капацитети'!$E$8+K6</f>
        <v>11.202179999999998</v>
      </c>
      <c r="M6" s="122"/>
    </row>
    <row r="7" spans="2:16" x14ac:dyDescent="0.25">
      <c r="B7" s="47">
        <f t="shared" si="0"/>
        <v>45630</v>
      </c>
      <c r="C7" s="49">
        <v>3.1190000000000002</v>
      </c>
      <c r="D7" s="49">
        <v>3</v>
      </c>
      <c r="E7" s="49">
        <v>3.3687495022836398</v>
      </c>
      <c r="F7" s="141"/>
      <c r="G7" s="156"/>
      <c r="H7" s="75">
        <v>3.0859999999999999</v>
      </c>
      <c r="I7" s="75"/>
      <c r="J7" s="76"/>
      <c r="K7" s="171">
        <f>+H7*'Цени капацитети'!$E$45+I7*'Цени капацитети'!$E$59</f>
        <v>11.202179999999998</v>
      </c>
      <c r="L7" s="113">
        <f>$O$3*'Цени капацитети'!$E$21+$N$3*'Цени капацитети'!$E$4+$P$3*'Цени капацитети'!$E$8+K7</f>
        <v>11.202179999999998</v>
      </c>
      <c r="M7" s="122"/>
    </row>
    <row r="8" spans="2:16" x14ac:dyDescent="0.25">
      <c r="B8" s="47">
        <f t="shared" si="0"/>
        <v>45631</v>
      </c>
      <c r="C8" s="49">
        <v>2.903</v>
      </c>
      <c r="D8" s="49">
        <v>2</v>
      </c>
      <c r="E8" s="49">
        <v>3.1565755278830534</v>
      </c>
      <c r="F8" s="141"/>
      <c r="G8" s="156"/>
      <c r="H8" s="75">
        <v>2.8730000000000002</v>
      </c>
      <c r="I8" s="75"/>
      <c r="J8" s="76"/>
      <c r="K8" s="171">
        <f>+H8*'Цени капацитети'!$E$45+I8*'Цени капацитети'!$E$59</f>
        <v>10.428990000000001</v>
      </c>
      <c r="L8" s="113">
        <f>$O$3*'Цени капацитети'!$E$21+$N$3*'Цени капацитети'!$E$4+$P$3*'Цени капацитети'!$E$8+K8</f>
        <v>10.428990000000001</v>
      </c>
      <c r="M8" s="122"/>
    </row>
    <row r="9" spans="2:16" x14ac:dyDescent="0.25">
      <c r="B9" s="47">
        <f t="shared" si="0"/>
        <v>45632</v>
      </c>
      <c r="C9" s="49">
        <v>3.1190000000000002</v>
      </c>
      <c r="D9" s="49">
        <v>3</v>
      </c>
      <c r="E9" s="49">
        <v>3.3948617363344047</v>
      </c>
      <c r="F9" s="141"/>
      <c r="G9" s="156"/>
      <c r="H9" s="75">
        <v>3.0859999999999999</v>
      </c>
      <c r="I9" s="75"/>
      <c r="J9" s="76"/>
      <c r="K9" s="171">
        <f>+H9*'Цени капацитети'!$E$45+I9*'Цени капацитети'!$E$59</f>
        <v>11.202179999999998</v>
      </c>
      <c r="L9" s="113">
        <f>$O$3*'Цени капацитети'!$E$21+$N$3*'Цени капацитети'!$E$4+$P$3*'Цени капацитети'!$E$8+K9</f>
        <v>11.202179999999998</v>
      </c>
      <c r="M9" s="122"/>
    </row>
    <row r="10" spans="2:16" x14ac:dyDescent="0.25">
      <c r="B10" s="47">
        <f t="shared" si="0"/>
        <v>45633</v>
      </c>
      <c r="C10" s="49">
        <v>0.86</v>
      </c>
      <c r="D10" s="49">
        <v>0</v>
      </c>
      <c r="E10" s="49">
        <v>0.85799999999999998</v>
      </c>
      <c r="F10" s="141"/>
      <c r="G10" s="156"/>
      <c r="H10" s="75">
        <v>0.85099999999999998</v>
      </c>
      <c r="I10" s="75"/>
      <c r="J10" s="76"/>
      <c r="K10" s="171">
        <f>+H10*'Цени капацитети'!$E$45+I10*'Цени капацитети'!$E$59</f>
        <v>3.0891299999999999</v>
      </c>
      <c r="L10" s="113">
        <f>$O$3*'Цени капацитети'!$E$21+$N$3*'Цени капацитети'!$E$4+$P$3*'Цени капацитети'!$E$8+K10</f>
        <v>3.0891299999999999</v>
      </c>
      <c r="M10" s="122"/>
    </row>
    <row r="11" spans="2:16" x14ac:dyDescent="0.25">
      <c r="B11" s="47">
        <f t="shared" si="0"/>
        <v>45634</v>
      </c>
      <c r="C11" s="49">
        <v>0.215</v>
      </c>
      <c r="D11" s="49">
        <v>0</v>
      </c>
      <c r="E11" s="49">
        <v>0.35899999999999999</v>
      </c>
      <c r="F11" s="141"/>
      <c r="G11" s="156"/>
      <c r="H11" s="75">
        <v>0.223</v>
      </c>
      <c r="I11" s="75"/>
      <c r="J11" s="76"/>
      <c r="K11" s="171">
        <f>+H11*'Цени капацитети'!$E$45+I11*'Цени капацитети'!$E$59</f>
        <v>0.80949000000000004</v>
      </c>
      <c r="L11" s="113">
        <f>$O$3*'Цени капацитети'!$E$21+$N$3*'Цени капацитети'!$E$4+$P$3*'Цени капацитети'!$E$8+K11</f>
        <v>0.80949000000000004</v>
      </c>
      <c r="M11" s="122"/>
    </row>
    <row r="12" spans="2:16" x14ac:dyDescent="0.25">
      <c r="B12" s="47">
        <f t="shared" si="0"/>
        <v>45635</v>
      </c>
      <c r="C12" s="49"/>
      <c r="D12" s="49"/>
      <c r="E12" s="49">
        <v>3.7431632370188721</v>
      </c>
      <c r="F12" s="141"/>
      <c r="G12" s="156"/>
      <c r="H12" s="75">
        <v>3.1920000000000002</v>
      </c>
      <c r="I12" s="75"/>
      <c r="J12" s="76"/>
      <c r="K12" s="171">
        <f>+H12*'Цени капацитети'!$E$45+I12*'Цени капацитети'!$E$59</f>
        <v>11.586959999999999</v>
      </c>
      <c r="L12" s="113">
        <f>$O$3*'Цени капацитети'!$E$21+$N$3*'Цени капацитети'!$E$4+$P$3*'Цени капацитети'!$E$8+K12</f>
        <v>11.586959999999999</v>
      </c>
      <c r="M12" s="122"/>
    </row>
    <row r="13" spans="2:16" x14ac:dyDescent="0.25">
      <c r="B13" s="47">
        <f t="shared" si="0"/>
        <v>45636</v>
      </c>
      <c r="C13" s="49"/>
      <c r="D13" s="49"/>
      <c r="E13" s="49">
        <v>3.0680363713557881</v>
      </c>
      <c r="F13" s="141"/>
      <c r="G13" s="156"/>
      <c r="H13" s="75">
        <v>3.0859999999999999</v>
      </c>
      <c r="I13" s="75"/>
      <c r="J13" s="76"/>
      <c r="K13" s="171">
        <f>+H13*'Цени капацитети'!$E$45+I13*'Цени капацитети'!$E$59</f>
        <v>11.202179999999998</v>
      </c>
      <c r="L13" s="113">
        <f>$O$3*'Цени капацитети'!$E$21+$N$3*'Цени капацитети'!$E$4+$P$3*'Цени капацитети'!$E$8+K13</f>
        <v>11.202179999999998</v>
      </c>
      <c r="M13" s="122"/>
      <c r="N13" s="23"/>
    </row>
    <row r="14" spans="2:16" x14ac:dyDescent="0.25">
      <c r="B14" s="47">
        <f t="shared" si="0"/>
        <v>45637</v>
      </c>
      <c r="C14" s="49"/>
      <c r="D14" s="49"/>
      <c r="E14" s="49">
        <v>3.1700992847617893</v>
      </c>
      <c r="F14" s="141"/>
      <c r="G14" s="156"/>
      <c r="H14" s="75">
        <v>3.0859999999999999</v>
      </c>
      <c r="I14" s="75"/>
      <c r="J14" s="76"/>
      <c r="K14" s="171">
        <f>+H14*'Цени капацитети'!$E$45+I14*'Цени капацитети'!$E$59</f>
        <v>11.202179999999998</v>
      </c>
      <c r="L14" s="113">
        <f>$O$3*'Цени капацитети'!$E$21+$N$3*'Цени капацитети'!$E$4+$P$3*'Цени капацитети'!$E$8+K14</f>
        <v>11.202179999999998</v>
      </c>
      <c r="M14" s="122"/>
    </row>
    <row r="15" spans="2:16" x14ac:dyDescent="0.25">
      <c r="B15" s="47">
        <f t="shared" si="0"/>
        <v>45638</v>
      </c>
      <c r="C15" s="49"/>
      <c r="D15" s="49"/>
      <c r="E15" s="49">
        <v>3.2122137285491421</v>
      </c>
      <c r="F15" s="141"/>
      <c r="G15" s="156"/>
      <c r="H15" s="75">
        <v>3.0859999999999999</v>
      </c>
      <c r="I15" s="75"/>
      <c r="J15" s="76"/>
      <c r="K15" s="171">
        <f>+H15*'Цени капацитети'!$E$45+I15*'Цени капацитети'!$E$59</f>
        <v>11.202179999999998</v>
      </c>
      <c r="L15" s="113">
        <f>$O$3*'Цени капацитети'!$E$21+$N$3*'Цени капацитети'!$E$4+$P$3*'Цени капацитети'!$E$8+K15</f>
        <v>11.202179999999998</v>
      </c>
      <c r="M15" s="122"/>
    </row>
    <row r="16" spans="2:16" x14ac:dyDescent="0.25">
      <c r="B16" s="47">
        <f t="shared" si="0"/>
        <v>45639</v>
      </c>
      <c r="C16" s="49"/>
      <c r="D16" s="49"/>
      <c r="E16" s="49">
        <v>2.9710962219598582</v>
      </c>
      <c r="F16" s="141"/>
      <c r="G16" s="156"/>
      <c r="H16" s="75">
        <v>3.0859999999999999</v>
      </c>
      <c r="I16" s="75"/>
      <c r="J16" s="76"/>
      <c r="K16" s="171">
        <f>+H16*'Цени капацитети'!$E$45+I16*'Цени капацитети'!$E$59</f>
        <v>11.202179999999998</v>
      </c>
      <c r="L16" s="113">
        <f>$O$3*'Цени капацитети'!$E$21+$N$3*'Цени капацитети'!$E$4+$P$3*'Цени капацитети'!$E$8+K16</f>
        <v>11.202179999999998</v>
      </c>
      <c r="M16" s="122"/>
    </row>
    <row r="17" spans="2:15" x14ac:dyDescent="0.25">
      <c r="B17" s="47">
        <f t="shared" si="0"/>
        <v>45640</v>
      </c>
      <c r="C17" s="49"/>
      <c r="D17" s="49"/>
      <c r="E17" s="49">
        <v>0.997</v>
      </c>
      <c r="F17" s="141"/>
      <c r="G17" s="156"/>
      <c r="H17" s="75">
        <v>0.85099999999999998</v>
      </c>
      <c r="I17" s="75"/>
      <c r="J17" s="76"/>
      <c r="K17" s="171">
        <f>+H17*'Цени капацитети'!$E$45+I17*'Цени капацитети'!$E$59</f>
        <v>3.0891299999999999</v>
      </c>
      <c r="L17" s="113">
        <f>$O$3*'Цени капацитети'!$E$21+$N$3*'Цени капацитети'!$E$4+$P$3*'Цени капацитети'!$E$8+K17</f>
        <v>3.0891299999999999</v>
      </c>
      <c r="M17" s="122"/>
    </row>
    <row r="18" spans="2:15" x14ac:dyDescent="0.25">
      <c r="B18" s="47">
        <f t="shared" si="0"/>
        <v>45641</v>
      </c>
      <c r="C18" s="49"/>
      <c r="D18" s="49"/>
      <c r="E18" s="49">
        <v>0.36</v>
      </c>
      <c r="F18" s="141"/>
      <c r="G18" s="156"/>
      <c r="H18" s="75">
        <v>0.21299999999999999</v>
      </c>
      <c r="I18" s="75"/>
      <c r="J18" s="76"/>
      <c r="K18" s="171">
        <f>+H18*'Цени капацитети'!$E$45+I18*'Цени капацитети'!$E$59</f>
        <v>0.77318999999999993</v>
      </c>
      <c r="L18" s="113">
        <f>$O$3*'Цени капацитети'!$E$21+$N$3*'Цени капацитети'!$E$4+$P$3*'Цени капацитети'!$E$8+K18</f>
        <v>0.77318999999999993</v>
      </c>
      <c r="M18" s="122"/>
    </row>
    <row r="19" spans="2:15" x14ac:dyDescent="0.25">
      <c r="B19" s="47">
        <f t="shared" si="0"/>
        <v>45642</v>
      </c>
      <c r="C19" s="49"/>
      <c r="D19" s="49"/>
      <c r="E19" s="49">
        <v>3.3726581328026057</v>
      </c>
      <c r="F19" s="141"/>
      <c r="G19" s="156"/>
      <c r="H19" s="75">
        <v>3.1920000000000002</v>
      </c>
      <c r="I19" s="75"/>
      <c r="J19" s="76"/>
      <c r="K19" s="171">
        <f>+H19*'Цени капацитети'!$E$45+I19*'Цени капацитети'!$E$59</f>
        <v>11.586959999999999</v>
      </c>
      <c r="L19" s="113">
        <f>$O$3*'Цени капацитети'!$E$21+$N$3*'Цени капацитети'!$E$4+$P$3*'Цени капацитети'!$E$8+K19</f>
        <v>11.586959999999999</v>
      </c>
      <c r="M19" s="122"/>
      <c r="O19" s="3"/>
    </row>
    <row r="20" spans="2:15" x14ac:dyDescent="0.25">
      <c r="B20" s="47">
        <f t="shared" si="0"/>
        <v>45643</v>
      </c>
      <c r="C20" s="49"/>
      <c r="D20" s="49"/>
      <c r="E20" s="49"/>
      <c r="F20" s="141"/>
      <c r="G20" s="156"/>
      <c r="H20" s="75"/>
      <c r="I20" s="75"/>
      <c r="J20" s="76"/>
      <c r="K20" s="171">
        <f>+H20*'Цени капацитети'!$E$45+I20*'Цени капацитети'!$E$59</f>
        <v>0</v>
      </c>
      <c r="L20" s="113">
        <f>$O$3*'Цени капацитети'!$E$21+$N$3*'Цени капацитети'!$E$4+$P$3*'Цени капацитети'!$E$8+K20</f>
        <v>0</v>
      </c>
      <c r="M20" s="122"/>
      <c r="O20" s="17"/>
    </row>
    <row r="21" spans="2:15" x14ac:dyDescent="0.25">
      <c r="B21" s="47">
        <f t="shared" si="0"/>
        <v>45644</v>
      </c>
      <c r="C21" s="49"/>
      <c r="D21" s="49"/>
      <c r="E21" s="49"/>
      <c r="F21" s="141"/>
      <c r="G21" s="156"/>
      <c r="H21" s="75"/>
      <c r="I21" s="75"/>
      <c r="J21" s="76"/>
      <c r="K21" s="171">
        <f>+H21*'Цени капацитети'!$E$45+I21*'Цени капацитети'!$E$59</f>
        <v>0</v>
      </c>
      <c r="L21" s="113">
        <f>$O$3*'Цени капацитети'!$E$21+$N$3*'Цени капацитети'!$E$4+$P$3*'Цени капацитети'!$E$8+K21</f>
        <v>0</v>
      </c>
      <c r="M21" s="122"/>
      <c r="O21" s="17"/>
    </row>
    <row r="22" spans="2:15" x14ac:dyDescent="0.25">
      <c r="B22" s="47">
        <f t="shared" si="0"/>
        <v>45645</v>
      </c>
      <c r="C22" s="49"/>
      <c r="D22" s="49"/>
      <c r="E22" s="49"/>
      <c r="F22" s="141"/>
      <c r="G22" s="156"/>
      <c r="H22" s="75"/>
      <c r="I22" s="75"/>
      <c r="J22" s="76"/>
      <c r="K22" s="171">
        <f>+H22*'Цени капацитети'!$E$45+I22*'Цени капацитети'!$E$59</f>
        <v>0</v>
      </c>
      <c r="L22" s="113">
        <f>$O$3*'Цени капацитети'!$E$21+$N$3*'Цени капацитети'!$E$4+$P$3*'Цени капацитети'!$E$8+K22</f>
        <v>0</v>
      </c>
      <c r="M22" s="122"/>
    </row>
    <row r="23" spans="2:15" x14ac:dyDescent="0.25">
      <c r="B23" s="47">
        <f t="shared" si="0"/>
        <v>45646</v>
      </c>
      <c r="C23" s="49"/>
      <c r="D23" s="49"/>
      <c r="E23" s="49"/>
      <c r="F23" s="141"/>
      <c r="G23" s="156"/>
      <c r="H23" s="75"/>
      <c r="I23" s="75"/>
      <c r="J23" s="76"/>
      <c r="K23" s="171">
        <f>+H23*'Цени капацитети'!$E$45+I23*'Цени капацитети'!$E$59</f>
        <v>0</v>
      </c>
      <c r="L23" s="113">
        <f>$O$3*'Цени капацитети'!$E$21+$N$3*'Цени капацитети'!$E$4+$P$3*'Цени капацитети'!$E$8+K23</f>
        <v>0</v>
      </c>
      <c r="M23" s="122"/>
    </row>
    <row r="24" spans="2:15" x14ac:dyDescent="0.25">
      <c r="B24" s="47">
        <f t="shared" si="0"/>
        <v>45647</v>
      </c>
      <c r="C24" s="49"/>
      <c r="D24" s="49"/>
      <c r="E24" s="49"/>
      <c r="F24" s="141"/>
      <c r="G24" s="156"/>
      <c r="H24" s="75"/>
      <c r="I24" s="75"/>
      <c r="J24" s="76"/>
      <c r="K24" s="171">
        <f>+H24*'Цени капацитети'!$E$45+I24*'Цени капацитети'!$E$59</f>
        <v>0</v>
      </c>
      <c r="L24" s="113">
        <f>$O$3*'Цени капацитети'!$E$21+$N$3*'Цени капацитети'!$E$4+$P$3*'Цени капацитети'!$E$8+K24</f>
        <v>0</v>
      </c>
      <c r="M24" s="122"/>
    </row>
    <row r="25" spans="2:15" x14ac:dyDescent="0.25">
      <c r="B25" s="47">
        <f t="shared" si="0"/>
        <v>45648</v>
      </c>
      <c r="C25" s="49"/>
      <c r="D25" s="49"/>
      <c r="E25" s="49"/>
      <c r="F25" s="141"/>
      <c r="G25" s="156"/>
      <c r="H25" s="75"/>
      <c r="I25" s="75"/>
      <c r="J25" s="76"/>
      <c r="K25" s="171">
        <f>+H25*'Цени капацитети'!$E$45+I25*'Цени капацитети'!$E$59</f>
        <v>0</v>
      </c>
      <c r="L25" s="113">
        <f>$O$3*'Цени капацитети'!$E$21+$N$3*'Цени капацитети'!$E$4+$P$3*'Цени капацитети'!$E$8+K25</f>
        <v>0</v>
      </c>
      <c r="M25" s="122"/>
    </row>
    <row r="26" spans="2:15" x14ac:dyDescent="0.25">
      <c r="B26" s="47">
        <f t="shared" si="0"/>
        <v>45649</v>
      </c>
      <c r="C26" s="49"/>
      <c r="D26" s="49"/>
      <c r="E26" s="49"/>
      <c r="F26" s="141"/>
      <c r="G26" s="156"/>
      <c r="H26" s="75"/>
      <c r="I26" s="75"/>
      <c r="J26" s="76"/>
      <c r="K26" s="171">
        <f>+H26*'Цени капацитети'!$E$45+I26*'Цени капацитети'!$E$59</f>
        <v>0</v>
      </c>
      <c r="L26" s="113">
        <f>$O$3*'Цени капацитети'!$E$21+$N$3*'Цени капацитети'!$E$4+$P$3*'Цени капацитети'!$E$8+K26</f>
        <v>0</v>
      </c>
      <c r="M26" s="122"/>
    </row>
    <row r="27" spans="2:15" x14ac:dyDescent="0.25">
      <c r="B27" s="47">
        <f t="shared" si="0"/>
        <v>45650</v>
      </c>
      <c r="C27" s="49"/>
      <c r="D27" s="49"/>
      <c r="E27" s="49"/>
      <c r="F27" s="141"/>
      <c r="G27" s="156"/>
      <c r="H27" s="75"/>
      <c r="I27" s="75"/>
      <c r="J27" s="76"/>
      <c r="K27" s="171">
        <f>+H27*'Цени капацитети'!$E$45+I27*'Цени капацитети'!$E$59</f>
        <v>0</v>
      </c>
      <c r="L27" s="113">
        <f>$O$3*'Цени капацитети'!$E$21+$N$3*'Цени капацитети'!$E$4+$P$3*'Цени капацитети'!$E$8+K27</f>
        <v>0</v>
      </c>
      <c r="M27" s="122"/>
    </row>
    <row r="28" spans="2:15" x14ac:dyDescent="0.25">
      <c r="B28" s="47">
        <f t="shared" si="0"/>
        <v>45651</v>
      </c>
      <c r="C28" s="49"/>
      <c r="D28" s="49"/>
      <c r="E28" s="49"/>
      <c r="F28" s="141"/>
      <c r="G28" s="156"/>
      <c r="H28" s="75"/>
      <c r="I28" s="75"/>
      <c r="J28" s="76"/>
      <c r="K28" s="171">
        <f>+H28*'Цени капацитети'!$E$45+I28*'Цени капацитети'!$E$59</f>
        <v>0</v>
      </c>
      <c r="L28" s="113">
        <f>$O$3*'Цени капацитети'!$E$21+$N$3*'Цени капацитети'!$E$4+$P$3*'Цени капацитети'!$E$8+K28</f>
        <v>0</v>
      </c>
      <c r="M28" s="122"/>
    </row>
    <row r="29" spans="2:15" x14ac:dyDescent="0.25">
      <c r="B29" s="47">
        <f t="shared" si="0"/>
        <v>45652</v>
      </c>
      <c r="C29" s="49"/>
      <c r="D29" s="49"/>
      <c r="E29" s="49"/>
      <c r="F29" s="141"/>
      <c r="G29" s="156"/>
      <c r="H29" s="75"/>
      <c r="I29" s="75"/>
      <c r="J29" s="76"/>
      <c r="K29" s="171">
        <f>+H29*'Цени капацитети'!$E$45+I29*'Цени капацитети'!$E$59</f>
        <v>0</v>
      </c>
      <c r="L29" s="113">
        <f>$O$3*'Цени капацитети'!$E$21+$N$3*'Цени капацитети'!$E$4+$P$3*'Цени капацитети'!$E$8+K29</f>
        <v>0</v>
      </c>
      <c r="M29" s="122"/>
    </row>
    <row r="30" spans="2:15" x14ac:dyDescent="0.25">
      <c r="B30" s="47">
        <f t="shared" si="0"/>
        <v>45653</v>
      </c>
      <c r="C30" s="49"/>
      <c r="D30" s="49"/>
      <c r="E30" s="49"/>
      <c r="F30" s="141"/>
      <c r="G30" s="156"/>
      <c r="H30" s="75"/>
      <c r="I30" s="75"/>
      <c r="J30" s="76"/>
      <c r="K30" s="171">
        <f>+H30*'Цени капацитети'!$E$45+I30*'Цени капацитети'!$E$59</f>
        <v>0</v>
      </c>
      <c r="L30" s="113">
        <f>$O$3*'Цени капацитети'!$E$21+$N$3*'Цени капацитети'!$E$4+$P$3*'Цени капацитети'!$E$8+K30</f>
        <v>0</v>
      </c>
      <c r="M30" s="122"/>
    </row>
    <row r="31" spans="2:15" x14ac:dyDescent="0.25">
      <c r="B31" s="47">
        <f t="shared" si="0"/>
        <v>45654</v>
      </c>
      <c r="C31" s="49"/>
      <c r="D31" s="49"/>
      <c r="E31" s="49"/>
      <c r="F31" s="141"/>
      <c r="G31" s="156"/>
      <c r="H31" s="75"/>
      <c r="I31" s="75"/>
      <c r="J31" s="76"/>
      <c r="K31" s="171">
        <f>+H31*'Цени капацитети'!$E$45+I31*'Цени капацитети'!$E$59</f>
        <v>0</v>
      </c>
      <c r="L31" s="113">
        <f>$O$3*'Цени капацитети'!$E$21+$N$3*'Цени капацитети'!$E$4+$P$3*'Цени капацитети'!$E$8+K31</f>
        <v>0</v>
      </c>
      <c r="M31" s="122"/>
    </row>
    <row r="32" spans="2:15" x14ac:dyDescent="0.25">
      <c r="B32" s="47">
        <f t="shared" si="0"/>
        <v>45655</v>
      </c>
      <c r="C32" s="49"/>
      <c r="D32" s="49"/>
      <c r="E32" s="49"/>
      <c r="F32" s="141"/>
      <c r="G32" s="156"/>
      <c r="H32" s="75"/>
      <c r="I32" s="75"/>
      <c r="J32" s="76"/>
      <c r="K32" s="171">
        <f>+H32*'Цени капацитети'!$E$45+I32*'Цени капацитети'!$E$59</f>
        <v>0</v>
      </c>
      <c r="L32" s="113">
        <f>$O$3*'Цени капацитети'!$E$21+$N$3*'Цени капацитети'!$E$4+$P$3*'Цени капацитети'!$E$8+K32</f>
        <v>0</v>
      </c>
      <c r="M32" s="122"/>
    </row>
    <row r="33" spans="2:13" x14ac:dyDescent="0.25">
      <c r="B33" s="47">
        <f t="shared" si="0"/>
        <v>45656</v>
      </c>
      <c r="C33" s="49"/>
      <c r="D33" s="49"/>
      <c r="E33" s="49"/>
      <c r="F33" s="141"/>
      <c r="G33" s="156"/>
      <c r="H33" s="75"/>
      <c r="I33" s="75"/>
      <c r="J33" s="76"/>
      <c r="K33" s="171">
        <f>+H33*'Цени капацитети'!$E$45+I33*'Цени капацитети'!$E$59</f>
        <v>0</v>
      </c>
      <c r="L33" s="113">
        <f>$O$3*'Цени капацитети'!$E$21+$N$3*'Цени капацитети'!$E$4+$P$3*'Цени капацитети'!$E$8+K33</f>
        <v>0</v>
      </c>
      <c r="M33" s="122"/>
    </row>
    <row r="34" spans="2:13" x14ac:dyDescent="0.25">
      <c r="B34" s="47">
        <f t="shared" si="0"/>
        <v>45657</v>
      </c>
      <c r="C34" s="49"/>
      <c r="D34" s="49"/>
      <c r="E34" s="49"/>
      <c r="F34" s="141"/>
      <c r="G34" s="156"/>
      <c r="H34" s="75"/>
      <c r="I34" s="75"/>
      <c r="J34" s="76"/>
      <c r="K34" s="171">
        <f>+H34*'Цени капацитети'!$E$45+I34*'Цени капацитети'!$E$59</f>
        <v>0</v>
      </c>
      <c r="L34" s="113">
        <f>$O$3*'Цени капацитети'!$E$21+$N$3*'Цени капацитети'!$E$4+$P$3*'Цени капацитети'!$E$8+K34</f>
        <v>0</v>
      </c>
      <c r="M34" s="122"/>
    </row>
    <row r="35" spans="2:13" x14ac:dyDescent="0.25">
      <c r="E35" s="16">
        <f>SUM(E4:E34)</f>
        <v>38.391995184561026</v>
      </c>
      <c r="F35" s="16"/>
      <c r="G35" s="18">
        <f>SUM(G4:G34)</f>
        <v>0</v>
      </c>
      <c r="H35" s="18">
        <f>SUM(H4:H34)</f>
        <v>33.209999999999994</v>
      </c>
      <c r="I35" s="18">
        <f>SUM(I4:I34)</f>
        <v>3.1920000000000002</v>
      </c>
      <c r="J35" s="18">
        <f>SUM(J4:J34)</f>
        <v>0</v>
      </c>
      <c r="M35" s="247">
        <f>SUM(M4:M34)</f>
        <v>0</v>
      </c>
    </row>
  </sheetData>
  <mergeCells count="3">
    <mergeCell ref="B2:G2"/>
    <mergeCell ref="I2:K2"/>
    <mergeCell ref="N1:O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B2:N220"/>
  <sheetViews>
    <sheetView topLeftCell="A10" zoomScale="85" zoomScaleNormal="85" workbookViewId="0">
      <selection activeCell="K121" sqref="K121:L122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2.140625" style="1" bestFit="1" customWidth="1"/>
    <col min="4" max="4" width="10.140625" style="1" bestFit="1" customWidth="1"/>
    <col min="5" max="5" width="10.7109375" style="1" bestFit="1" customWidth="1"/>
    <col min="6" max="6" width="12.85546875" style="1" bestFit="1" customWidth="1"/>
    <col min="7" max="7" width="9.5703125" style="1" bestFit="1" customWidth="1"/>
    <col min="8" max="8" width="14.7109375" style="1" bestFit="1" customWidth="1"/>
    <col min="9" max="9" width="14" style="1" customWidth="1"/>
    <col min="10" max="10" width="13.42578125" style="1" customWidth="1"/>
    <col min="11" max="11" width="11.7109375" style="1" customWidth="1"/>
    <col min="12" max="13" width="11.85546875" style="1" customWidth="1"/>
    <col min="14" max="14" width="12.28515625" style="1" customWidth="1"/>
    <col min="15" max="16384" width="8.85546875" style="1"/>
  </cols>
  <sheetData>
    <row r="2" spans="2:14" ht="14.45" customHeight="1" x14ac:dyDescent="0.25">
      <c r="B2" s="666" t="s">
        <v>313</v>
      </c>
      <c r="C2" s="667"/>
      <c r="D2" s="667"/>
      <c r="E2" s="667"/>
      <c r="F2" s="667"/>
      <c r="I2" s="609"/>
      <c r="J2" s="609"/>
      <c r="K2" s="609"/>
      <c r="L2" s="609"/>
      <c r="M2" s="609"/>
      <c r="N2" s="609"/>
    </row>
    <row r="3" spans="2:14" x14ac:dyDescent="0.25">
      <c r="B3" s="26" t="s">
        <v>8</v>
      </c>
      <c r="C3" s="52" t="s">
        <v>26</v>
      </c>
      <c r="D3" s="52" t="s">
        <v>6</v>
      </c>
      <c r="E3" s="35" t="s">
        <v>139</v>
      </c>
      <c r="F3" s="35" t="s">
        <v>41</v>
      </c>
      <c r="I3" s="563"/>
      <c r="J3" s="668" t="s">
        <v>169</v>
      </c>
      <c r="K3" s="668"/>
      <c r="L3" s="668"/>
      <c r="M3" s="608"/>
      <c r="N3" s="669" t="s">
        <v>32</v>
      </c>
    </row>
    <row r="4" spans="2:14" ht="57" x14ac:dyDescent="0.25">
      <c r="B4" s="47">
        <v>45627</v>
      </c>
      <c r="C4" s="49"/>
      <c r="D4" s="49">
        <f>+K11</f>
        <v>0</v>
      </c>
      <c r="E4" s="607">
        <f t="shared" ref="E4:E17" si="0">++IFERROR(F4/D4,0)</f>
        <v>0</v>
      </c>
      <c r="F4" s="49">
        <f>+N11</f>
        <v>0</v>
      </c>
      <c r="I4" s="565" t="s">
        <v>33</v>
      </c>
      <c r="J4" s="564" t="s">
        <v>34</v>
      </c>
      <c r="K4" s="564" t="s">
        <v>35</v>
      </c>
      <c r="L4" s="564" t="s">
        <v>36</v>
      </c>
      <c r="M4" s="564" t="s">
        <v>315</v>
      </c>
      <c r="N4" s="670"/>
    </row>
    <row r="5" spans="2:14" x14ac:dyDescent="0.25">
      <c r="B5" s="47">
        <f>+B4+1</f>
        <v>45628</v>
      </c>
      <c r="C5" s="49"/>
      <c r="D5" s="49">
        <f>+K21</f>
        <v>1500</v>
      </c>
      <c r="E5" s="607">
        <f t="shared" si="0"/>
        <v>87.685000000000002</v>
      </c>
      <c r="F5" s="49">
        <f>+N21</f>
        <v>131527.5</v>
      </c>
      <c r="I5" s="558"/>
      <c r="J5" s="534"/>
      <c r="K5" s="253"/>
      <c r="L5" s="535"/>
      <c r="M5" s="535">
        <v>0.68500000000000005</v>
      </c>
      <c r="N5" s="536">
        <f>K5*(L5+M5)</f>
        <v>0</v>
      </c>
    </row>
    <row r="6" spans="2:14" x14ac:dyDescent="0.25">
      <c r="B6" s="47">
        <f t="shared" ref="B6:B34" si="1">+B5+1</f>
        <v>45629</v>
      </c>
      <c r="C6" s="49"/>
      <c r="D6" s="49">
        <f>+K30</f>
        <v>1500</v>
      </c>
      <c r="E6" s="607">
        <f t="shared" si="0"/>
        <v>86.805000000000007</v>
      </c>
      <c r="F6" s="49">
        <f>+N30</f>
        <v>130207.5</v>
      </c>
      <c r="I6" s="47">
        <v>45597</v>
      </c>
      <c r="J6" s="537"/>
      <c r="K6" s="538"/>
      <c r="L6" s="539"/>
      <c r="M6" s="539">
        <v>0.68500000000000005</v>
      </c>
      <c r="N6" s="536">
        <f t="shared" ref="N6:N10" si="2">K6*(L6+M6)</f>
        <v>0</v>
      </c>
    </row>
    <row r="7" spans="2:14" ht="14.25" customHeight="1" x14ac:dyDescent="0.25">
      <c r="B7" s="47">
        <f t="shared" si="1"/>
        <v>45630</v>
      </c>
      <c r="C7" s="49"/>
      <c r="D7" s="49">
        <f>+K38</f>
        <v>1500</v>
      </c>
      <c r="E7" s="607">
        <f t="shared" si="0"/>
        <v>88.275000000000006</v>
      </c>
      <c r="F7" s="49">
        <f>+N38</f>
        <v>132412.5</v>
      </c>
      <c r="I7" s="629"/>
      <c r="J7" s="537"/>
      <c r="K7" s="538"/>
      <c r="L7" s="539"/>
      <c r="M7" s="539">
        <v>0.68500000000000005</v>
      </c>
      <c r="N7" s="536">
        <f t="shared" si="2"/>
        <v>0</v>
      </c>
    </row>
    <row r="8" spans="2:14" ht="14.25" customHeight="1" x14ac:dyDescent="0.25">
      <c r="B8" s="47">
        <f t="shared" si="1"/>
        <v>45631</v>
      </c>
      <c r="C8" s="49"/>
      <c r="D8" s="49">
        <f>+K46</f>
        <v>1500</v>
      </c>
      <c r="E8" s="607">
        <f t="shared" si="0"/>
        <v>92.568333333333328</v>
      </c>
      <c r="F8" s="49">
        <f>+N46</f>
        <v>138852.5</v>
      </c>
      <c r="I8" s="629"/>
      <c r="J8" s="537"/>
      <c r="K8" s="538"/>
      <c r="L8" s="539"/>
      <c r="M8" s="539">
        <v>0.68500000000000005</v>
      </c>
      <c r="N8" s="536">
        <f t="shared" si="2"/>
        <v>0</v>
      </c>
    </row>
    <row r="9" spans="2:14" ht="14.25" customHeight="1" x14ac:dyDescent="0.25">
      <c r="B9" s="47">
        <f t="shared" si="1"/>
        <v>45632</v>
      </c>
      <c r="C9" s="49"/>
      <c r="D9" s="49">
        <f>+K54</f>
        <v>1500</v>
      </c>
      <c r="E9" s="607">
        <f t="shared" si="0"/>
        <v>93.284999999999997</v>
      </c>
      <c r="F9" s="49">
        <f>+N54</f>
        <v>139927.5</v>
      </c>
      <c r="I9" s="560"/>
      <c r="J9" s="537"/>
      <c r="K9" s="541"/>
      <c r="L9" s="541"/>
      <c r="M9" s="541">
        <v>0.68500000000000005</v>
      </c>
      <c r="N9" s="536">
        <f t="shared" si="2"/>
        <v>0</v>
      </c>
    </row>
    <row r="10" spans="2:14" ht="14.25" customHeight="1" x14ac:dyDescent="0.25">
      <c r="B10" s="47">
        <f t="shared" si="1"/>
        <v>45633</v>
      </c>
      <c r="C10" s="49"/>
      <c r="D10" s="49">
        <f>+K60</f>
        <v>500</v>
      </c>
      <c r="E10" s="607">
        <f t="shared" si="0"/>
        <v>91.045000000000002</v>
      </c>
      <c r="F10" s="49">
        <f>+N60</f>
        <v>45522.5</v>
      </c>
      <c r="I10" s="560"/>
      <c r="J10" s="537"/>
      <c r="K10" s="541"/>
      <c r="L10" s="541"/>
      <c r="M10" s="541"/>
      <c r="N10" s="536">
        <f t="shared" si="2"/>
        <v>0</v>
      </c>
    </row>
    <row r="11" spans="2:14" ht="14.25" customHeight="1" x14ac:dyDescent="0.25">
      <c r="B11" s="47">
        <f t="shared" si="1"/>
        <v>45634</v>
      </c>
      <c r="C11" s="49"/>
      <c r="D11" s="49">
        <f>+K67</f>
        <v>500</v>
      </c>
      <c r="E11" s="607">
        <f t="shared" si="0"/>
        <v>91.045000000000002</v>
      </c>
      <c r="F11" s="49">
        <f>+N67</f>
        <v>45522.5</v>
      </c>
      <c r="I11" s="559" t="s">
        <v>0</v>
      </c>
      <c r="J11" s="534"/>
      <c r="K11" s="542">
        <f>SUM(K5:K10)</f>
        <v>0</v>
      </c>
      <c r="L11" s="543" t="e">
        <f>+N11/K11</f>
        <v>#DIV/0!</v>
      </c>
      <c r="M11" s="543"/>
      <c r="N11" s="544">
        <f>SUM(N5:N10)</f>
        <v>0</v>
      </c>
    </row>
    <row r="12" spans="2:14" ht="14.25" customHeight="1" x14ac:dyDescent="0.25">
      <c r="B12" s="47">
        <f t="shared" si="1"/>
        <v>45635</v>
      </c>
      <c r="C12" s="49"/>
      <c r="D12" s="49">
        <f>+K74</f>
        <v>1500</v>
      </c>
      <c r="E12" s="607">
        <f t="shared" si="0"/>
        <v>87.138333333333335</v>
      </c>
      <c r="F12" s="49">
        <f>+N74</f>
        <v>130707.5</v>
      </c>
      <c r="I12" s="561"/>
      <c r="J12" s="546"/>
      <c r="K12" s="546"/>
      <c r="L12" s="547"/>
      <c r="M12" s="547"/>
      <c r="N12" s="548"/>
    </row>
    <row r="13" spans="2:14" ht="14.25" customHeight="1" x14ac:dyDescent="0.25">
      <c r="B13" s="47">
        <f t="shared" si="1"/>
        <v>45636</v>
      </c>
      <c r="C13" s="49"/>
      <c r="D13" s="49">
        <f>+K81</f>
        <v>1500</v>
      </c>
      <c r="E13" s="607">
        <f t="shared" si="0"/>
        <v>86.605000000000004</v>
      </c>
      <c r="F13" s="49">
        <f>+N81</f>
        <v>129907.5</v>
      </c>
      <c r="I13" s="558"/>
      <c r="J13" s="534"/>
      <c r="K13" s="535"/>
      <c r="L13" s="535"/>
      <c r="M13" s="535"/>
      <c r="N13" s="536">
        <f t="shared" ref="N13:N20" si="3">K13*(L13+M13)</f>
        <v>0</v>
      </c>
    </row>
    <row r="14" spans="2:14" ht="14.25" customHeight="1" x14ac:dyDescent="0.25">
      <c r="B14" s="47">
        <f t="shared" si="1"/>
        <v>45637</v>
      </c>
      <c r="C14" s="49"/>
      <c r="D14" s="49">
        <f>+K87</f>
        <v>1500</v>
      </c>
      <c r="E14" s="607">
        <f t="shared" si="0"/>
        <v>85.938333333333333</v>
      </c>
      <c r="F14" s="49">
        <f>+N87</f>
        <v>128907.5</v>
      </c>
      <c r="I14" s="560">
        <f>I6+1</f>
        <v>45598</v>
      </c>
      <c r="J14" s="537"/>
      <c r="K14" s="541">
        <v>1000</v>
      </c>
      <c r="L14" s="541">
        <v>87.05</v>
      </c>
      <c r="M14" s="541">
        <v>0.68500000000000005</v>
      </c>
      <c r="N14" s="540">
        <f t="shared" si="3"/>
        <v>87735</v>
      </c>
    </row>
    <row r="15" spans="2:14" ht="14.25" customHeight="1" x14ac:dyDescent="0.25">
      <c r="B15" s="47">
        <f t="shared" si="1"/>
        <v>45638</v>
      </c>
      <c r="C15" s="49"/>
      <c r="D15" s="49">
        <f>+K93</f>
        <v>1500</v>
      </c>
      <c r="E15" s="607">
        <f t="shared" si="0"/>
        <v>86.298333333333332</v>
      </c>
      <c r="F15" s="49">
        <f>+N93</f>
        <v>129447.5</v>
      </c>
      <c r="I15" s="560"/>
      <c r="J15" s="537"/>
      <c r="K15" s="541">
        <v>500</v>
      </c>
      <c r="L15" s="541">
        <v>86.9</v>
      </c>
      <c r="M15" s="541">
        <v>0.68500000000000005</v>
      </c>
      <c r="N15" s="540">
        <f t="shared" si="3"/>
        <v>43792.500000000007</v>
      </c>
    </row>
    <row r="16" spans="2:14" ht="14.25" customHeight="1" x14ac:dyDescent="0.25">
      <c r="B16" s="47">
        <f t="shared" si="1"/>
        <v>45639</v>
      </c>
      <c r="C16" s="49"/>
      <c r="D16" s="49">
        <f>+K101</f>
        <v>1500</v>
      </c>
      <c r="E16" s="607">
        <f t="shared" si="0"/>
        <v>85.954999999999998</v>
      </c>
      <c r="F16" s="49">
        <f>+N101</f>
        <v>128932.5</v>
      </c>
      <c r="I16" s="560"/>
      <c r="J16" s="537"/>
      <c r="K16" s="541"/>
      <c r="L16" s="541"/>
      <c r="M16" s="541">
        <v>0.68500000000000005</v>
      </c>
      <c r="N16" s="540">
        <f t="shared" si="3"/>
        <v>0</v>
      </c>
    </row>
    <row r="17" spans="2:14" ht="14.25" customHeight="1" x14ac:dyDescent="0.25">
      <c r="B17" s="47">
        <f t="shared" si="1"/>
        <v>45640</v>
      </c>
      <c r="C17" s="49"/>
      <c r="D17" s="49">
        <f>+K109</f>
        <v>1500</v>
      </c>
      <c r="E17" s="607">
        <f t="shared" si="0"/>
        <v>85.49166666666666</v>
      </c>
      <c r="F17" s="49">
        <f>+N109</f>
        <v>128237.5</v>
      </c>
      <c r="I17" s="560"/>
      <c r="J17" s="537"/>
      <c r="K17" s="541"/>
      <c r="L17" s="541"/>
      <c r="M17" s="541">
        <v>0.68500000000000005</v>
      </c>
      <c r="N17" s="540">
        <f t="shared" si="3"/>
        <v>0</v>
      </c>
    </row>
    <row r="18" spans="2:14" ht="14.25" customHeight="1" x14ac:dyDescent="0.25">
      <c r="B18" s="47">
        <f t="shared" si="1"/>
        <v>45641</v>
      </c>
      <c r="C18" s="49"/>
      <c r="D18" s="49">
        <f>+K118</f>
        <v>1500</v>
      </c>
      <c r="E18" s="607">
        <f t="shared" ref="E18:E32" si="4">++IFERROR(F18/D18,0)</f>
        <v>85.49166666666666</v>
      </c>
      <c r="F18" s="49">
        <f>+N118</f>
        <v>128237.5</v>
      </c>
      <c r="I18" s="560"/>
      <c r="J18" s="537"/>
      <c r="K18" s="541"/>
      <c r="L18" s="541"/>
      <c r="M18" s="541">
        <v>0.68500000000000005</v>
      </c>
      <c r="N18" s="540">
        <f t="shared" si="3"/>
        <v>0</v>
      </c>
    </row>
    <row r="19" spans="2:14" ht="14.25" customHeight="1" x14ac:dyDescent="0.25">
      <c r="B19" s="47">
        <f t="shared" si="1"/>
        <v>45642</v>
      </c>
      <c r="C19" s="49"/>
      <c r="D19" s="49">
        <f>+K123</f>
        <v>1500</v>
      </c>
      <c r="E19" s="607">
        <f t="shared" si="4"/>
        <v>85.471666666666664</v>
      </c>
      <c r="F19" s="49">
        <f>+N123</f>
        <v>128207.5</v>
      </c>
      <c r="I19" s="560"/>
      <c r="J19" s="537"/>
      <c r="K19" s="541"/>
      <c r="L19" s="541"/>
      <c r="M19" s="541"/>
      <c r="N19" s="540">
        <f t="shared" si="3"/>
        <v>0</v>
      </c>
    </row>
    <row r="20" spans="2:14" ht="14.25" customHeight="1" x14ac:dyDescent="0.25">
      <c r="B20" s="47">
        <f t="shared" si="1"/>
        <v>45643</v>
      </c>
      <c r="C20" s="49"/>
      <c r="D20" s="49">
        <f>+K129</f>
        <v>0</v>
      </c>
      <c r="E20" s="607">
        <f t="shared" si="4"/>
        <v>0</v>
      </c>
      <c r="F20" s="49">
        <f>+N129</f>
        <v>0</v>
      </c>
      <c r="I20" s="560"/>
      <c r="J20" s="537"/>
      <c r="K20" s="541"/>
      <c r="L20" s="541"/>
      <c r="M20" s="541"/>
      <c r="N20" s="540">
        <f t="shared" si="3"/>
        <v>0</v>
      </c>
    </row>
    <row r="21" spans="2:14" ht="14.25" customHeight="1" x14ac:dyDescent="0.25">
      <c r="B21" s="47">
        <f t="shared" si="1"/>
        <v>45644</v>
      </c>
      <c r="C21" s="49"/>
      <c r="D21" s="49">
        <f>+K134</f>
        <v>0</v>
      </c>
      <c r="E21" s="607">
        <f t="shared" si="4"/>
        <v>0</v>
      </c>
      <c r="F21" s="49">
        <f>+N134</f>
        <v>0</v>
      </c>
      <c r="I21" s="559" t="s">
        <v>0</v>
      </c>
      <c r="J21" s="534"/>
      <c r="K21" s="542">
        <f>SUM(K13:K20)</f>
        <v>1500</v>
      </c>
      <c r="L21" s="543">
        <f>N21/K21</f>
        <v>87.685000000000002</v>
      </c>
      <c r="M21" s="543"/>
      <c r="N21" s="544">
        <f>SUM(N13:N20)</f>
        <v>131527.5</v>
      </c>
    </row>
    <row r="22" spans="2:14" ht="14.25" customHeight="1" x14ac:dyDescent="0.25">
      <c r="B22" s="47">
        <f t="shared" si="1"/>
        <v>45645</v>
      </c>
      <c r="C22" s="49"/>
      <c r="D22" s="49">
        <f>+K141</f>
        <v>0</v>
      </c>
      <c r="E22" s="607">
        <f t="shared" si="4"/>
        <v>0</v>
      </c>
      <c r="F22" s="49">
        <f>+N141</f>
        <v>0</v>
      </c>
      <c r="I22" s="561"/>
      <c r="J22" s="546"/>
      <c r="K22" s="546"/>
      <c r="L22" s="547"/>
      <c r="M22" s="547"/>
      <c r="N22" s="548"/>
    </row>
    <row r="23" spans="2:14" ht="14.25" customHeight="1" x14ac:dyDescent="0.25">
      <c r="B23" s="47">
        <f t="shared" si="1"/>
        <v>45646</v>
      </c>
      <c r="C23" s="49"/>
      <c r="D23" s="49">
        <f>+K148</f>
        <v>0</v>
      </c>
      <c r="E23" s="607">
        <f t="shared" si="4"/>
        <v>0</v>
      </c>
      <c r="F23" s="49">
        <f>+N148</f>
        <v>0</v>
      </c>
      <c r="I23" s="558"/>
      <c r="J23" s="534"/>
      <c r="K23" s="253"/>
      <c r="L23" s="535"/>
      <c r="M23" s="535"/>
      <c r="N23" s="536">
        <f t="shared" ref="N23:N29" si="5">K23*(L23+M23)</f>
        <v>0</v>
      </c>
    </row>
    <row r="24" spans="2:14" ht="14.25" customHeight="1" x14ac:dyDescent="0.25">
      <c r="B24" s="47">
        <f t="shared" si="1"/>
        <v>45647</v>
      </c>
      <c r="C24" s="49"/>
      <c r="D24" s="49">
        <f>+K153</f>
        <v>0</v>
      </c>
      <c r="E24" s="607">
        <f t="shared" si="4"/>
        <v>0</v>
      </c>
      <c r="F24" s="49">
        <f>+N153</f>
        <v>0</v>
      </c>
      <c r="I24" s="560">
        <f>I14+1</f>
        <v>45599</v>
      </c>
      <c r="J24" s="537"/>
      <c r="K24" s="541">
        <v>500</v>
      </c>
      <c r="L24" s="541">
        <v>86.5</v>
      </c>
      <c r="M24" s="541">
        <v>0.68500000000000005</v>
      </c>
      <c r="N24" s="540">
        <f t="shared" si="5"/>
        <v>43592.5</v>
      </c>
    </row>
    <row r="25" spans="2:14" x14ac:dyDescent="0.25">
      <c r="B25" s="47">
        <f t="shared" si="1"/>
        <v>45648</v>
      </c>
      <c r="C25" s="49"/>
      <c r="D25" s="49">
        <f>+K158</f>
        <v>0</v>
      </c>
      <c r="E25" s="607">
        <f t="shared" si="4"/>
        <v>0</v>
      </c>
      <c r="F25" s="49">
        <f>+N158</f>
        <v>0</v>
      </c>
      <c r="I25" s="560"/>
      <c r="J25" s="537"/>
      <c r="K25" s="541">
        <v>500</v>
      </c>
      <c r="L25" s="541">
        <v>86</v>
      </c>
      <c r="M25" s="541">
        <v>0.68500000000000005</v>
      </c>
      <c r="N25" s="540">
        <f t="shared" si="5"/>
        <v>43342.5</v>
      </c>
    </row>
    <row r="26" spans="2:14" x14ac:dyDescent="0.25">
      <c r="B26" s="47">
        <f t="shared" si="1"/>
        <v>45649</v>
      </c>
      <c r="C26" s="49"/>
      <c r="D26" s="49">
        <f>+K163</f>
        <v>0</v>
      </c>
      <c r="E26" s="607">
        <f t="shared" si="4"/>
        <v>0</v>
      </c>
      <c r="F26" s="49">
        <f>+N163</f>
        <v>0</v>
      </c>
      <c r="I26" s="560"/>
      <c r="J26" s="537"/>
      <c r="K26" s="541">
        <v>500</v>
      </c>
      <c r="L26" s="541">
        <v>85.86</v>
      </c>
      <c r="M26" s="541">
        <v>0.68500000000000005</v>
      </c>
      <c r="N26" s="540">
        <f t="shared" si="5"/>
        <v>43272.5</v>
      </c>
    </row>
    <row r="27" spans="2:14" ht="16.5" customHeight="1" x14ac:dyDescent="0.25">
      <c r="B27" s="47">
        <f t="shared" si="1"/>
        <v>45650</v>
      </c>
      <c r="C27" s="49"/>
      <c r="D27" s="49">
        <f>+K169</f>
        <v>0</v>
      </c>
      <c r="E27" s="607">
        <f t="shared" si="4"/>
        <v>0</v>
      </c>
      <c r="F27" s="49">
        <f>+N169</f>
        <v>0</v>
      </c>
      <c r="I27" s="560"/>
      <c r="J27" s="537"/>
      <c r="K27" s="541"/>
      <c r="L27" s="541"/>
      <c r="M27" s="541">
        <v>0.68500000000000005</v>
      </c>
      <c r="N27" s="540">
        <f t="shared" si="5"/>
        <v>0</v>
      </c>
    </row>
    <row r="28" spans="2:14" x14ac:dyDescent="0.25">
      <c r="B28" s="47">
        <f t="shared" si="1"/>
        <v>45651</v>
      </c>
      <c r="C28" s="49"/>
      <c r="D28" s="49">
        <f>+K177</f>
        <v>0</v>
      </c>
      <c r="E28" s="607">
        <f t="shared" si="4"/>
        <v>0</v>
      </c>
      <c r="F28" s="49">
        <f>+N177</f>
        <v>0</v>
      </c>
      <c r="I28" s="560"/>
      <c r="J28" s="537"/>
      <c r="K28" s="541"/>
      <c r="L28" s="541"/>
      <c r="M28" s="541">
        <v>0.68500000000000005</v>
      </c>
      <c r="N28" s="540">
        <f t="shared" si="5"/>
        <v>0</v>
      </c>
    </row>
    <row r="29" spans="2:14" x14ac:dyDescent="0.25">
      <c r="B29" s="47">
        <f t="shared" si="1"/>
        <v>45652</v>
      </c>
      <c r="C29" s="49"/>
      <c r="D29" s="49">
        <f>+K184</f>
        <v>0</v>
      </c>
      <c r="E29" s="607">
        <f t="shared" si="4"/>
        <v>0</v>
      </c>
      <c r="F29" s="49">
        <f>+N184</f>
        <v>0</v>
      </c>
      <c r="I29" s="560"/>
      <c r="J29" s="537"/>
      <c r="K29" s="541"/>
      <c r="L29" s="541"/>
      <c r="M29" s="541"/>
      <c r="N29" s="540">
        <f t="shared" si="5"/>
        <v>0</v>
      </c>
    </row>
    <row r="30" spans="2:14" x14ac:dyDescent="0.25">
      <c r="B30" s="47">
        <f t="shared" si="1"/>
        <v>45653</v>
      </c>
      <c r="C30" s="49"/>
      <c r="D30" s="49">
        <f>+K191</f>
        <v>0</v>
      </c>
      <c r="E30" s="607">
        <f t="shared" si="4"/>
        <v>0</v>
      </c>
      <c r="F30" s="49">
        <f>+N191</f>
        <v>0</v>
      </c>
      <c r="I30" s="559" t="s">
        <v>0</v>
      </c>
      <c r="J30" s="534"/>
      <c r="K30" s="542">
        <f>SUM(K23:K29)</f>
        <v>1500</v>
      </c>
      <c r="L30" s="543">
        <f>N30/K30</f>
        <v>86.805000000000007</v>
      </c>
      <c r="M30" s="543"/>
      <c r="N30" s="544">
        <f>SUM(N23:N29)</f>
        <v>130207.5</v>
      </c>
    </row>
    <row r="31" spans="2:14" x14ac:dyDescent="0.25">
      <c r="B31" s="47">
        <f t="shared" si="1"/>
        <v>45654</v>
      </c>
      <c r="C31" s="49"/>
      <c r="D31" s="49">
        <f>+K198</f>
        <v>0</v>
      </c>
      <c r="E31" s="607">
        <f t="shared" si="4"/>
        <v>0</v>
      </c>
      <c r="F31" s="49">
        <f>+N198</f>
        <v>0</v>
      </c>
      <c r="I31" s="561"/>
      <c r="J31" s="546"/>
      <c r="K31" s="546"/>
      <c r="L31" s="547"/>
      <c r="M31" s="547"/>
      <c r="N31" s="548"/>
    </row>
    <row r="32" spans="2:14" x14ac:dyDescent="0.25">
      <c r="B32" s="47">
        <f t="shared" si="1"/>
        <v>45655</v>
      </c>
      <c r="C32" s="49"/>
      <c r="D32" s="49">
        <f>+K206</f>
        <v>0</v>
      </c>
      <c r="E32" s="607">
        <f t="shared" si="4"/>
        <v>0</v>
      </c>
      <c r="F32" s="49">
        <f>+N206</f>
        <v>0</v>
      </c>
      <c r="I32" s="558"/>
      <c r="J32" s="534"/>
      <c r="K32" s="253"/>
      <c r="L32" s="535"/>
      <c r="M32" s="535"/>
      <c r="N32" s="536">
        <f t="shared" ref="N32:N37" si="6">K32*(L32+M32)</f>
        <v>0</v>
      </c>
    </row>
    <row r="33" spans="2:14" x14ac:dyDescent="0.25">
      <c r="B33" s="47">
        <f t="shared" si="1"/>
        <v>45656</v>
      </c>
      <c r="C33" s="49"/>
      <c r="D33" s="49">
        <f>+K213</f>
        <v>0</v>
      </c>
      <c r="E33" s="607">
        <f t="shared" ref="E33:E34" si="7">++IFERROR(F33/D33,0)</f>
        <v>0</v>
      </c>
      <c r="F33" s="49">
        <f>+N213</f>
        <v>0</v>
      </c>
      <c r="I33" s="559">
        <f>I24+1</f>
        <v>45600</v>
      </c>
      <c r="J33" s="534"/>
      <c r="K33" s="262">
        <v>300</v>
      </c>
      <c r="L33" s="535">
        <v>87.2</v>
      </c>
      <c r="M33" s="535">
        <v>0.68500000000000005</v>
      </c>
      <c r="N33" s="536">
        <f t="shared" si="6"/>
        <v>26365.5</v>
      </c>
    </row>
    <row r="34" spans="2:14" x14ac:dyDescent="0.25">
      <c r="B34" s="47">
        <f t="shared" si="1"/>
        <v>45657</v>
      </c>
      <c r="C34" s="49"/>
      <c r="D34" s="49">
        <f>+K220</f>
        <v>0</v>
      </c>
      <c r="E34" s="607">
        <f t="shared" si="7"/>
        <v>0</v>
      </c>
      <c r="F34" s="49">
        <f>+N220</f>
        <v>0</v>
      </c>
      <c r="I34" s="560"/>
      <c r="J34" s="537"/>
      <c r="K34" s="541">
        <v>500</v>
      </c>
      <c r="L34" s="541">
        <v>87.05</v>
      </c>
      <c r="M34" s="541">
        <v>0.68500000000000005</v>
      </c>
      <c r="N34" s="540">
        <f t="shared" si="6"/>
        <v>43867.5</v>
      </c>
    </row>
    <row r="35" spans="2:14" x14ac:dyDescent="0.25">
      <c r="C35" s="16">
        <f>SUM(C4:C34)</f>
        <v>0</v>
      </c>
      <c r="D35" s="16">
        <f>SUM(D4:D34)</f>
        <v>20500</v>
      </c>
      <c r="E35" s="180">
        <f>+F35/D35</f>
        <v>87.636951219512198</v>
      </c>
      <c r="F35" s="16">
        <f>SUM(F4:F34)</f>
        <v>1796557.5</v>
      </c>
      <c r="I35" s="560"/>
      <c r="J35" s="537"/>
      <c r="K35" s="541">
        <v>500</v>
      </c>
      <c r="L35" s="541">
        <v>88</v>
      </c>
      <c r="M35" s="541">
        <v>0.68500000000000005</v>
      </c>
      <c r="N35" s="540">
        <f t="shared" si="6"/>
        <v>44342.5</v>
      </c>
    </row>
    <row r="36" spans="2:14" x14ac:dyDescent="0.25">
      <c r="D36" s="1">
        <f>8*1500</f>
        <v>12000</v>
      </c>
      <c r="I36" s="560"/>
      <c r="J36" s="537"/>
      <c r="K36" s="541">
        <v>200</v>
      </c>
      <c r="L36" s="541">
        <v>88.5</v>
      </c>
      <c r="M36" s="541">
        <v>0.68500000000000005</v>
      </c>
      <c r="N36" s="540">
        <f t="shared" si="6"/>
        <v>17837</v>
      </c>
    </row>
    <row r="37" spans="2:14" x14ac:dyDescent="0.25">
      <c r="D37" s="16">
        <f>+D36+D35</f>
        <v>32500</v>
      </c>
      <c r="F37" s="618"/>
      <c r="I37" s="560"/>
      <c r="J37" s="537"/>
      <c r="K37" s="541"/>
      <c r="L37" s="541"/>
      <c r="M37" s="541">
        <v>0.68500000000000005</v>
      </c>
      <c r="N37" s="540">
        <f t="shared" si="6"/>
        <v>0</v>
      </c>
    </row>
    <row r="38" spans="2:14" x14ac:dyDescent="0.25">
      <c r="I38" s="559" t="s">
        <v>0</v>
      </c>
      <c r="J38" s="534"/>
      <c r="K38" s="542">
        <f>SUM(K32:K37)</f>
        <v>1500</v>
      </c>
      <c r="L38" s="543">
        <f>N38/K38</f>
        <v>88.275000000000006</v>
      </c>
      <c r="M38" s="543"/>
      <c r="N38" s="544">
        <f>SUM(N32:N37)</f>
        <v>132412.5</v>
      </c>
    </row>
    <row r="39" spans="2:14" x14ac:dyDescent="0.25">
      <c r="I39" s="561"/>
      <c r="J39" s="546"/>
      <c r="K39" s="546"/>
      <c r="L39" s="547"/>
      <c r="M39" s="547"/>
      <c r="N39" s="548"/>
    </row>
    <row r="40" spans="2:14" x14ac:dyDescent="0.25">
      <c r="I40" s="558"/>
      <c r="J40" s="534"/>
      <c r="K40" s="253"/>
      <c r="L40" s="535"/>
      <c r="M40" s="535"/>
      <c r="N40" s="536">
        <f t="shared" ref="N40:N45" si="8">K40*(L40+M40)</f>
        <v>0</v>
      </c>
    </row>
    <row r="41" spans="2:14" x14ac:dyDescent="0.25">
      <c r="I41" s="559">
        <f>I33+1</f>
        <v>45601</v>
      </c>
      <c r="J41" s="537"/>
      <c r="K41" s="253">
        <v>500</v>
      </c>
      <c r="L41" s="541">
        <v>94</v>
      </c>
      <c r="M41" s="541">
        <v>0.68500000000000005</v>
      </c>
      <c r="N41" s="536">
        <f t="shared" si="8"/>
        <v>47342.5</v>
      </c>
    </row>
    <row r="42" spans="2:14" x14ac:dyDescent="0.25">
      <c r="I42" s="559"/>
      <c r="J42" s="537"/>
      <c r="K42" s="253">
        <v>500</v>
      </c>
      <c r="L42" s="541">
        <v>87.85</v>
      </c>
      <c r="M42" s="541">
        <v>0.68500000000000005</v>
      </c>
      <c r="N42" s="536">
        <f t="shared" si="8"/>
        <v>44267.5</v>
      </c>
    </row>
    <row r="43" spans="2:14" x14ac:dyDescent="0.25">
      <c r="I43" s="559"/>
      <c r="J43" s="537"/>
      <c r="K43" s="253">
        <v>500</v>
      </c>
      <c r="L43" s="541">
        <v>93.8</v>
      </c>
      <c r="M43" s="541">
        <v>0.68500000000000005</v>
      </c>
      <c r="N43" s="536">
        <f t="shared" si="8"/>
        <v>47242.5</v>
      </c>
    </row>
    <row r="44" spans="2:14" x14ac:dyDescent="0.25">
      <c r="I44" s="559"/>
      <c r="J44" s="537"/>
      <c r="K44" s="253"/>
      <c r="L44" s="541"/>
      <c r="M44" s="541">
        <v>0.68500000000000005</v>
      </c>
      <c r="N44" s="536">
        <f t="shared" si="8"/>
        <v>0</v>
      </c>
    </row>
    <row r="45" spans="2:14" x14ac:dyDescent="0.25">
      <c r="I45" s="559"/>
      <c r="J45" s="537"/>
      <c r="K45" s="253"/>
      <c r="L45" s="541"/>
      <c r="M45" s="541"/>
      <c r="N45" s="536">
        <f t="shared" si="8"/>
        <v>0</v>
      </c>
    </row>
    <row r="46" spans="2:14" x14ac:dyDescent="0.25">
      <c r="I46" s="559" t="s">
        <v>0</v>
      </c>
      <c r="J46" s="534"/>
      <c r="K46" s="542">
        <f>SUM(K40:K45)</f>
        <v>1500</v>
      </c>
      <c r="L46" s="543">
        <f>N46/K46</f>
        <v>92.568333333333328</v>
      </c>
      <c r="M46" s="543"/>
      <c r="N46" s="544">
        <f>SUM(N40:N45)</f>
        <v>138852.5</v>
      </c>
    </row>
    <row r="47" spans="2:14" x14ac:dyDescent="0.25">
      <c r="I47" s="561"/>
      <c r="J47" s="546"/>
      <c r="K47" s="546"/>
      <c r="L47" s="547"/>
      <c r="M47" s="547"/>
      <c r="N47" s="548"/>
    </row>
    <row r="48" spans="2:14" x14ac:dyDescent="0.25">
      <c r="I48" s="558"/>
      <c r="J48" s="534"/>
      <c r="K48" s="253"/>
      <c r="L48" s="535"/>
      <c r="M48" s="535"/>
      <c r="N48" s="536">
        <f t="shared" ref="N48:N53" si="9">K48*(L48+M48)</f>
        <v>0</v>
      </c>
    </row>
    <row r="49" spans="9:14" x14ac:dyDescent="0.25">
      <c r="I49" s="559">
        <f>I41+1</f>
        <v>45602</v>
      </c>
      <c r="J49" s="537"/>
      <c r="K49" s="253">
        <v>500</v>
      </c>
      <c r="L49" s="541">
        <v>93</v>
      </c>
      <c r="M49" s="541">
        <v>0.68500000000000005</v>
      </c>
      <c r="N49" s="536">
        <f t="shared" si="9"/>
        <v>46842.5</v>
      </c>
    </row>
    <row r="50" spans="9:14" x14ac:dyDescent="0.25">
      <c r="I50" s="559"/>
      <c r="J50" s="537"/>
      <c r="K50" s="253">
        <v>500</v>
      </c>
      <c r="L50" s="541">
        <v>92.5</v>
      </c>
      <c r="M50" s="541">
        <v>0.68500000000000005</v>
      </c>
      <c r="N50" s="536">
        <f t="shared" si="9"/>
        <v>46592.5</v>
      </c>
    </row>
    <row r="51" spans="9:14" x14ac:dyDescent="0.25">
      <c r="I51" s="559"/>
      <c r="J51" s="537"/>
      <c r="K51" s="253">
        <v>500</v>
      </c>
      <c r="L51" s="541">
        <v>92.3</v>
      </c>
      <c r="M51" s="541">
        <v>0.68500000000000005</v>
      </c>
      <c r="N51" s="536">
        <f t="shared" si="9"/>
        <v>46492.5</v>
      </c>
    </row>
    <row r="52" spans="9:14" x14ac:dyDescent="0.25">
      <c r="I52" s="560"/>
      <c r="J52" s="537"/>
      <c r="K52" s="541"/>
      <c r="L52" s="541"/>
      <c r="M52" s="541"/>
      <c r="N52" s="536">
        <f t="shared" si="9"/>
        <v>0</v>
      </c>
    </row>
    <row r="53" spans="9:14" x14ac:dyDescent="0.25">
      <c r="I53" s="560"/>
      <c r="J53" s="537"/>
      <c r="K53" s="541"/>
      <c r="L53" s="541"/>
      <c r="M53" s="541"/>
      <c r="N53" s="540">
        <f t="shared" si="9"/>
        <v>0</v>
      </c>
    </row>
    <row r="54" spans="9:14" x14ac:dyDescent="0.25">
      <c r="I54" s="559" t="s">
        <v>0</v>
      </c>
      <c r="J54" s="534"/>
      <c r="K54" s="542">
        <f>SUM(K48:K53)</f>
        <v>1500</v>
      </c>
      <c r="L54" s="543">
        <f>N54/K54</f>
        <v>93.284999999999997</v>
      </c>
      <c r="M54" s="543"/>
      <c r="N54" s="544">
        <f>SUM(N48:N53)</f>
        <v>139927.5</v>
      </c>
    </row>
    <row r="55" spans="9:14" x14ac:dyDescent="0.25">
      <c r="I55" s="561"/>
      <c r="J55" s="546"/>
      <c r="K55" s="546"/>
      <c r="L55" s="547"/>
      <c r="M55" s="547"/>
      <c r="N55" s="548"/>
    </row>
    <row r="56" spans="9:14" x14ac:dyDescent="0.25">
      <c r="I56" s="558"/>
      <c r="J56" s="534"/>
      <c r="K56" s="253"/>
      <c r="L56" s="535"/>
      <c r="M56" s="535"/>
      <c r="N56" s="536">
        <f t="shared" ref="N56:N59" si="10">K56*(L56+M56)</f>
        <v>0</v>
      </c>
    </row>
    <row r="57" spans="9:14" x14ac:dyDescent="0.25">
      <c r="I57" s="549">
        <f>I49+1</f>
        <v>45603</v>
      </c>
      <c r="J57" s="537"/>
      <c r="K57" s="253">
        <v>500</v>
      </c>
      <c r="L57" s="541">
        <v>90.36</v>
      </c>
      <c r="M57" s="541">
        <v>0.68500000000000005</v>
      </c>
      <c r="N57" s="536">
        <f t="shared" si="10"/>
        <v>45522.5</v>
      </c>
    </row>
    <row r="58" spans="9:14" x14ac:dyDescent="0.25">
      <c r="I58" s="560"/>
      <c r="J58" s="537"/>
      <c r="K58" s="541"/>
      <c r="L58" s="541"/>
      <c r="M58" s="541"/>
      <c r="N58" s="540">
        <f t="shared" si="10"/>
        <v>0</v>
      </c>
    </row>
    <row r="59" spans="9:14" x14ac:dyDescent="0.25">
      <c r="I59" s="560"/>
      <c r="J59" s="537"/>
      <c r="K59" s="541"/>
      <c r="L59" s="541"/>
      <c r="M59" s="541"/>
      <c r="N59" s="540">
        <f t="shared" si="10"/>
        <v>0</v>
      </c>
    </row>
    <row r="60" spans="9:14" x14ac:dyDescent="0.25">
      <c r="I60" s="559" t="s">
        <v>0</v>
      </c>
      <c r="J60" s="534"/>
      <c r="K60" s="542">
        <f>SUM(K56:K59)</f>
        <v>500</v>
      </c>
      <c r="L60" s="543">
        <f>N60/K60</f>
        <v>91.045000000000002</v>
      </c>
      <c r="M60" s="543"/>
      <c r="N60" s="544">
        <f>SUM(N56:N59)</f>
        <v>45522.5</v>
      </c>
    </row>
    <row r="61" spans="9:14" x14ac:dyDescent="0.25">
      <c r="I61" s="561"/>
      <c r="J61" s="546"/>
      <c r="K61" s="546"/>
      <c r="L61" s="547"/>
      <c r="M61" s="547"/>
      <c r="N61" s="548"/>
    </row>
    <row r="62" spans="9:14" x14ac:dyDescent="0.25">
      <c r="I62" s="558"/>
      <c r="J62" s="534"/>
      <c r="K62" s="253"/>
      <c r="L62" s="535"/>
      <c r="M62" s="535"/>
      <c r="N62" s="536">
        <f t="shared" ref="N62:N66" si="11">K62*(L62+M62)</f>
        <v>0</v>
      </c>
    </row>
    <row r="63" spans="9:14" x14ac:dyDescent="0.25">
      <c r="I63" s="549">
        <f>+I57+1</f>
        <v>45604</v>
      </c>
      <c r="J63" s="534"/>
      <c r="K63" s="262">
        <v>500</v>
      </c>
      <c r="L63" s="535">
        <v>90.36</v>
      </c>
      <c r="M63" s="541">
        <v>0.68500000000000005</v>
      </c>
      <c r="N63" s="536">
        <f t="shared" si="11"/>
        <v>45522.5</v>
      </c>
    </row>
    <row r="64" spans="9:14" x14ac:dyDescent="0.25">
      <c r="I64" s="560"/>
      <c r="J64" s="537"/>
      <c r="K64" s="541"/>
      <c r="L64" s="541"/>
      <c r="M64" s="541">
        <v>0.68500000000000005</v>
      </c>
      <c r="N64" s="540">
        <f t="shared" si="11"/>
        <v>0</v>
      </c>
    </row>
    <row r="65" spans="9:14" x14ac:dyDescent="0.25">
      <c r="I65" s="560"/>
      <c r="J65" s="537"/>
      <c r="K65" s="541"/>
      <c r="L65" s="541"/>
      <c r="M65" s="541">
        <v>0.68500000000000005</v>
      </c>
      <c r="N65" s="540">
        <f t="shared" si="11"/>
        <v>0</v>
      </c>
    </row>
    <row r="66" spans="9:14" x14ac:dyDescent="0.25">
      <c r="I66" s="595"/>
      <c r="J66" s="537"/>
      <c r="K66" s="541"/>
      <c r="L66" s="541"/>
      <c r="M66" s="541"/>
      <c r="N66" s="540">
        <f t="shared" si="11"/>
        <v>0</v>
      </c>
    </row>
    <row r="67" spans="9:14" x14ac:dyDescent="0.25">
      <c r="I67" s="559" t="s">
        <v>0</v>
      </c>
      <c r="J67" s="534"/>
      <c r="K67" s="542">
        <f>SUM(K62:K66)</f>
        <v>500</v>
      </c>
      <c r="L67" s="543">
        <f>N67/K67</f>
        <v>91.045000000000002</v>
      </c>
      <c r="M67" s="543"/>
      <c r="N67" s="544">
        <f>SUM(N62:N66)</f>
        <v>45522.5</v>
      </c>
    </row>
    <row r="68" spans="9:14" x14ac:dyDescent="0.25">
      <c r="I68" s="561"/>
      <c r="J68" s="546"/>
      <c r="K68" s="546"/>
      <c r="L68" s="547"/>
      <c r="M68" s="547"/>
      <c r="N68" s="548"/>
    </row>
    <row r="69" spans="9:14" x14ac:dyDescent="0.25">
      <c r="I69" s="558"/>
      <c r="J69" s="534"/>
      <c r="K69" s="253"/>
      <c r="L69" s="262"/>
      <c r="M69" s="262"/>
      <c r="N69" s="536">
        <f t="shared" ref="N69:N73" si="12">K69*(L69+M69)</f>
        <v>0</v>
      </c>
    </row>
    <row r="70" spans="9:14" x14ac:dyDescent="0.25">
      <c r="I70" s="558">
        <f>I63+1</f>
        <v>45605</v>
      </c>
      <c r="J70" s="534"/>
      <c r="K70" s="253">
        <v>500</v>
      </c>
      <c r="L70" s="253">
        <v>90.36</v>
      </c>
      <c r="M70" s="541">
        <v>0.68500000000000005</v>
      </c>
      <c r="N70" s="536">
        <f t="shared" si="12"/>
        <v>45522.5</v>
      </c>
    </row>
    <row r="71" spans="9:14" x14ac:dyDescent="0.25">
      <c r="I71" s="595"/>
      <c r="J71" s="537"/>
      <c r="K71" s="541">
        <v>500</v>
      </c>
      <c r="L71" s="541">
        <v>85</v>
      </c>
      <c r="M71" s="541">
        <v>0.68500000000000005</v>
      </c>
      <c r="N71" s="540">
        <f t="shared" si="12"/>
        <v>42842.5</v>
      </c>
    </row>
    <row r="72" spans="9:14" x14ac:dyDescent="0.25">
      <c r="I72" s="595"/>
      <c r="J72" s="537"/>
      <c r="K72" s="541">
        <v>500</v>
      </c>
      <c r="L72" s="541">
        <v>84</v>
      </c>
      <c r="M72" s="541">
        <v>0.68500000000000005</v>
      </c>
      <c r="N72" s="540">
        <f t="shared" si="12"/>
        <v>42342.5</v>
      </c>
    </row>
    <row r="73" spans="9:14" x14ac:dyDescent="0.25">
      <c r="I73" s="595"/>
      <c r="J73" s="537"/>
      <c r="K73" s="541"/>
      <c r="L73" s="541"/>
      <c r="M73" s="541">
        <v>0.68500000000000005</v>
      </c>
      <c r="N73" s="540">
        <f t="shared" si="12"/>
        <v>0</v>
      </c>
    </row>
    <row r="74" spans="9:14" x14ac:dyDescent="0.25">
      <c r="I74" s="559" t="s">
        <v>0</v>
      </c>
      <c r="J74" s="534"/>
      <c r="K74" s="542">
        <f>SUM(K69:K73)</f>
        <v>1500</v>
      </c>
      <c r="L74" s="543">
        <f>N74/K74</f>
        <v>87.138333333333335</v>
      </c>
      <c r="M74" s="543"/>
      <c r="N74" s="544">
        <f>SUM(N69:N73)</f>
        <v>130707.5</v>
      </c>
    </row>
    <row r="75" spans="9:14" x14ac:dyDescent="0.25">
      <c r="I75" s="561"/>
      <c r="J75" s="546"/>
      <c r="K75" s="546"/>
      <c r="L75" s="547"/>
      <c r="M75" s="547"/>
      <c r="N75" s="548"/>
    </row>
    <row r="76" spans="9:14" x14ac:dyDescent="0.25">
      <c r="I76" s="558"/>
      <c r="J76" s="534"/>
      <c r="K76" s="253"/>
      <c r="L76" s="535"/>
      <c r="M76" s="535"/>
      <c r="N76" s="536">
        <f t="shared" ref="N76:N80" si="13">K76*(L76+M76)</f>
        <v>0</v>
      </c>
    </row>
    <row r="77" spans="9:14" x14ac:dyDescent="0.25">
      <c r="I77" s="559">
        <f>I70+1</f>
        <v>45606</v>
      </c>
      <c r="J77" s="534"/>
      <c r="K77" s="253">
        <v>500</v>
      </c>
      <c r="L77" s="541">
        <v>90.36</v>
      </c>
      <c r="M77" s="541">
        <v>0.68500000000000005</v>
      </c>
      <c r="N77" s="536">
        <f t="shared" si="13"/>
        <v>45522.5</v>
      </c>
    </row>
    <row r="78" spans="9:14" x14ac:dyDescent="0.25">
      <c r="I78" s="596"/>
      <c r="J78" s="534"/>
      <c r="K78" s="253">
        <v>300</v>
      </c>
      <c r="L78" s="541">
        <v>83.5</v>
      </c>
      <c r="M78" s="541">
        <v>0.68500000000000005</v>
      </c>
      <c r="N78" s="536">
        <f t="shared" si="13"/>
        <v>25255.5</v>
      </c>
    </row>
    <row r="79" spans="9:14" x14ac:dyDescent="0.25">
      <c r="I79" s="596"/>
      <c r="J79" s="534"/>
      <c r="K79" s="253">
        <v>300</v>
      </c>
      <c r="L79" s="541">
        <v>83.5</v>
      </c>
      <c r="M79" s="541">
        <v>0.68500000000000005</v>
      </c>
      <c r="N79" s="536">
        <f t="shared" si="13"/>
        <v>25255.5</v>
      </c>
    </row>
    <row r="80" spans="9:14" x14ac:dyDescent="0.25">
      <c r="I80" s="596"/>
      <c r="J80" s="534"/>
      <c r="K80" s="253">
        <v>400</v>
      </c>
      <c r="L80" s="541">
        <v>84</v>
      </c>
      <c r="M80" s="541">
        <v>0.68500000000000005</v>
      </c>
      <c r="N80" s="536">
        <f t="shared" si="13"/>
        <v>33874</v>
      </c>
    </row>
    <row r="81" spans="9:14" x14ac:dyDescent="0.25">
      <c r="I81" s="559" t="s">
        <v>0</v>
      </c>
      <c r="J81" s="534"/>
      <c r="K81" s="542">
        <f>SUM(K76:K80)</f>
        <v>1500</v>
      </c>
      <c r="L81" s="543">
        <f>N81/K81</f>
        <v>86.605000000000004</v>
      </c>
      <c r="M81" s="543"/>
      <c r="N81" s="544">
        <f>SUM(N76:N80)</f>
        <v>129907.5</v>
      </c>
    </row>
    <row r="82" spans="9:14" x14ac:dyDescent="0.25">
      <c r="I82" s="561"/>
      <c r="J82" s="546"/>
      <c r="K82" s="546"/>
      <c r="L82" s="547"/>
      <c r="M82" s="547"/>
      <c r="N82" s="548"/>
    </row>
    <row r="83" spans="9:14" x14ac:dyDescent="0.25">
      <c r="I83" s="558"/>
      <c r="J83" s="534"/>
      <c r="K83" s="253"/>
      <c r="L83" s="535"/>
      <c r="M83" s="535"/>
      <c r="N83" s="536">
        <f t="shared" ref="N83:N86" si="14">K83*(L83+M83)</f>
        <v>0</v>
      </c>
    </row>
    <row r="84" spans="9:14" x14ac:dyDescent="0.25">
      <c r="I84" s="559">
        <f>I77+1</f>
        <v>45607</v>
      </c>
      <c r="J84" s="537"/>
      <c r="K84" s="253">
        <v>500</v>
      </c>
      <c r="L84" s="541">
        <v>90.36</v>
      </c>
      <c r="M84" s="541">
        <v>0.68500000000000005</v>
      </c>
      <c r="N84" s="536">
        <f t="shared" si="14"/>
        <v>45522.5</v>
      </c>
    </row>
    <row r="85" spans="9:14" x14ac:dyDescent="0.25">
      <c r="I85" s="595"/>
      <c r="J85" s="537"/>
      <c r="K85" s="541">
        <v>500</v>
      </c>
      <c r="L85" s="541">
        <v>82.7</v>
      </c>
      <c r="M85" s="541">
        <v>0.68500000000000005</v>
      </c>
      <c r="N85" s="540">
        <f t="shared" si="14"/>
        <v>41692.5</v>
      </c>
    </row>
    <row r="86" spans="9:14" x14ac:dyDescent="0.25">
      <c r="I86" s="595"/>
      <c r="J86" s="537"/>
      <c r="K86" s="541">
        <v>500</v>
      </c>
      <c r="L86" s="541">
        <v>82.7</v>
      </c>
      <c r="M86" s="541">
        <v>0.68500000000000005</v>
      </c>
      <c r="N86" s="540">
        <f t="shared" si="14"/>
        <v>41692.5</v>
      </c>
    </row>
    <row r="87" spans="9:14" x14ac:dyDescent="0.25">
      <c r="I87" s="559" t="s">
        <v>0</v>
      </c>
      <c r="J87" s="534"/>
      <c r="K87" s="542">
        <f>SUM(K83:K86)</f>
        <v>1500</v>
      </c>
      <c r="L87" s="543">
        <f>N87/K87</f>
        <v>85.938333333333333</v>
      </c>
      <c r="M87" s="543"/>
      <c r="N87" s="544">
        <f>SUM(N83:N86)</f>
        <v>128907.5</v>
      </c>
    </row>
    <row r="88" spans="9:14" x14ac:dyDescent="0.25">
      <c r="I88" s="561"/>
      <c r="J88" s="546"/>
      <c r="K88" s="546"/>
      <c r="L88" s="547"/>
      <c r="M88" s="547"/>
      <c r="N88" s="548"/>
    </row>
    <row r="89" spans="9:14" x14ac:dyDescent="0.25">
      <c r="I89" s="558"/>
      <c r="J89" s="534"/>
      <c r="K89" s="253">
        <v>500</v>
      </c>
      <c r="L89" s="535">
        <v>90.36</v>
      </c>
      <c r="M89" s="541">
        <v>0.68500000000000005</v>
      </c>
      <c r="N89" s="536">
        <f t="shared" ref="N89:N92" si="15">K89*(L89+M89)</f>
        <v>45522.5</v>
      </c>
    </row>
    <row r="90" spans="9:14" x14ac:dyDescent="0.25">
      <c r="I90" s="559">
        <f>I84+1</f>
        <v>45608</v>
      </c>
      <c r="J90" s="534"/>
      <c r="K90" s="253">
        <v>300</v>
      </c>
      <c r="L90" s="541">
        <v>83.5</v>
      </c>
      <c r="M90" s="541">
        <v>0.68500000000000005</v>
      </c>
      <c r="N90" s="536">
        <f t="shared" si="15"/>
        <v>25255.5</v>
      </c>
    </row>
    <row r="91" spans="9:14" x14ac:dyDescent="0.25">
      <c r="I91" s="596"/>
      <c r="J91" s="534"/>
      <c r="K91" s="253">
        <v>300</v>
      </c>
      <c r="L91" s="541">
        <v>83.3</v>
      </c>
      <c r="M91" s="541">
        <v>0.68500000000000005</v>
      </c>
      <c r="N91" s="536">
        <f t="shared" si="15"/>
        <v>25195.5</v>
      </c>
    </row>
    <row r="92" spans="9:14" x14ac:dyDescent="0.25">
      <c r="I92" s="596"/>
      <c r="J92" s="534"/>
      <c r="K92" s="253">
        <v>400</v>
      </c>
      <c r="L92" s="541">
        <v>83</v>
      </c>
      <c r="M92" s="541">
        <v>0.68500000000000005</v>
      </c>
      <c r="N92" s="536">
        <f t="shared" si="15"/>
        <v>33474</v>
      </c>
    </row>
    <row r="93" spans="9:14" x14ac:dyDescent="0.25">
      <c r="I93" s="559" t="s">
        <v>0</v>
      </c>
      <c r="J93" s="534"/>
      <c r="K93" s="542">
        <f>SUM(K89:K92)</f>
        <v>1500</v>
      </c>
      <c r="L93" s="543">
        <f>N93/K93</f>
        <v>86.298333333333332</v>
      </c>
      <c r="M93" s="543"/>
      <c r="N93" s="544">
        <f>SUM(N89:N92)</f>
        <v>129447.5</v>
      </c>
    </row>
    <row r="94" spans="9:14" x14ac:dyDescent="0.25">
      <c r="I94" s="561"/>
      <c r="J94" s="546"/>
      <c r="K94" s="546"/>
      <c r="L94" s="547"/>
      <c r="M94" s="547"/>
      <c r="N94" s="548"/>
    </row>
    <row r="95" spans="9:14" x14ac:dyDescent="0.25">
      <c r="I95" s="558"/>
      <c r="J95" s="534"/>
      <c r="K95" s="253"/>
      <c r="L95" s="535"/>
      <c r="M95" s="535"/>
      <c r="N95" s="536">
        <f t="shared" ref="N95:N100" si="16">K95*(L95+M95)</f>
        <v>0</v>
      </c>
    </row>
    <row r="96" spans="9:14" x14ac:dyDescent="0.25">
      <c r="I96" s="559">
        <f>I90+1</f>
        <v>45609</v>
      </c>
      <c r="J96" s="534"/>
      <c r="K96" s="253">
        <v>500</v>
      </c>
      <c r="L96" s="541">
        <v>90.36</v>
      </c>
      <c r="M96" s="541">
        <v>0.68500000000000005</v>
      </c>
      <c r="N96" s="536">
        <f t="shared" si="16"/>
        <v>45522.5</v>
      </c>
    </row>
    <row r="97" spans="9:14" x14ac:dyDescent="0.25">
      <c r="I97" s="595"/>
      <c r="J97" s="537"/>
      <c r="K97" s="541">
        <v>300</v>
      </c>
      <c r="L97" s="541">
        <v>82.65</v>
      </c>
      <c r="M97" s="541">
        <v>0.68500000000000005</v>
      </c>
      <c r="N97" s="540">
        <f t="shared" si="16"/>
        <v>25000.500000000004</v>
      </c>
    </row>
    <row r="98" spans="9:14" x14ac:dyDescent="0.25">
      <c r="I98" s="595"/>
      <c r="J98" s="537"/>
      <c r="K98" s="541">
        <v>400</v>
      </c>
      <c r="L98" s="541">
        <v>82.8</v>
      </c>
      <c r="M98" s="541">
        <v>0.68500000000000005</v>
      </c>
      <c r="N98" s="540">
        <f t="shared" si="16"/>
        <v>33394</v>
      </c>
    </row>
    <row r="99" spans="9:14" x14ac:dyDescent="0.25">
      <c r="I99" s="595"/>
      <c r="J99" s="537"/>
      <c r="K99" s="541">
        <v>300</v>
      </c>
      <c r="L99" s="541">
        <v>82.7</v>
      </c>
      <c r="M99" s="541">
        <v>0.68500000000000005</v>
      </c>
      <c r="N99" s="540">
        <f t="shared" si="16"/>
        <v>25015.5</v>
      </c>
    </row>
    <row r="100" spans="9:14" x14ac:dyDescent="0.25">
      <c r="I100" s="595"/>
      <c r="J100" s="537"/>
      <c r="K100" s="541"/>
      <c r="L100" s="541"/>
      <c r="M100" s="541"/>
      <c r="N100" s="540">
        <f t="shared" si="16"/>
        <v>0</v>
      </c>
    </row>
    <row r="101" spans="9:14" x14ac:dyDescent="0.25">
      <c r="I101" s="559" t="s">
        <v>0</v>
      </c>
      <c r="J101" s="534"/>
      <c r="K101" s="542">
        <f>SUM(K95:K100)</f>
        <v>1500</v>
      </c>
      <c r="L101" s="543">
        <f>N101/K101</f>
        <v>85.954999999999998</v>
      </c>
      <c r="M101" s="543"/>
      <c r="N101" s="544">
        <f>SUM(N95:N100)</f>
        <v>128932.5</v>
      </c>
    </row>
    <row r="102" spans="9:14" x14ac:dyDescent="0.25">
      <c r="I102" s="561"/>
      <c r="J102" s="546"/>
      <c r="K102" s="546"/>
      <c r="L102" s="547"/>
      <c r="M102" s="547"/>
      <c r="N102" s="548"/>
    </row>
    <row r="103" spans="9:14" x14ac:dyDescent="0.25">
      <c r="I103" s="558"/>
      <c r="J103" s="534"/>
      <c r="K103" s="253"/>
      <c r="L103" s="535"/>
      <c r="M103" s="535"/>
      <c r="N103" s="536">
        <f t="shared" ref="N103:N108" si="17">K103*(L103+M103)</f>
        <v>0</v>
      </c>
    </row>
    <row r="104" spans="9:14" x14ac:dyDescent="0.25">
      <c r="I104" s="559">
        <f>I96+1</f>
        <v>45610</v>
      </c>
      <c r="J104" s="534"/>
      <c r="K104" s="262">
        <v>500</v>
      </c>
      <c r="L104" s="535">
        <v>90.36</v>
      </c>
      <c r="M104" s="541">
        <v>0.68500000000000005</v>
      </c>
      <c r="N104" s="536">
        <f t="shared" si="17"/>
        <v>45522.5</v>
      </c>
    </row>
    <row r="105" spans="9:14" x14ac:dyDescent="0.25">
      <c r="I105" s="595"/>
      <c r="J105" s="537"/>
      <c r="K105" s="541">
        <v>300</v>
      </c>
      <c r="L105" s="541">
        <v>82.2</v>
      </c>
      <c r="M105" s="541">
        <v>0.68500000000000005</v>
      </c>
      <c r="N105" s="540">
        <f t="shared" si="17"/>
        <v>24865.5</v>
      </c>
    </row>
    <row r="106" spans="9:14" x14ac:dyDescent="0.25">
      <c r="I106" s="595"/>
      <c r="J106" s="537"/>
      <c r="K106" s="541">
        <v>300</v>
      </c>
      <c r="L106" s="541">
        <v>82.1</v>
      </c>
      <c r="M106" s="541">
        <v>0.68500000000000005</v>
      </c>
      <c r="N106" s="540">
        <f t="shared" si="17"/>
        <v>24835.5</v>
      </c>
    </row>
    <row r="107" spans="9:14" x14ac:dyDescent="0.25">
      <c r="I107" s="595"/>
      <c r="J107" s="537"/>
      <c r="K107" s="541">
        <v>400</v>
      </c>
      <c r="L107" s="541">
        <v>81.849999999999994</v>
      </c>
      <c r="M107" s="541">
        <v>0.68500000000000005</v>
      </c>
      <c r="N107" s="540">
        <f t="shared" si="17"/>
        <v>33014</v>
      </c>
    </row>
    <row r="108" spans="9:14" x14ac:dyDescent="0.25">
      <c r="I108" s="595"/>
      <c r="J108" s="537"/>
      <c r="K108" s="541"/>
      <c r="L108" s="541"/>
      <c r="M108" s="541"/>
      <c r="N108" s="540">
        <f t="shared" si="17"/>
        <v>0</v>
      </c>
    </row>
    <row r="109" spans="9:14" x14ac:dyDescent="0.25">
      <c r="I109" s="559" t="s">
        <v>0</v>
      </c>
      <c r="J109" s="534"/>
      <c r="K109" s="542">
        <f>SUM(K103:K108)</f>
        <v>1500</v>
      </c>
      <c r="L109" s="543">
        <f>N109/K109</f>
        <v>85.49166666666666</v>
      </c>
      <c r="M109" s="543"/>
      <c r="N109" s="544">
        <f>SUM(N103:N108)</f>
        <v>128237.5</v>
      </c>
    </row>
    <row r="110" spans="9:14" x14ac:dyDescent="0.25">
      <c r="I110" s="561"/>
      <c r="J110" s="546"/>
      <c r="K110" s="546"/>
      <c r="L110" s="547"/>
      <c r="M110" s="547"/>
      <c r="N110" s="548"/>
    </row>
    <row r="111" spans="9:14" x14ac:dyDescent="0.25">
      <c r="I111" s="558"/>
      <c r="J111" s="534"/>
      <c r="K111" s="253"/>
      <c r="L111" s="535"/>
      <c r="M111" s="535"/>
      <c r="N111" s="536">
        <f t="shared" ref="N111:N117" si="18">K111*(L111+M111)</f>
        <v>0</v>
      </c>
    </row>
    <row r="112" spans="9:14" x14ac:dyDescent="0.25">
      <c r="I112" s="559">
        <f>I104+1</f>
        <v>45611</v>
      </c>
      <c r="J112" s="534"/>
      <c r="K112" s="253">
        <v>300</v>
      </c>
      <c r="L112" s="541">
        <v>82.2</v>
      </c>
      <c r="M112" s="541">
        <v>0.68500000000000005</v>
      </c>
      <c r="N112" s="536">
        <f t="shared" si="18"/>
        <v>24865.5</v>
      </c>
    </row>
    <row r="113" spans="9:14" x14ac:dyDescent="0.25">
      <c r="I113" s="559"/>
      <c r="J113" s="534"/>
      <c r="K113" s="253">
        <v>500</v>
      </c>
      <c r="L113" s="541">
        <v>90.36</v>
      </c>
      <c r="M113" s="541">
        <v>0.68500000000000005</v>
      </c>
      <c r="N113" s="536">
        <f t="shared" ref="N113:N116" si="19">K113*(L113+M113)</f>
        <v>45522.5</v>
      </c>
    </row>
    <row r="114" spans="9:14" x14ac:dyDescent="0.25">
      <c r="I114" s="559"/>
      <c r="J114" s="534"/>
      <c r="K114" s="253">
        <v>300</v>
      </c>
      <c r="L114" s="541">
        <v>82.1</v>
      </c>
      <c r="M114" s="541">
        <v>0.68500000000000005</v>
      </c>
      <c r="N114" s="536">
        <f t="shared" si="19"/>
        <v>24835.5</v>
      </c>
    </row>
    <row r="115" spans="9:14" x14ac:dyDescent="0.25">
      <c r="I115" s="559"/>
      <c r="J115" s="534"/>
      <c r="K115" s="253">
        <v>400</v>
      </c>
      <c r="L115" s="541">
        <v>81.849999999999994</v>
      </c>
      <c r="M115" s="541">
        <v>0.68500000000000005</v>
      </c>
      <c r="N115" s="536">
        <f t="shared" si="19"/>
        <v>33014</v>
      </c>
    </row>
    <row r="116" spans="9:14" x14ac:dyDescent="0.25">
      <c r="I116" s="559"/>
      <c r="J116" s="534"/>
      <c r="K116" s="253"/>
      <c r="L116" s="541"/>
      <c r="M116" s="541"/>
      <c r="N116" s="536">
        <f t="shared" si="19"/>
        <v>0</v>
      </c>
    </row>
    <row r="117" spans="9:14" x14ac:dyDescent="0.25">
      <c r="I117" s="595"/>
      <c r="J117" s="537"/>
      <c r="K117" s="541"/>
      <c r="L117" s="541"/>
      <c r="M117" s="541"/>
      <c r="N117" s="540">
        <f t="shared" si="18"/>
        <v>0</v>
      </c>
    </row>
    <row r="118" spans="9:14" x14ac:dyDescent="0.25">
      <c r="I118" s="559" t="s">
        <v>0</v>
      </c>
      <c r="J118" s="534"/>
      <c r="K118" s="542">
        <f>SUM(K111:K117)</f>
        <v>1500</v>
      </c>
      <c r="L118" s="543">
        <f>N118/K118</f>
        <v>85.49166666666666</v>
      </c>
      <c r="M118" s="543"/>
      <c r="N118" s="544">
        <f>SUM(N111:N117)</f>
        <v>128237.5</v>
      </c>
    </row>
    <row r="119" spans="9:14" x14ac:dyDescent="0.25">
      <c r="I119" s="561"/>
      <c r="J119" s="546"/>
      <c r="K119" s="546"/>
      <c r="L119" s="547"/>
      <c r="M119" s="547"/>
      <c r="N119" s="548"/>
    </row>
    <row r="120" spans="9:14" x14ac:dyDescent="0.25">
      <c r="I120" s="558"/>
      <c r="J120" s="534"/>
      <c r="K120" s="253"/>
      <c r="L120" s="535"/>
      <c r="M120" s="535"/>
      <c r="N120" s="536">
        <f t="shared" ref="N120:N122" si="20">K120*(L120+M120)</f>
        <v>0</v>
      </c>
    </row>
    <row r="121" spans="9:14" x14ac:dyDescent="0.25">
      <c r="I121" s="559">
        <f>I112+1</f>
        <v>45612</v>
      </c>
      <c r="J121" s="537"/>
      <c r="K121" s="253">
        <v>500</v>
      </c>
      <c r="L121" s="541">
        <v>90.36</v>
      </c>
      <c r="M121" s="541">
        <v>0.68500000000000005</v>
      </c>
      <c r="N121" s="536">
        <f t="shared" si="20"/>
        <v>45522.5</v>
      </c>
    </row>
    <row r="122" spans="9:14" x14ac:dyDescent="0.25">
      <c r="I122" s="595"/>
      <c r="J122" s="537"/>
      <c r="K122" s="541">
        <v>1000</v>
      </c>
      <c r="L122" s="541">
        <v>82</v>
      </c>
      <c r="M122" s="541">
        <v>0.68500000000000005</v>
      </c>
      <c r="N122" s="540">
        <f t="shared" si="20"/>
        <v>82685</v>
      </c>
    </row>
    <row r="123" spans="9:14" x14ac:dyDescent="0.25">
      <c r="I123" s="559" t="s">
        <v>0</v>
      </c>
      <c r="J123" s="534"/>
      <c r="K123" s="542">
        <f>SUM(K120:K122)</f>
        <v>1500</v>
      </c>
      <c r="L123" s="543">
        <f>N123/K123</f>
        <v>85.471666666666664</v>
      </c>
      <c r="M123" s="543"/>
      <c r="N123" s="544">
        <f>SUM(N120:N122)</f>
        <v>128207.5</v>
      </c>
    </row>
    <row r="124" spans="9:14" x14ac:dyDescent="0.25">
      <c r="I124" s="561"/>
      <c r="J124" s="546"/>
      <c r="K124" s="546"/>
      <c r="L124" s="547"/>
      <c r="M124" s="547"/>
      <c r="N124" s="548"/>
    </row>
    <row r="125" spans="9:14" x14ac:dyDescent="0.25">
      <c r="I125" s="558"/>
      <c r="J125" s="534"/>
      <c r="K125" s="253"/>
      <c r="L125" s="541"/>
      <c r="M125" s="541"/>
      <c r="N125" s="536">
        <f t="shared" ref="N125:N128" si="21">K125*(L125+M125)</f>
        <v>0</v>
      </c>
    </row>
    <row r="126" spans="9:14" x14ac:dyDescent="0.25">
      <c r="I126" s="559">
        <f>I121+1</f>
        <v>45613</v>
      </c>
      <c r="J126" s="537"/>
      <c r="K126" s="253"/>
      <c r="L126" s="541"/>
      <c r="M126" s="541">
        <v>0.68500000000000005</v>
      </c>
      <c r="N126" s="536">
        <f t="shared" si="21"/>
        <v>0</v>
      </c>
    </row>
    <row r="127" spans="9:14" x14ac:dyDescent="0.25">
      <c r="I127" s="559"/>
      <c r="J127" s="537"/>
      <c r="K127" s="253"/>
      <c r="L127" s="541"/>
      <c r="M127" s="541">
        <v>0.68500000000000005</v>
      </c>
      <c r="N127" s="536">
        <f t="shared" si="21"/>
        <v>0</v>
      </c>
    </row>
    <row r="128" spans="9:14" x14ac:dyDescent="0.25">
      <c r="I128" s="595"/>
      <c r="J128" s="537"/>
      <c r="K128" s="541"/>
      <c r="L128" s="541"/>
      <c r="M128" s="541">
        <v>0.68500000000000005</v>
      </c>
      <c r="N128" s="540">
        <f t="shared" si="21"/>
        <v>0</v>
      </c>
    </row>
    <row r="129" spans="9:14" x14ac:dyDescent="0.25">
      <c r="I129" s="559" t="s">
        <v>0</v>
      </c>
      <c r="J129" s="534"/>
      <c r="K129" s="542">
        <f>SUM(K125:K128)</f>
        <v>0</v>
      </c>
      <c r="L129" s="543" t="e">
        <f>N129/K129</f>
        <v>#DIV/0!</v>
      </c>
      <c r="M129" s="543"/>
      <c r="N129" s="544">
        <f>SUM(N125:N128)</f>
        <v>0</v>
      </c>
    </row>
    <row r="130" spans="9:14" x14ac:dyDescent="0.25">
      <c r="I130" s="561"/>
      <c r="J130" s="546"/>
      <c r="K130" s="546"/>
      <c r="L130" s="547"/>
      <c r="M130" s="547"/>
      <c r="N130" s="548"/>
    </row>
    <row r="131" spans="9:14" x14ac:dyDescent="0.25">
      <c r="I131" s="558"/>
      <c r="J131" s="534"/>
      <c r="K131" s="253"/>
      <c r="L131" s="535"/>
      <c r="M131" s="535"/>
      <c r="N131" s="536">
        <f t="shared" ref="N131:N133" si="22">K131*(L131+M131)</f>
        <v>0</v>
      </c>
    </row>
    <row r="132" spans="9:14" x14ac:dyDescent="0.25">
      <c r="I132" s="560">
        <f>I126+1</f>
        <v>45614</v>
      </c>
      <c r="J132" s="537"/>
      <c r="K132" s="253"/>
      <c r="L132" s="541"/>
      <c r="M132" s="541">
        <v>0.68500000000000005</v>
      </c>
      <c r="N132" s="536">
        <f t="shared" si="22"/>
        <v>0</v>
      </c>
    </row>
    <row r="133" spans="9:14" x14ac:dyDescent="0.25">
      <c r="I133" s="595"/>
      <c r="J133" s="537"/>
      <c r="K133" s="541"/>
      <c r="L133" s="541"/>
      <c r="M133" s="541">
        <v>0.68500000000000005</v>
      </c>
      <c r="N133" s="540">
        <f t="shared" si="22"/>
        <v>0</v>
      </c>
    </row>
    <row r="134" spans="9:14" x14ac:dyDescent="0.25">
      <c r="I134" s="559" t="s">
        <v>0</v>
      </c>
      <c r="J134" s="534"/>
      <c r="K134" s="542">
        <f>SUM(K131:K133)</f>
        <v>0</v>
      </c>
      <c r="L134" s="543" t="e">
        <f>N134/K134</f>
        <v>#DIV/0!</v>
      </c>
      <c r="M134" s="543"/>
      <c r="N134" s="544">
        <f>SUM(N131:N133)</f>
        <v>0</v>
      </c>
    </row>
    <row r="135" spans="9:14" x14ac:dyDescent="0.25">
      <c r="I135" s="561"/>
      <c r="J135" s="546"/>
      <c r="K135" s="546"/>
      <c r="L135" s="547"/>
      <c r="M135" s="547"/>
      <c r="N135" s="548"/>
    </row>
    <row r="136" spans="9:14" x14ac:dyDescent="0.25">
      <c r="I136" s="558"/>
      <c r="J136" s="534"/>
      <c r="K136" s="253"/>
      <c r="L136" s="535"/>
      <c r="M136" s="535"/>
      <c r="N136" s="536">
        <f t="shared" ref="N136:N140" si="23">K136*(L136+M136)</f>
        <v>0</v>
      </c>
    </row>
    <row r="137" spans="9:14" x14ac:dyDescent="0.25">
      <c r="I137" s="559">
        <f>I132+1</f>
        <v>45615</v>
      </c>
      <c r="J137" s="537"/>
      <c r="K137" s="253"/>
      <c r="L137" s="541"/>
      <c r="M137" s="541">
        <v>0.68500000000000005</v>
      </c>
      <c r="N137" s="536">
        <f t="shared" si="23"/>
        <v>0</v>
      </c>
    </row>
    <row r="138" spans="9:14" x14ac:dyDescent="0.25">
      <c r="I138" s="595"/>
      <c r="J138" s="537"/>
      <c r="K138" s="253"/>
      <c r="L138" s="541"/>
      <c r="M138" s="541">
        <v>0.68500000000000005</v>
      </c>
      <c r="N138" s="536">
        <f t="shared" si="23"/>
        <v>0</v>
      </c>
    </row>
    <row r="139" spans="9:14" x14ac:dyDescent="0.25">
      <c r="I139" s="560"/>
      <c r="J139" s="537"/>
      <c r="K139" s="253"/>
      <c r="L139" s="541"/>
      <c r="M139" s="541">
        <v>0.68500000000000005</v>
      </c>
      <c r="N139" s="536">
        <f t="shared" si="23"/>
        <v>0</v>
      </c>
    </row>
    <row r="140" spans="9:14" x14ac:dyDescent="0.25">
      <c r="I140" s="560"/>
      <c r="J140" s="537"/>
      <c r="K140" s="253"/>
      <c r="L140" s="541"/>
      <c r="M140" s="541"/>
      <c r="N140" s="536">
        <f t="shared" si="23"/>
        <v>0</v>
      </c>
    </row>
    <row r="141" spans="9:14" x14ac:dyDescent="0.25">
      <c r="I141" s="559" t="s">
        <v>0</v>
      </c>
      <c r="J141" s="534"/>
      <c r="K141" s="542">
        <f>SUM(K136:K140)</f>
        <v>0</v>
      </c>
      <c r="L141" s="543" t="e">
        <f>N141/K141</f>
        <v>#DIV/0!</v>
      </c>
      <c r="M141" s="543"/>
      <c r="N141" s="544">
        <f>SUM(N136:N140)</f>
        <v>0</v>
      </c>
    </row>
    <row r="142" spans="9:14" x14ac:dyDescent="0.25">
      <c r="I142" s="561"/>
      <c r="J142" s="546"/>
      <c r="K142" s="546"/>
      <c r="L142" s="547"/>
      <c r="M142" s="547"/>
      <c r="N142" s="548"/>
    </row>
    <row r="143" spans="9:14" x14ac:dyDescent="0.25">
      <c r="I143" s="558"/>
      <c r="J143" s="534"/>
      <c r="K143" s="253"/>
      <c r="L143" s="535"/>
      <c r="M143" s="535"/>
      <c r="N143" s="536">
        <f t="shared" ref="N143:N147" si="24">K143*(L143+M143)</f>
        <v>0</v>
      </c>
    </row>
    <row r="144" spans="9:14" x14ac:dyDescent="0.25">
      <c r="I144" s="559">
        <f>I137+1</f>
        <v>45616</v>
      </c>
      <c r="J144" s="537"/>
      <c r="K144" s="253"/>
      <c r="L144" s="541"/>
      <c r="M144" s="541"/>
      <c r="N144" s="536">
        <f t="shared" si="24"/>
        <v>0</v>
      </c>
    </row>
    <row r="145" spans="9:14" x14ac:dyDescent="0.25">
      <c r="I145" s="595"/>
      <c r="J145" s="537"/>
      <c r="K145" s="253"/>
      <c r="L145" s="541"/>
      <c r="M145" s="541"/>
      <c r="N145" s="536">
        <f t="shared" si="24"/>
        <v>0</v>
      </c>
    </row>
    <row r="146" spans="9:14" x14ac:dyDescent="0.25">
      <c r="I146" s="595"/>
      <c r="J146" s="537"/>
      <c r="K146" s="541"/>
      <c r="L146" s="541"/>
      <c r="M146" s="541"/>
      <c r="N146" s="540">
        <f t="shared" si="24"/>
        <v>0</v>
      </c>
    </row>
    <row r="147" spans="9:14" x14ac:dyDescent="0.25">
      <c r="I147" s="595"/>
      <c r="J147" s="537"/>
      <c r="K147" s="541"/>
      <c r="L147" s="541"/>
      <c r="M147" s="541"/>
      <c r="N147" s="540">
        <f t="shared" si="24"/>
        <v>0</v>
      </c>
    </row>
    <row r="148" spans="9:14" x14ac:dyDescent="0.25">
      <c r="I148" s="559" t="s">
        <v>0</v>
      </c>
      <c r="J148" s="534"/>
      <c r="K148" s="542">
        <f>SUM(K143:K147)</f>
        <v>0</v>
      </c>
      <c r="L148" s="543" t="e">
        <f>N148/K148</f>
        <v>#DIV/0!</v>
      </c>
      <c r="M148" s="543"/>
      <c r="N148" s="544">
        <f>SUM(N143:N147)</f>
        <v>0</v>
      </c>
    </row>
    <row r="149" spans="9:14" x14ac:dyDescent="0.25">
      <c r="I149" s="561"/>
      <c r="J149" s="546"/>
      <c r="K149" s="546"/>
      <c r="L149" s="547"/>
      <c r="M149" s="547"/>
      <c r="N149" s="548"/>
    </row>
    <row r="150" spans="9:14" x14ac:dyDescent="0.25">
      <c r="I150" s="558"/>
      <c r="J150" s="534"/>
      <c r="K150" s="253"/>
      <c r="L150" s="535"/>
      <c r="M150" s="535"/>
      <c r="N150" s="536">
        <f t="shared" ref="N150:N152" si="25">K150*(L150+M150)</f>
        <v>0</v>
      </c>
    </row>
    <row r="151" spans="9:14" x14ac:dyDescent="0.25">
      <c r="I151" s="559">
        <f>I144+1</f>
        <v>45617</v>
      </c>
      <c r="J151" s="534"/>
      <c r="K151" s="253"/>
      <c r="L151" s="541"/>
      <c r="M151" s="541"/>
      <c r="N151" s="536">
        <f t="shared" si="25"/>
        <v>0</v>
      </c>
    </row>
    <row r="152" spans="9:14" x14ac:dyDescent="0.25">
      <c r="I152" s="595"/>
      <c r="J152" s="537"/>
      <c r="K152" s="541"/>
      <c r="L152" s="541"/>
      <c r="M152" s="541"/>
      <c r="N152" s="540">
        <f t="shared" si="25"/>
        <v>0</v>
      </c>
    </row>
    <row r="153" spans="9:14" x14ac:dyDescent="0.25">
      <c r="I153" s="559" t="s">
        <v>0</v>
      </c>
      <c r="J153" s="534"/>
      <c r="K153" s="542">
        <f>SUM(K150:K152)</f>
        <v>0</v>
      </c>
      <c r="L153" s="543" t="e">
        <f>N153/K153</f>
        <v>#DIV/0!</v>
      </c>
      <c r="M153" s="543"/>
      <c r="N153" s="544">
        <f>SUM(N150:N152)</f>
        <v>0</v>
      </c>
    </row>
    <row r="154" spans="9:14" x14ac:dyDescent="0.25">
      <c r="I154" s="561"/>
      <c r="J154" s="546"/>
      <c r="K154" s="546"/>
      <c r="L154" s="547"/>
      <c r="M154" s="547"/>
      <c r="N154" s="548"/>
    </row>
    <row r="155" spans="9:14" x14ac:dyDescent="0.25">
      <c r="I155" s="558"/>
      <c r="J155" s="534"/>
      <c r="K155" s="253"/>
      <c r="L155" s="535"/>
      <c r="M155" s="535"/>
      <c r="N155" s="536">
        <f t="shared" ref="N155:N157" si="26">K155*(L155+M155)</f>
        <v>0</v>
      </c>
    </row>
    <row r="156" spans="9:14" x14ac:dyDescent="0.25">
      <c r="I156" s="559">
        <f>I151+1</f>
        <v>45618</v>
      </c>
      <c r="J156" s="534"/>
      <c r="K156" s="253"/>
      <c r="L156" s="541"/>
      <c r="M156" s="541"/>
      <c r="N156" s="536">
        <f t="shared" si="26"/>
        <v>0</v>
      </c>
    </row>
    <row r="157" spans="9:14" x14ac:dyDescent="0.25">
      <c r="I157" s="595"/>
      <c r="J157" s="537"/>
      <c r="K157" s="253"/>
      <c r="L157" s="541"/>
      <c r="M157" s="541"/>
      <c r="N157" s="536">
        <f t="shared" si="26"/>
        <v>0</v>
      </c>
    </row>
    <row r="158" spans="9:14" x14ac:dyDescent="0.25">
      <c r="I158" s="559" t="s">
        <v>0</v>
      </c>
      <c r="J158" s="534"/>
      <c r="K158" s="542">
        <f>SUM(K155:K157)</f>
        <v>0</v>
      </c>
      <c r="L158" s="543" t="e">
        <f>N158/K158</f>
        <v>#DIV/0!</v>
      </c>
      <c r="M158" s="543"/>
      <c r="N158" s="544">
        <f>SUM(N155:N157)</f>
        <v>0</v>
      </c>
    </row>
    <row r="159" spans="9:14" x14ac:dyDescent="0.25">
      <c r="I159" s="561"/>
      <c r="J159" s="546"/>
      <c r="K159" s="546"/>
      <c r="L159" s="547"/>
      <c r="M159" s="547"/>
      <c r="N159" s="548"/>
    </row>
    <row r="160" spans="9:14" x14ac:dyDescent="0.25">
      <c r="I160" s="558"/>
      <c r="J160" s="534"/>
      <c r="K160" s="253"/>
      <c r="L160" s="535"/>
      <c r="M160" s="535"/>
      <c r="N160" s="536">
        <f t="shared" ref="N160:N162" si="27">K160*(L160+M160)</f>
        <v>0</v>
      </c>
    </row>
    <row r="161" spans="9:14" x14ac:dyDescent="0.25">
      <c r="I161" s="559">
        <f>I156+1</f>
        <v>45619</v>
      </c>
      <c r="J161" s="534"/>
      <c r="K161" s="253"/>
      <c r="L161" s="541"/>
      <c r="M161" s="541"/>
      <c r="N161" s="536">
        <f t="shared" si="27"/>
        <v>0</v>
      </c>
    </row>
    <row r="162" spans="9:14" x14ac:dyDescent="0.25">
      <c r="I162" s="560"/>
      <c r="J162" s="537"/>
      <c r="K162" s="541"/>
      <c r="L162" s="541"/>
      <c r="M162" s="541"/>
      <c r="N162" s="540">
        <f t="shared" si="27"/>
        <v>0</v>
      </c>
    </row>
    <row r="163" spans="9:14" x14ac:dyDescent="0.25">
      <c r="I163" s="559" t="s">
        <v>0</v>
      </c>
      <c r="J163" s="534"/>
      <c r="K163" s="542">
        <f>SUM(K160:K162)</f>
        <v>0</v>
      </c>
      <c r="L163" s="543" t="e">
        <f>N163/K163</f>
        <v>#DIV/0!</v>
      </c>
      <c r="M163" s="543"/>
      <c r="N163" s="544">
        <f>SUM(N160:N162)</f>
        <v>0</v>
      </c>
    </row>
    <row r="164" spans="9:14" x14ac:dyDescent="0.25">
      <c r="I164" s="561"/>
      <c r="J164" s="546"/>
      <c r="K164" s="546"/>
      <c r="L164" s="547"/>
      <c r="M164" s="547"/>
      <c r="N164" s="548"/>
    </row>
    <row r="165" spans="9:14" x14ac:dyDescent="0.25">
      <c r="I165" s="558"/>
      <c r="J165" s="534"/>
      <c r="K165" s="253"/>
      <c r="L165" s="535"/>
      <c r="M165" s="535"/>
      <c r="N165" s="536">
        <f t="shared" ref="N165:N168" si="28">K165*(L165+M165)</f>
        <v>0</v>
      </c>
    </row>
    <row r="166" spans="9:14" x14ac:dyDescent="0.25">
      <c r="I166" s="559">
        <f>I161+1</f>
        <v>45620</v>
      </c>
      <c r="J166" s="534"/>
      <c r="K166" s="253"/>
      <c r="L166" s="541"/>
      <c r="M166" s="541"/>
      <c r="N166" s="536">
        <f t="shared" si="28"/>
        <v>0</v>
      </c>
    </row>
    <row r="167" spans="9:14" x14ac:dyDescent="0.25">
      <c r="I167" s="595"/>
      <c r="J167" s="537"/>
      <c r="K167" s="541"/>
      <c r="L167" s="541"/>
      <c r="M167" s="541"/>
      <c r="N167" s="540">
        <f t="shared" si="28"/>
        <v>0</v>
      </c>
    </row>
    <row r="168" spans="9:14" x14ac:dyDescent="0.25">
      <c r="I168" s="560"/>
      <c r="J168" s="537"/>
      <c r="K168" s="541"/>
      <c r="L168" s="541"/>
      <c r="M168" s="541"/>
      <c r="N168" s="540">
        <f t="shared" si="28"/>
        <v>0</v>
      </c>
    </row>
    <row r="169" spans="9:14" x14ac:dyDescent="0.25">
      <c r="I169" s="559" t="s">
        <v>0</v>
      </c>
      <c r="J169" s="534"/>
      <c r="K169" s="542">
        <f>SUM(K165:K168)</f>
        <v>0</v>
      </c>
      <c r="L169" s="543" t="e">
        <f>N169/K169</f>
        <v>#DIV/0!</v>
      </c>
      <c r="M169" s="543"/>
      <c r="N169" s="544">
        <f>SUM(N165:N168)</f>
        <v>0</v>
      </c>
    </row>
    <row r="170" spans="9:14" x14ac:dyDescent="0.25">
      <c r="I170" s="561"/>
      <c r="J170" s="546"/>
      <c r="K170" s="546"/>
      <c r="L170" s="547"/>
      <c r="M170" s="547"/>
      <c r="N170" s="548"/>
    </row>
    <row r="171" spans="9:14" x14ac:dyDescent="0.25">
      <c r="I171" s="558"/>
      <c r="J171" s="534"/>
      <c r="K171" s="253"/>
      <c r="L171" s="535"/>
      <c r="M171" s="535"/>
      <c r="N171" s="536">
        <f t="shared" ref="N171:N176" si="29">K171*(L171+M171)</f>
        <v>0</v>
      </c>
    </row>
    <row r="172" spans="9:14" x14ac:dyDescent="0.25">
      <c r="I172" s="559">
        <f>I166+1</f>
        <v>45621</v>
      </c>
      <c r="J172" s="534"/>
      <c r="K172" s="253"/>
      <c r="L172" s="541"/>
      <c r="M172" s="541"/>
      <c r="N172" s="536">
        <f t="shared" si="29"/>
        <v>0</v>
      </c>
    </row>
    <row r="173" spans="9:14" x14ac:dyDescent="0.25">
      <c r="I173" s="560"/>
      <c r="J173" s="537"/>
      <c r="K173" s="541"/>
      <c r="L173" s="541"/>
      <c r="M173" s="541"/>
      <c r="N173" s="540">
        <f t="shared" si="29"/>
        <v>0</v>
      </c>
    </row>
    <row r="174" spans="9:14" x14ac:dyDescent="0.25">
      <c r="I174" s="560"/>
      <c r="J174" s="537"/>
      <c r="K174" s="541"/>
      <c r="L174" s="541"/>
      <c r="M174" s="541"/>
      <c r="N174" s="540">
        <f t="shared" si="29"/>
        <v>0</v>
      </c>
    </row>
    <row r="175" spans="9:14" x14ac:dyDescent="0.25">
      <c r="I175" s="560"/>
      <c r="J175" s="537"/>
      <c r="K175" s="541"/>
      <c r="L175" s="541"/>
      <c r="M175" s="541"/>
      <c r="N175" s="540">
        <f t="shared" si="29"/>
        <v>0</v>
      </c>
    </row>
    <row r="176" spans="9:14" x14ac:dyDescent="0.25">
      <c r="I176" s="595"/>
      <c r="J176" s="537"/>
      <c r="K176" s="541"/>
      <c r="L176" s="541"/>
      <c r="M176" s="541"/>
      <c r="N176" s="540">
        <f t="shared" si="29"/>
        <v>0</v>
      </c>
    </row>
    <row r="177" spans="9:14" x14ac:dyDescent="0.25">
      <c r="I177" s="559" t="s">
        <v>0</v>
      </c>
      <c r="J177" s="534"/>
      <c r="K177" s="542">
        <f>SUM(K171:K176)</f>
        <v>0</v>
      </c>
      <c r="L177" s="543" t="e">
        <f>N177/K177</f>
        <v>#DIV/0!</v>
      </c>
      <c r="M177" s="543"/>
      <c r="N177" s="544">
        <f>SUM(N171:N176)</f>
        <v>0</v>
      </c>
    </row>
    <row r="178" spans="9:14" x14ac:dyDescent="0.25">
      <c r="I178" s="561"/>
      <c r="J178" s="546"/>
      <c r="K178" s="546"/>
      <c r="L178" s="547"/>
      <c r="M178" s="547"/>
      <c r="N178" s="548"/>
    </row>
    <row r="179" spans="9:14" x14ac:dyDescent="0.25">
      <c r="I179" s="558"/>
      <c r="J179" s="534"/>
      <c r="K179" s="253"/>
      <c r="L179" s="535"/>
      <c r="M179" s="535"/>
      <c r="N179" s="536">
        <f t="shared" ref="N179:N183" si="30">K179*(L179+M179)</f>
        <v>0</v>
      </c>
    </row>
    <row r="180" spans="9:14" x14ac:dyDescent="0.25">
      <c r="I180" s="559">
        <f>I172+1</f>
        <v>45622</v>
      </c>
      <c r="J180" s="534"/>
      <c r="K180" s="253"/>
      <c r="L180" s="541"/>
      <c r="M180" s="541"/>
      <c r="N180" s="536">
        <f t="shared" si="30"/>
        <v>0</v>
      </c>
    </row>
    <row r="181" spans="9:14" x14ac:dyDescent="0.25">
      <c r="I181" s="560"/>
      <c r="J181" s="537"/>
      <c r="K181" s="541"/>
      <c r="L181" s="541"/>
      <c r="M181" s="541"/>
      <c r="N181" s="540">
        <f t="shared" si="30"/>
        <v>0</v>
      </c>
    </row>
    <row r="182" spans="9:14" x14ac:dyDescent="0.25">
      <c r="I182" s="560"/>
      <c r="J182" s="537"/>
      <c r="K182" s="541"/>
      <c r="L182" s="541"/>
      <c r="M182" s="541"/>
      <c r="N182" s="540">
        <f t="shared" si="30"/>
        <v>0</v>
      </c>
    </row>
    <row r="183" spans="9:14" x14ac:dyDescent="0.25">
      <c r="I183" s="560"/>
      <c r="J183" s="537"/>
      <c r="K183" s="541"/>
      <c r="L183" s="541"/>
      <c r="M183" s="541"/>
      <c r="N183" s="540">
        <f t="shared" si="30"/>
        <v>0</v>
      </c>
    </row>
    <row r="184" spans="9:14" x14ac:dyDescent="0.25">
      <c r="I184" s="559" t="s">
        <v>0</v>
      </c>
      <c r="J184" s="534"/>
      <c r="K184" s="542">
        <f>SUM(K179:K183)</f>
        <v>0</v>
      </c>
      <c r="L184" s="543" t="e">
        <f>N184/K184</f>
        <v>#DIV/0!</v>
      </c>
      <c r="M184" s="543"/>
      <c r="N184" s="544">
        <f>SUM(N179:N183)</f>
        <v>0</v>
      </c>
    </row>
    <row r="185" spans="9:14" x14ac:dyDescent="0.25">
      <c r="I185" s="561"/>
      <c r="J185" s="546"/>
      <c r="K185" s="546"/>
      <c r="L185" s="547"/>
      <c r="M185" s="547"/>
      <c r="N185" s="548"/>
    </row>
    <row r="186" spans="9:14" x14ac:dyDescent="0.25">
      <c r="I186" s="558"/>
      <c r="J186" s="534"/>
      <c r="K186" s="555"/>
      <c r="L186" s="556"/>
      <c r="M186" s="556"/>
      <c r="N186" s="536">
        <f t="shared" ref="N186:N190" si="31">K186*(L186+M186)</f>
        <v>0</v>
      </c>
    </row>
    <row r="187" spans="9:14" x14ac:dyDescent="0.25">
      <c r="I187" s="559">
        <f>I180+1</f>
        <v>45623</v>
      </c>
      <c r="J187" s="534"/>
      <c r="K187" s="253"/>
      <c r="L187" s="541"/>
      <c r="M187" s="541"/>
      <c r="N187" s="536">
        <f t="shared" si="31"/>
        <v>0</v>
      </c>
    </row>
    <row r="188" spans="9:14" x14ac:dyDescent="0.25">
      <c r="I188" s="560"/>
      <c r="J188" s="537"/>
      <c r="K188" s="253"/>
      <c r="L188" s="541"/>
      <c r="M188" s="541"/>
      <c r="N188" s="536">
        <f t="shared" si="31"/>
        <v>0</v>
      </c>
    </row>
    <row r="189" spans="9:14" x14ac:dyDescent="0.25">
      <c r="I189" s="560"/>
      <c r="J189" s="537"/>
      <c r="K189" s="541"/>
      <c r="L189" s="541"/>
      <c r="M189" s="541"/>
      <c r="N189" s="540">
        <f t="shared" si="31"/>
        <v>0</v>
      </c>
    </row>
    <row r="190" spans="9:14" x14ac:dyDescent="0.25">
      <c r="I190" s="560"/>
      <c r="J190" s="537"/>
      <c r="K190" s="541"/>
      <c r="L190" s="541"/>
      <c r="M190" s="541"/>
      <c r="N190" s="540">
        <f t="shared" si="31"/>
        <v>0</v>
      </c>
    </row>
    <row r="191" spans="9:14" x14ac:dyDescent="0.25">
      <c r="I191" s="559" t="s">
        <v>0</v>
      </c>
      <c r="J191" s="534"/>
      <c r="K191" s="542">
        <f>SUM(K186:K190)</f>
        <v>0</v>
      </c>
      <c r="L191" s="543" t="e">
        <f>N191/K191</f>
        <v>#DIV/0!</v>
      </c>
      <c r="M191" s="543"/>
      <c r="N191" s="544">
        <f>SUM(N186:N190)</f>
        <v>0</v>
      </c>
    </row>
    <row r="192" spans="9:14" x14ac:dyDescent="0.25">
      <c r="I192" s="561"/>
      <c r="J192" s="546"/>
      <c r="K192" s="546"/>
      <c r="L192" s="547"/>
      <c r="M192" s="547"/>
      <c r="N192" s="548"/>
    </row>
    <row r="193" spans="9:14" x14ac:dyDescent="0.25">
      <c r="I193" s="558"/>
      <c r="J193" s="534"/>
      <c r="K193" s="253"/>
      <c r="L193" s="535"/>
      <c r="M193" s="535"/>
      <c r="N193" s="536">
        <f t="shared" ref="N193:N197" si="32">K193*(L193+M193)</f>
        <v>0</v>
      </c>
    </row>
    <row r="194" spans="9:14" x14ac:dyDescent="0.25">
      <c r="I194" s="559">
        <f>I187+1</f>
        <v>45624</v>
      </c>
      <c r="J194" s="534"/>
      <c r="K194" s="253"/>
      <c r="L194" s="541"/>
      <c r="M194" s="541"/>
      <c r="N194" s="536">
        <f t="shared" si="32"/>
        <v>0</v>
      </c>
    </row>
    <row r="195" spans="9:14" x14ac:dyDescent="0.25">
      <c r="I195" s="560"/>
      <c r="J195" s="537"/>
      <c r="K195" s="541"/>
      <c r="L195" s="541"/>
      <c r="M195" s="541"/>
      <c r="N195" s="540">
        <f t="shared" si="32"/>
        <v>0</v>
      </c>
    </row>
    <row r="196" spans="9:14" x14ac:dyDescent="0.25">
      <c r="I196" s="560"/>
      <c r="J196" s="537"/>
      <c r="K196" s="541"/>
      <c r="L196" s="541"/>
      <c r="M196" s="541"/>
      <c r="N196" s="540">
        <f t="shared" si="32"/>
        <v>0</v>
      </c>
    </row>
    <row r="197" spans="9:14" x14ac:dyDescent="0.25">
      <c r="I197" s="559"/>
      <c r="J197" s="534"/>
      <c r="K197" s="262"/>
      <c r="L197" s="262"/>
      <c r="M197" s="262"/>
      <c r="N197" s="536">
        <f t="shared" si="32"/>
        <v>0</v>
      </c>
    </row>
    <row r="198" spans="9:14" x14ac:dyDescent="0.25">
      <c r="I198" s="559" t="s">
        <v>0</v>
      </c>
      <c r="J198" s="534"/>
      <c r="K198" s="542">
        <f>SUM(K193:K197)</f>
        <v>0</v>
      </c>
      <c r="L198" s="543" t="e">
        <f>N198/K198</f>
        <v>#DIV/0!</v>
      </c>
      <c r="M198" s="543"/>
      <c r="N198" s="544">
        <f>SUM(N193:N197)</f>
        <v>0</v>
      </c>
    </row>
    <row r="199" spans="9:14" x14ac:dyDescent="0.25">
      <c r="I199" s="561"/>
      <c r="J199" s="546"/>
      <c r="K199" s="546"/>
      <c r="L199" s="547"/>
      <c r="M199" s="547"/>
      <c r="N199" s="548"/>
    </row>
    <row r="200" spans="9:14" x14ac:dyDescent="0.25">
      <c r="I200" s="558"/>
      <c r="J200" s="534"/>
      <c r="K200" s="253"/>
      <c r="L200" s="535"/>
      <c r="M200" s="535"/>
      <c r="N200" s="536">
        <f t="shared" ref="N200:N205" si="33">K200*(L200+M200)</f>
        <v>0</v>
      </c>
    </row>
    <row r="201" spans="9:14" x14ac:dyDescent="0.25">
      <c r="I201" s="559">
        <f>I194+1</f>
        <v>45625</v>
      </c>
      <c r="J201" s="534"/>
      <c r="K201" s="253"/>
      <c r="L201" s="541"/>
      <c r="M201" s="541"/>
      <c r="N201" s="536">
        <f t="shared" si="33"/>
        <v>0</v>
      </c>
    </row>
    <row r="202" spans="9:14" x14ac:dyDescent="0.25">
      <c r="I202" s="595"/>
      <c r="J202" s="537"/>
      <c r="K202" s="541"/>
      <c r="L202" s="541"/>
      <c r="M202" s="541"/>
      <c r="N202" s="540">
        <f t="shared" si="33"/>
        <v>0</v>
      </c>
    </row>
    <row r="203" spans="9:14" x14ac:dyDescent="0.25">
      <c r="I203" s="560"/>
      <c r="J203" s="537"/>
      <c r="K203" s="541"/>
      <c r="L203" s="541"/>
      <c r="M203" s="541"/>
      <c r="N203" s="540">
        <f t="shared" si="33"/>
        <v>0</v>
      </c>
    </row>
    <row r="204" spans="9:14" x14ac:dyDescent="0.25">
      <c r="I204" s="560"/>
      <c r="J204" s="537"/>
      <c r="K204" s="541"/>
      <c r="L204" s="541"/>
      <c r="M204" s="541"/>
      <c r="N204" s="540">
        <f t="shared" si="33"/>
        <v>0</v>
      </c>
    </row>
    <row r="205" spans="9:14" x14ac:dyDescent="0.25">
      <c r="I205" s="559"/>
      <c r="J205" s="534"/>
      <c r="K205" s="262"/>
      <c r="L205" s="262"/>
      <c r="M205" s="262"/>
      <c r="N205" s="536">
        <f t="shared" si="33"/>
        <v>0</v>
      </c>
    </row>
    <row r="206" spans="9:14" x14ac:dyDescent="0.25">
      <c r="I206" s="559" t="s">
        <v>0</v>
      </c>
      <c r="J206" s="534"/>
      <c r="K206" s="542">
        <f>SUM(K200:K205)</f>
        <v>0</v>
      </c>
      <c r="L206" s="543" t="e">
        <f>N206/K206</f>
        <v>#DIV/0!</v>
      </c>
      <c r="M206" s="543"/>
      <c r="N206" s="544">
        <f>SUM(N200:N205)</f>
        <v>0</v>
      </c>
    </row>
    <row r="207" spans="9:14" x14ac:dyDescent="0.25">
      <c r="I207" s="561"/>
      <c r="J207" s="546"/>
      <c r="K207" s="546"/>
      <c r="L207" s="547"/>
      <c r="M207" s="547"/>
      <c r="N207" s="548"/>
    </row>
    <row r="208" spans="9:14" x14ac:dyDescent="0.25">
      <c r="I208" s="558"/>
      <c r="J208" s="534"/>
      <c r="K208" s="253"/>
      <c r="L208" s="535"/>
      <c r="M208" s="535"/>
      <c r="N208" s="536">
        <f t="shared" ref="N208:N212" si="34">K208*(L208+M208)</f>
        <v>0</v>
      </c>
    </row>
    <row r="209" spans="9:14" x14ac:dyDescent="0.25">
      <c r="I209" s="559">
        <f>I201+1</f>
        <v>45626</v>
      </c>
      <c r="J209" s="534"/>
      <c r="K209" s="253"/>
      <c r="L209" s="541"/>
      <c r="M209" s="541"/>
      <c r="N209" s="536">
        <f t="shared" si="34"/>
        <v>0</v>
      </c>
    </row>
    <row r="210" spans="9:14" x14ac:dyDescent="0.25">
      <c r="I210" s="560"/>
      <c r="J210" s="537"/>
      <c r="K210" s="541"/>
      <c r="L210" s="541"/>
      <c r="M210" s="541"/>
      <c r="N210" s="540">
        <f t="shared" si="34"/>
        <v>0</v>
      </c>
    </row>
    <row r="211" spans="9:14" x14ac:dyDescent="0.25">
      <c r="I211" s="560"/>
      <c r="J211" s="537"/>
      <c r="K211" s="541"/>
      <c r="L211" s="541"/>
      <c r="M211" s="541"/>
      <c r="N211" s="540">
        <f t="shared" si="34"/>
        <v>0</v>
      </c>
    </row>
    <row r="212" spans="9:14" x14ac:dyDescent="0.25">
      <c r="I212" s="560"/>
      <c r="J212" s="537"/>
      <c r="K212" s="541"/>
      <c r="L212" s="541"/>
      <c r="M212" s="541"/>
      <c r="N212" s="540">
        <f t="shared" si="34"/>
        <v>0</v>
      </c>
    </row>
    <row r="213" spans="9:14" x14ac:dyDescent="0.25">
      <c r="I213" s="559" t="s">
        <v>0</v>
      </c>
      <c r="J213" s="534"/>
      <c r="K213" s="542">
        <f>SUM(K208:K212)</f>
        <v>0</v>
      </c>
      <c r="L213" s="543" t="e">
        <f>N213/K213</f>
        <v>#DIV/0!</v>
      </c>
      <c r="M213" s="543"/>
      <c r="N213" s="544">
        <f>SUM(N208:N212)</f>
        <v>0</v>
      </c>
    </row>
    <row r="214" spans="9:14" x14ac:dyDescent="0.25">
      <c r="I214" s="561"/>
      <c r="J214" s="546"/>
      <c r="K214" s="546"/>
      <c r="L214" s="547"/>
      <c r="M214" s="547"/>
      <c r="N214" s="548"/>
    </row>
    <row r="215" spans="9:14" x14ac:dyDescent="0.25">
      <c r="I215" s="558"/>
      <c r="J215" s="534"/>
      <c r="K215" s="253"/>
      <c r="L215" s="535"/>
      <c r="M215" s="535"/>
      <c r="N215" s="536">
        <f t="shared" ref="N215:N219" si="35">K215*(L215+M215)</f>
        <v>0</v>
      </c>
    </row>
    <row r="216" spans="9:14" x14ac:dyDescent="0.25">
      <c r="I216" s="559">
        <f>I209+1</f>
        <v>45627</v>
      </c>
      <c r="J216" s="534"/>
      <c r="K216" s="253"/>
      <c r="L216" s="541"/>
      <c r="M216" s="541"/>
      <c r="N216" s="536">
        <f t="shared" si="35"/>
        <v>0</v>
      </c>
    </row>
    <row r="217" spans="9:14" x14ac:dyDescent="0.25">
      <c r="I217" s="560"/>
      <c r="J217" s="537"/>
      <c r="K217" s="541"/>
      <c r="L217" s="541"/>
      <c r="M217" s="541"/>
      <c r="N217" s="540">
        <f t="shared" si="35"/>
        <v>0</v>
      </c>
    </row>
    <row r="218" spans="9:14" x14ac:dyDescent="0.25">
      <c r="I218" s="560"/>
      <c r="J218" s="537"/>
      <c r="K218" s="541"/>
      <c r="L218" s="541"/>
      <c r="M218" s="541"/>
      <c r="N218" s="540">
        <f t="shared" si="35"/>
        <v>0</v>
      </c>
    </row>
    <row r="219" spans="9:14" x14ac:dyDescent="0.25">
      <c r="I219" s="560"/>
      <c r="J219" s="537"/>
      <c r="K219" s="541"/>
      <c r="L219" s="541"/>
      <c r="M219" s="541"/>
      <c r="N219" s="540">
        <f t="shared" si="35"/>
        <v>0</v>
      </c>
    </row>
    <row r="220" spans="9:14" x14ac:dyDescent="0.25">
      <c r="I220" s="559" t="s">
        <v>0</v>
      </c>
      <c r="J220" s="534"/>
      <c r="K220" s="542">
        <f>SUM(K215:K219)</f>
        <v>0</v>
      </c>
      <c r="L220" s="543" t="e">
        <f>N220/K220</f>
        <v>#DIV/0!</v>
      </c>
      <c r="M220" s="543"/>
      <c r="N220" s="544">
        <f>SUM(N215:N219)</f>
        <v>0</v>
      </c>
    </row>
  </sheetData>
  <mergeCells count="3">
    <mergeCell ref="B2:F2"/>
    <mergeCell ref="J3:L3"/>
    <mergeCell ref="N3:N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K69"/>
  <sheetViews>
    <sheetView workbookViewId="0">
      <pane ySplit="2" topLeftCell="A36" activePane="bottomLeft" state="frozen"/>
      <selection pane="bottomLeft" activeCell="A59" sqref="A59"/>
    </sheetView>
  </sheetViews>
  <sheetFormatPr defaultRowHeight="15" x14ac:dyDescent="0.25"/>
  <cols>
    <col min="1" max="1" width="30.28515625" customWidth="1"/>
    <col min="2" max="2" width="10.42578125" bestFit="1" customWidth="1"/>
    <col min="3" max="3" width="11.5703125" bestFit="1" customWidth="1"/>
    <col min="4" max="5" width="9.28515625" bestFit="1" customWidth="1"/>
    <col min="6" max="6" width="10.42578125" bestFit="1" customWidth="1"/>
    <col min="7" max="7" width="9.7109375" customWidth="1"/>
    <col min="8" max="8" width="8.140625" customWidth="1"/>
    <col min="257" max="257" width="30.28515625" customWidth="1"/>
    <col min="258" max="258" width="10.42578125" bestFit="1" customWidth="1"/>
    <col min="259" max="259" width="11.5703125" bestFit="1" customWidth="1"/>
    <col min="260" max="261" width="9.28515625" bestFit="1" customWidth="1"/>
    <col min="262" max="262" width="10.42578125" bestFit="1" customWidth="1"/>
    <col min="263" max="263" width="9.7109375" customWidth="1"/>
    <col min="264" max="264" width="8.140625" customWidth="1"/>
    <col min="513" max="513" width="30.28515625" customWidth="1"/>
    <col min="514" max="514" width="10.42578125" bestFit="1" customWidth="1"/>
    <col min="515" max="515" width="11.5703125" bestFit="1" customWidth="1"/>
    <col min="516" max="517" width="9.28515625" bestFit="1" customWidth="1"/>
    <col min="518" max="518" width="10.42578125" bestFit="1" customWidth="1"/>
    <col min="519" max="519" width="9.7109375" customWidth="1"/>
    <col min="520" max="520" width="8.140625" customWidth="1"/>
    <col min="769" max="769" width="30.28515625" customWidth="1"/>
    <col min="770" max="770" width="10.42578125" bestFit="1" customWidth="1"/>
    <col min="771" max="771" width="11.5703125" bestFit="1" customWidth="1"/>
    <col min="772" max="773" width="9.28515625" bestFit="1" customWidth="1"/>
    <col min="774" max="774" width="10.42578125" bestFit="1" customWidth="1"/>
    <col min="775" max="775" width="9.7109375" customWidth="1"/>
    <col min="776" max="776" width="8.140625" customWidth="1"/>
    <col min="1025" max="1025" width="30.28515625" customWidth="1"/>
    <col min="1026" max="1026" width="10.42578125" bestFit="1" customWidth="1"/>
    <col min="1027" max="1027" width="11.5703125" bestFit="1" customWidth="1"/>
    <col min="1028" max="1029" width="9.28515625" bestFit="1" customWidth="1"/>
    <col min="1030" max="1030" width="10.42578125" bestFit="1" customWidth="1"/>
    <col min="1031" max="1031" width="9.7109375" customWidth="1"/>
    <col min="1032" max="1032" width="8.140625" customWidth="1"/>
    <col min="1281" max="1281" width="30.28515625" customWidth="1"/>
    <col min="1282" max="1282" width="10.42578125" bestFit="1" customWidth="1"/>
    <col min="1283" max="1283" width="11.5703125" bestFit="1" customWidth="1"/>
    <col min="1284" max="1285" width="9.28515625" bestFit="1" customWidth="1"/>
    <col min="1286" max="1286" width="10.42578125" bestFit="1" customWidth="1"/>
    <col min="1287" max="1287" width="9.7109375" customWidth="1"/>
    <col min="1288" max="1288" width="8.140625" customWidth="1"/>
    <col min="1537" max="1537" width="30.28515625" customWidth="1"/>
    <col min="1538" max="1538" width="10.42578125" bestFit="1" customWidth="1"/>
    <col min="1539" max="1539" width="11.5703125" bestFit="1" customWidth="1"/>
    <col min="1540" max="1541" width="9.28515625" bestFit="1" customWidth="1"/>
    <col min="1542" max="1542" width="10.42578125" bestFit="1" customWidth="1"/>
    <col min="1543" max="1543" width="9.7109375" customWidth="1"/>
    <col min="1544" max="1544" width="8.140625" customWidth="1"/>
    <col min="1793" max="1793" width="30.28515625" customWidth="1"/>
    <col min="1794" max="1794" width="10.42578125" bestFit="1" customWidth="1"/>
    <col min="1795" max="1795" width="11.5703125" bestFit="1" customWidth="1"/>
    <col min="1796" max="1797" width="9.28515625" bestFit="1" customWidth="1"/>
    <col min="1798" max="1798" width="10.42578125" bestFit="1" customWidth="1"/>
    <col min="1799" max="1799" width="9.7109375" customWidth="1"/>
    <col min="1800" max="1800" width="8.140625" customWidth="1"/>
    <col min="2049" max="2049" width="30.28515625" customWidth="1"/>
    <col min="2050" max="2050" width="10.42578125" bestFit="1" customWidth="1"/>
    <col min="2051" max="2051" width="11.5703125" bestFit="1" customWidth="1"/>
    <col min="2052" max="2053" width="9.28515625" bestFit="1" customWidth="1"/>
    <col min="2054" max="2054" width="10.42578125" bestFit="1" customWidth="1"/>
    <col min="2055" max="2055" width="9.7109375" customWidth="1"/>
    <col min="2056" max="2056" width="8.140625" customWidth="1"/>
    <col min="2305" max="2305" width="30.28515625" customWidth="1"/>
    <col min="2306" max="2306" width="10.42578125" bestFit="1" customWidth="1"/>
    <col min="2307" max="2307" width="11.5703125" bestFit="1" customWidth="1"/>
    <col min="2308" max="2309" width="9.28515625" bestFit="1" customWidth="1"/>
    <col min="2310" max="2310" width="10.42578125" bestFit="1" customWidth="1"/>
    <col min="2311" max="2311" width="9.7109375" customWidth="1"/>
    <col min="2312" max="2312" width="8.140625" customWidth="1"/>
    <col min="2561" max="2561" width="30.28515625" customWidth="1"/>
    <col min="2562" max="2562" width="10.42578125" bestFit="1" customWidth="1"/>
    <col min="2563" max="2563" width="11.5703125" bestFit="1" customWidth="1"/>
    <col min="2564" max="2565" width="9.28515625" bestFit="1" customWidth="1"/>
    <col min="2566" max="2566" width="10.42578125" bestFit="1" customWidth="1"/>
    <col min="2567" max="2567" width="9.7109375" customWidth="1"/>
    <col min="2568" max="2568" width="8.140625" customWidth="1"/>
    <col min="2817" max="2817" width="30.28515625" customWidth="1"/>
    <col min="2818" max="2818" width="10.42578125" bestFit="1" customWidth="1"/>
    <col min="2819" max="2819" width="11.5703125" bestFit="1" customWidth="1"/>
    <col min="2820" max="2821" width="9.28515625" bestFit="1" customWidth="1"/>
    <col min="2822" max="2822" width="10.42578125" bestFit="1" customWidth="1"/>
    <col min="2823" max="2823" width="9.7109375" customWidth="1"/>
    <col min="2824" max="2824" width="8.140625" customWidth="1"/>
    <col min="3073" max="3073" width="30.28515625" customWidth="1"/>
    <col min="3074" max="3074" width="10.42578125" bestFit="1" customWidth="1"/>
    <col min="3075" max="3075" width="11.5703125" bestFit="1" customWidth="1"/>
    <col min="3076" max="3077" width="9.28515625" bestFit="1" customWidth="1"/>
    <col min="3078" max="3078" width="10.42578125" bestFit="1" customWidth="1"/>
    <col min="3079" max="3079" width="9.7109375" customWidth="1"/>
    <col min="3080" max="3080" width="8.140625" customWidth="1"/>
    <col min="3329" max="3329" width="30.28515625" customWidth="1"/>
    <col min="3330" max="3330" width="10.42578125" bestFit="1" customWidth="1"/>
    <col min="3331" max="3331" width="11.5703125" bestFit="1" customWidth="1"/>
    <col min="3332" max="3333" width="9.28515625" bestFit="1" customWidth="1"/>
    <col min="3334" max="3334" width="10.42578125" bestFit="1" customWidth="1"/>
    <col min="3335" max="3335" width="9.7109375" customWidth="1"/>
    <col min="3336" max="3336" width="8.140625" customWidth="1"/>
    <col min="3585" max="3585" width="30.28515625" customWidth="1"/>
    <col min="3586" max="3586" width="10.42578125" bestFit="1" customWidth="1"/>
    <col min="3587" max="3587" width="11.5703125" bestFit="1" customWidth="1"/>
    <col min="3588" max="3589" width="9.28515625" bestFit="1" customWidth="1"/>
    <col min="3590" max="3590" width="10.42578125" bestFit="1" customWidth="1"/>
    <col min="3591" max="3591" width="9.7109375" customWidth="1"/>
    <col min="3592" max="3592" width="8.140625" customWidth="1"/>
    <col min="3841" max="3841" width="30.28515625" customWidth="1"/>
    <col min="3842" max="3842" width="10.42578125" bestFit="1" customWidth="1"/>
    <col min="3843" max="3843" width="11.5703125" bestFit="1" customWidth="1"/>
    <col min="3844" max="3845" width="9.28515625" bestFit="1" customWidth="1"/>
    <col min="3846" max="3846" width="10.42578125" bestFit="1" customWidth="1"/>
    <col min="3847" max="3847" width="9.7109375" customWidth="1"/>
    <col min="3848" max="3848" width="8.140625" customWidth="1"/>
    <col min="4097" max="4097" width="30.28515625" customWidth="1"/>
    <col min="4098" max="4098" width="10.42578125" bestFit="1" customWidth="1"/>
    <col min="4099" max="4099" width="11.5703125" bestFit="1" customWidth="1"/>
    <col min="4100" max="4101" width="9.28515625" bestFit="1" customWidth="1"/>
    <col min="4102" max="4102" width="10.42578125" bestFit="1" customWidth="1"/>
    <col min="4103" max="4103" width="9.7109375" customWidth="1"/>
    <col min="4104" max="4104" width="8.140625" customWidth="1"/>
    <col min="4353" max="4353" width="30.28515625" customWidth="1"/>
    <col min="4354" max="4354" width="10.42578125" bestFit="1" customWidth="1"/>
    <col min="4355" max="4355" width="11.5703125" bestFit="1" customWidth="1"/>
    <col min="4356" max="4357" width="9.28515625" bestFit="1" customWidth="1"/>
    <col min="4358" max="4358" width="10.42578125" bestFit="1" customWidth="1"/>
    <col min="4359" max="4359" width="9.7109375" customWidth="1"/>
    <col min="4360" max="4360" width="8.140625" customWidth="1"/>
    <col min="4609" max="4609" width="30.28515625" customWidth="1"/>
    <col min="4610" max="4610" width="10.42578125" bestFit="1" customWidth="1"/>
    <col min="4611" max="4611" width="11.5703125" bestFit="1" customWidth="1"/>
    <col min="4612" max="4613" width="9.28515625" bestFit="1" customWidth="1"/>
    <col min="4614" max="4614" width="10.42578125" bestFit="1" customWidth="1"/>
    <col min="4615" max="4615" width="9.7109375" customWidth="1"/>
    <col min="4616" max="4616" width="8.140625" customWidth="1"/>
    <col min="4865" max="4865" width="30.28515625" customWidth="1"/>
    <col min="4866" max="4866" width="10.42578125" bestFit="1" customWidth="1"/>
    <col min="4867" max="4867" width="11.5703125" bestFit="1" customWidth="1"/>
    <col min="4868" max="4869" width="9.28515625" bestFit="1" customWidth="1"/>
    <col min="4870" max="4870" width="10.42578125" bestFit="1" customWidth="1"/>
    <col min="4871" max="4871" width="9.7109375" customWidth="1"/>
    <col min="4872" max="4872" width="8.140625" customWidth="1"/>
    <col min="5121" max="5121" width="30.28515625" customWidth="1"/>
    <col min="5122" max="5122" width="10.42578125" bestFit="1" customWidth="1"/>
    <col min="5123" max="5123" width="11.5703125" bestFit="1" customWidth="1"/>
    <col min="5124" max="5125" width="9.28515625" bestFit="1" customWidth="1"/>
    <col min="5126" max="5126" width="10.42578125" bestFit="1" customWidth="1"/>
    <col min="5127" max="5127" width="9.7109375" customWidth="1"/>
    <col min="5128" max="5128" width="8.140625" customWidth="1"/>
    <col min="5377" max="5377" width="30.28515625" customWidth="1"/>
    <col min="5378" max="5378" width="10.42578125" bestFit="1" customWidth="1"/>
    <col min="5379" max="5379" width="11.5703125" bestFit="1" customWidth="1"/>
    <col min="5380" max="5381" width="9.28515625" bestFit="1" customWidth="1"/>
    <col min="5382" max="5382" width="10.42578125" bestFit="1" customWidth="1"/>
    <col min="5383" max="5383" width="9.7109375" customWidth="1"/>
    <col min="5384" max="5384" width="8.140625" customWidth="1"/>
    <col min="5633" max="5633" width="30.28515625" customWidth="1"/>
    <col min="5634" max="5634" width="10.42578125" bestFit="1" customWidth="1"/>
    <col min="5635" max="5635" width="11.5703125" bestFit="1" customWidth="1"/>
    <col min="5636" max="5637" width="9.28515625" bestFit="1" customWidth="1"/>
    <col min="5638" max="5638" width="10.42578125" bestFit="1" customWidth="1"/>
    <col min="5639" max="5639" width="9.7109375" customWidth="1"/>
    <col min="5640" max="5640" width="8.140625" customWidth="1"/>
    <col min="5889" max="5889" width="30.28515625" customWidth="1"/>
    <col min="5890" max="5890" width="10.42578125" bestFit="1" customWidth="1"/>
    <col min="5891" max="5891" width="11.5703125" bestFit="1" customWidth="1"/>
    <col min="5892" max="5893" width="9.28515625" bestFit="1" customWidth="1"/>
    <col min="5894" max="5894" width="10.42578125" bestFit="1" customWidth="1"/>
    <col min="5895" max="5895" width="9.7109375" customWidth="1"/>
    <col min="5896" max="5896" width="8.140625" customWidth="1"/>
    <col min="6145" max="6145" width="30.28515625" customWidth="1"/>
    <col min="6146" max="6146" width="10.42578125" bestFit="1" customWidth="1"/>
    <col min="6147" max="6147" width="11.5703125" bestFit="1" customWidth="1"/>
    <col min="6148" max="6149" width="9.28515625" bestFit="1" customWidth="1"/>
    <col min="6150" max="6150" width="10.42578125" bestFit="1" customWidth="1"/>
    <col min="6151" max="6151" width="9.7109375" customWidth="1"/>
    <col min="6152" max="6152" width="8.140625" customWidth="1"/>
    <col min="6401" max="6401" width="30.28515625" customWidth="1"/>
    <col min="6402" max="6402" width="10.42578125" bestFit="1" customWidth="1"/>
    <col min="6403" max="6403" width="11.5703125" bestFit="1" customWidth="1"/>
    <col min="6404" max="6405" width="9.28515625" bestFit="1" customWidth="1"/>
    <col min="6406" max="6406" width="10.42578125" bestFit="1" customWidth="1"/>
    <col min="6407" max="6407" width="9.7109375" customWidth="1"/>
    <col min="6408" max="6408" width="8.140625" customWidth="1"/>
    <col min="6657" max="6657" width="30.28515625" customWidth="1"/>
    <col min="6658" max="6658" width="10.42578125" bestFit="1" customWidth="1"/>
    <col min="6659" max="6659" width="11.5703125" bestFit="1" customWidth="1"/>
    <col min="6660" max="6661" width="9.28515625" bestFit="1" customWidth="1"/>
    <col min="6662" max="6662" width="10.42578125" bestFit="1" customWidth="1"/>
    <col min="6663" max="6663" width="9.7109375" customWidth="1"/>
    <col min="6664" max="6664" width="8.140625" customWidth="1"/>
    <col min="6913" max="6913" width="30.28515625" customWidth="1"/>
    <col min="6914" max="6914" width="10.42578125" bestFit="1" customWidth="1"/>
    <col min="6915" max="6915" width="11.5703125" bestFit="1" customWidth="1"/>
    <col min="6916" max="6917" width="9.28515625" bestFit="1" customWidth="1"/>
    <col min="6918" max="6918" width="10.42578125" bestFit="1" customWidth="1"/>
    <col min="6919" max="6919" width="9.7109375" customWidth="1"/>
    <col min="6920" max="6920" width="8.140625" customWidth="1"/>
    <col min="7169" max="7169" width="30.28515625" customWidth="1"/>
    <col min="7170" max="7170" width="10.42578125" bestFit="1" customWidth="1"/>
    <col min="7171" max="7171" width="11.5703125" bestFit="1" customWidth="1"/>
    <col min="7172" max="7173" width="9.28515625" bestFit="1" customWidth="1"/>
    <col min="7174" max="7174" width="10.42578125" bestFit="1" customWidth="1"/>
    <col min="7175" max="7175" width="9.7109375" customWidth="1"/>
    <col min="7176" max="7176" width="8.140625" customWidth="1"/>
    <col min="7425" max="7425" width="30.28515625" customWidth="1"/>
    <col min="7426" max="7426" width="10.42578125" bestFit="1" customWidth="1"/>
    <col min="7427" max="7427" width="11.5703125" bestFit="1" customWidth="1"/>
    <col min="7428" max="7429" width="9.28515625" bestFit="1" customWidth="1"/>
    <col min="7430" max="7430" width="10.42578125" bestFit="1" customWidth="1"/>
    <col min="7431" max="7431" width="9.7109375" customWidth="1"/>
    <col min="7432" max="7432" width="8.140625" customWidth="1"/>
    <col min="7681" max="7681" width="30.28515625" customWidth="1"/>
    <col min="7682" max="7682" width="10.42578125" bestFit="1" customWidth="1"/>
    <col min="7683" max="7683" width="11.5703125" bestFit="1" customWidth="1"/>
    <col min="7684" max="7685" width="9.28515625" bestFit="1" customWidth="1"/>
    <col min="7686" max="7686" width="10.42578125" bestFit="1" customWidth="1"/>
    <col min="7687" max="7687" width="9.7109375" customWidth="1"/>
    <col min="7688" max="7688" width="8.140625" customWidth="1"/>
    <col min="7937" max="7937" width="30.28515625" customWidth="1"/>
    <col min="7938" max="7938" width="10.42578125" bestFit="1" customWidth="1"/>
    <col min="7939" max="7939" width="11.5703125" bestFit="1" customWidth="1"/>
    <col min="7940" max="7941" width="9.28515625" bestFit="1" customWidth="1"/>
    <col min="7942" max="7942" width="10.42578125" bestFit="1" customWidth="1"/>
    <col min="7943" max="7943" width="9.7109375" customWidth="1"/>
    <col min="7944" max="7944" width="8.140625" customWidth="1"/>
    <col min="8193" max="8193" width="30.28515625" customWidth="1"/>
    <col min="8194" max="8194" width="10.42578125" bestFit="1" customWidth="1"/>
    <col min="8195" max="8195" width="11.5703125" bestFit="1" customWidth="1"/>
    <col min="8196" max="8197" width="9.28515625" bestFit="1" customWidth="1"/>
    <col min="8198" max="8198" width="10.42578125" bestFit="1" customWidth="1"/>
    <col min="8199" max="8199" width="9.7109375" customWidth="1"/>
    <col min="8200" max="8200" width="8.140625" customWidth="1"/>
    <col min="8449" max="8449" width="30.28515625" customWidth="1"/>
    <col min="8450" max="8450" width="10.42578125" bestFit="1" customWidth="1"/>
    <col min="8451" max="8451" width="11.5703125" bestFit="1" customWidth="1"/>
    <col min="8452" max="8453" width="9.28515625" bestFit="1" customWidth="1"/>
    <col min="8454" max="8454" width="10.42578125" bestFit="1" customWidth="1"/>
    <col min="8455" max="8455" width="9.7109375" customWidth="1"/>
    <col min="8456" max="8456" width="8.140625" customWidth="1"/>
    <col min="8705" max="8705" width="30.28515625" customWidth="1"/>
    <col min="8706" max="8706" width="10.42578125" bestFit="1" customWidth="1"/>
    <col min="8707" max="8707" width="11.5703125" bestFit="1" customWidth="1"/>
    <col min="8708" max="8709" width="9.28515625" bestFit="1" customWidth="1"/>
    <col min="8710" max="8710" width="10.42578125" bestFit="1" customWidth="1"/>
    <col min="8711" max="8711" width="9.7109375" customWidth="1"/>
    <col min="8712" max="8712" width="8.140625" customWidth="1"/>
    <col min="8961" max="8961" width="30.28515625" customWidth="1"/>
    <col min="8962" max="8962" width="10.42578125" bestFit="1" customWidth="1"/>
    <col min="8963" max="8963" width="11.5703125" bestFit="1" customWidth="1"/>
    <col min="8964" max="8965" width="9.28515625" bestFit="1" customWidth="1"/>
    <col min="8966" max="8966" width="10.42578125" bestFit="1" customWidth="1"/>
    <col min="8967" max="8967" width="9.7109375" customWidth="1"/>
    <col min="8968" max="8968" width="8.140625" customWidth="1"/>
    <col min="9217" max="9217" width="30.28515625" customWidth="1"/>
    <col min="9218" max="9218" width="10.42578125" bestFit="1" customWidth="1"/>
    <col min="9219" max="9219" width="11.5703125" bestFit="1" customWidth="1"/>
    <col min="9220" max="9221" width="9.28515625" bestFit="1" customWidth="1"/>
    <col min="9222" max="9222" width="10.42578125" bestFit="1" customWidth="1"/>
    <col min="9223" max="9223" width="9.7109375" customWidth="1"/>
    <col min="9224" max="9224" width="8.140625" customWidth="1"/>
    <col min="9473" max="9473" width="30.28515625" customWidth="1"/>
    <col min="9474" max="9474" width="10.42578125" bestFit="1" customWidth="1"/>
    <col min="9475" max="9475" width="11.5703125" bestFit="1" customWidth="1"/>
    <col min="9476" max="9477" width="9.28515625" bestFit="1" customWidth="1"/>
    <col min="9478" max="9478" width="10.42578125" bestFit="1" customWidth="1"/>
    <col min="9479" max="9479" width="9.7109375" customWidth="1"/>
    <col min="9480" max="9480" width="8.140625" customWidth="1"/>
    <col min="9729" max="9729" width="30.28515625" customWidth="1"/>
    <col min="9730" max="9730" width="10.42578125" bestFit="1" customWidth="1"/>
    <col min="9731" max="9731" width="11.5703125" bestFit="1" customWidth="1"/>
    <col min="9732" max="9733" width="9.28515625" bestFit="1" customWidth="1"/>
    <col min="9734" max="9734" width="10.42578125" bestFit="1" customWidth="1"/>
    <col min="9735" max="9735" width="9.7109375" customWidth="1"/>
    <col min="9736" max="9736" width="8.140625" customWidth="1"/>
    <col min="9985" max="9985" width="30.28515625" customWidth="1"/>
    <col min="9986" max="9986" width="10.42578125" bestFit="1" customWidth="1"/>
    <col min="9987" max="9987" width="11.5703125" bestFit="1" customWidth="1"/>
    <col min="9988" max="9989" width="9.28515625" bestFit="1" customWidth="1"/>
    <col min="9990" max="9990" width="10.42578125" bestFit="1" customWidth="1"/>
    <col min="9991" max="9991" width="9.7109375" customWidth="1"/>
    <col min="9992" max="9992" width="8.140625" customWidth="1"/>
    <col min="10241" max="10241" width="30.28515625" customWidth="1"/>
    <col min="10242" max="10242" width="10.42578125" bestFit="1" customWidth="1"/>
    <col min="10243" max="10243" width="11.5703125" bestFit="1" customWidth="1"/>
    <col min="10244" max="10245" width="9.28515625" bestFit="1" customWidth="1"/>
    <col min="10246" max="10246" width="10.42578125" bestFit="1" customWidth="1"/>
    <col min="10247" max="10247" width="9.7109375" customWidth="1"/>
    <col min="10248" max="10248" width="8.140625" customWidth="1"/>
    <col min="10497" max="10497" width="30.28515625" customWidth="1"/>
    <col min="10498" max="10498" width="10.42578125" bestFit="1" customWidth="1"/>
    <col min="10499" max="10499" width="11.5703125" bestFit="1" customWidth="1"/>
    <col min="10500" max="10501" width="9.28515625" bestFit="1" customWidth="1"/>
    <col min="10502" max="10502" width="10.42578125" bestFit="1" customWidth="1"/>
    <col min="10503" max="10503" width="9.7109375" customWidth="1"/>
    <col min="10504" max="10504" width="8.140625" customWidth="1"/>
    <col min="10753" max="10753" width="30.28515625" customWidth="1"/>
    <col min="10754" max="10754" width="10.42578125" bestFit="1" customWidth="1"/>
    <col min="10755" max="10755" width="11.5703125" bestFit="1" customWidth="1"/>
    <col min="10756" max="10757" width="9.28515625" bestFit="1" customWidth="1"/>
    <col min="10758" max="10758" width="10.42578125" bestFit="1" customWidth="1"/>
    <col min="10759" max="10759" width="9.7109375" customWidth="1"/>
    <col min="10760" max="10760" width="8.140625" customWidth="1"/>
    <col min="11009" max="11009" width="30.28515625" customWidth="1"/>
    <col min="11010" max="11010" width="10.42578125" bestFit="1" customWidth="1"/>
    <col min="11011" max="11011" width="11.5703125" bestFit="1" customWidth="1"/>
    <col min="11012" max="11013" width="9.28515625" bestFit="1" customWidth="1"/>
    <col min="11014" max="11014" width="10.42578125" bestFit="1" customWidth="1"/>
    <col min="11015" max="11015" width="9.7109375" customWidth="1"/>
    <col min="11016" max="11016" width="8.140625" customWidth="1"/>
    <col min="11265" max="11265" width="30.28515625" customWidth="1"/>
    <col min="11266" max="11266" width="10.42578125" bestFit="1" customWidth="1"/>
    <col min="11267" max="11267" width="11.5703125" bestFit="1" customWidth="1"/>
    <col min="11268" max="11269" width="9.28515625" bestFit="1" customWidth="1"/>
    <col min="11270" max="11270" width="10.42578125" bestFit="1" customWidth="1"/>
    <col min="11271" max="11271" width="9.7109375" customWidth="1"/>
    <col min="11272" max="11272" width="8.140625" customWidth="1"/>
    <col min="11521" max="11521" width="30.28515625" customWidth="1"/>
    <col min="11522" max="11522" width="10.42578125" bestFit="1" customWidth="1"/>
    <col min="11523" max="11523" width="11.5703125" bestFit="1" customWidth="1"/>
    <col min="11524" max="11525" width="9.28515625" bestFit="1" customWidth="1"/>
    <col min="11526" max="11526" width="10.42578125" bestFit="1" customWidth="1"/>
    <col min="11527" max="11527" width="9.7109375" customWidth="1"/>
    <col min="11528" max="11528" width="8.140625" customWidth="1"/>
    <col min="11777" max="11777" width="30.28515625" customWidth="1"/>
    <col min="11778" max="11778" width="10.42578125" bestFit="1" customWidth="1"/>
    <col min="11779" max="11779" width="11.5703125" bestFit="1" customWidth="1"/>
    <col min="11780" max="11781" width="9.28515625" bestFit="1" customWidth="1"/>
    <col min="11782" max="11782" width="10.42578125" bestFit="1" customWidth="1"/>
    <col min="11783" max="11783" width="9.7109375" customWidth="1"/>
    <col min="11784" max="11784" width="8.140625" customWidth="1"/>
    <col min="12033" max="12033" width="30.28515625" customWidth="1"/>
    <col min="12034" max="12034" width="10.42578125" bestFit="1" customWidth="1"/>
    <col min="12035" max="12035" width="11.5703125" bestFit="1" customWidth="1"/>
    <col min="12036" max="12037" width="9.28515625" bestFit="1" customWidth="1"/>
    <col min="12038" max="12038" width="10.42578125" bestFit="1" customWidth="1"/>
    <col min="12039" max="12039" width="9.7109375" customWidth="1"/>
    <col min="12040" max="12040" width="8.140625" customWidth="1"/>
    <col min="12289" max="12289" width="30.28515625" customWidth="1"/>
    <col min="12290" max="12290" width="10.42578125" bestFit="1" customWidth="1"/>
    <col min="12291" max="12291" width="11.5703125" bestFit="1" customWidth="1"/>
    <col min="12292" max="12293" width="9.28515625" bestFit="1" customWidth="1"/>
    <col min="12294" max="12294" width="10.42578125" bestFit="1" customWidth="1"/>
    <col min="12295" max="12295" width="9.7109375" customWidth="1"/>
    <col min="12296" max="12296" width="8.140625" customWidth="1"/>
    <col min="12545" max="12545" width="30.28515625" customWidth="1"/>
    <col min="12546" max="12546" width="10.42578125" bestFit="1" customWidth="1"/>
    <col min="12547" max="12547" width="11.5703125" bestFit="1" customWidth="1"/>
    <col min="12548" max="12549" width="9.28515625" bestFit="1" customWidth="1"/>
    <col min="12550" max="12550" width="10.42578125" bestFit="1" customWidth="1"/>
    <col min="12551" max="12551" width="9.7109375" customWidth="1"/>
    <col min="12552" max="12552" width="8.140625" customWidth="1"/>
    <col min="12801" max="12801" width="30.28515625" customWidth="1"/>
    <col min="12802" max="12802" width="10.42578125" bestFit="1" customWidth="1"/>
    <col min="12803" max="12803" width="11.5703125" bestFit="1" customWidth="1"/>
    <col min="12804" max="12805" width="9.28515625" bestFit="1" customWidth="1"/>
    <col min="12806" max="12806" width="10.42578125" bestFit="1" customWidth="1"/>
    <col min="12807" max="12807" width="9.7109375" customWidth="1"/>
    <col min="12808" max="12808" width="8.140625" customWidth="1"/>
    <col min="13057" max="13057" width="30.28515625" customWidth="1"/>
    <col min="13058" max="13058" width="10.42578125" bestFit="1" customWidth="1"/>
    <col min="13059" max="13059" width="11.5703125" bestFit="1" customWidth="1"/>
    <col min="13060" max="13061" width="9.28515625" bestFit="1" customWidth="1"/>
    <col min="13062" max="13062" width="10.42578125" bestFit="1" customWidth="1"/>
    <col min="13063" max="13063" width="9.7109375" customWidth="1"/>
    <col min="13064" max="13064" width="8.140625" customWidth="1"/>
    <col min="13313" max="13313" width="30.28515625" customWidth="1"/>
    <col min="13314" max="13314" width="10.42578125" bestFit="1" customWidth="1"/>
    <col min="13315" max="13315" width="11.5703125" bestFit="1" customWidth="1"/>
    <col min="13316" max="13317" width="9.28515625" bestFit="1" customWidth="1"/>
    <col min="13318" max="13318" width="10.42578125" bestFit="1" customWidth="1"/>
    <col min="13319" max="13319" width="9.7109375" customWidth="1"/>
    <col min="13320" max="13320" width="8.140625" customWidth="1"/>
    <col min="13569" max="13569" width="30.28515625" customWidth="1"/>
    <col min="13570" max="13570" width="10.42578125" bestFit="1" customWidth="1"/>
    <col min="13571" max="13571" width="11.5703125" bestFit="1" customWidth="1"/>
    <col min="13572" max="13573" width="9.28515625" bestFit="1" customWidth="1"/>
    <col min="13574" max="13574" width="10.42578125" bestFit="1" customWidth="1"/>
    <col min="13575" max="13575" width="9.7109375" customWidth="1"/>
    <col min="13576" max="13576" width="8.140625" customWidth="1"/>
    <col min="13825" max="13825" width="30.28515625" customWidth="1"/>
    <col min="13826" max="13826" width="10.42578125" bestFit="1" customWidth="1"/>
    <col min="13827" max="13827" width="11.5703125" bestFit="1" customWidth="1"/>
    <col min="13828" max="13829" width="9.28515625" bestFit="1" customWidth="1"/>
    <col min="13830" max="13830" width="10.42578125" bestFit="1" customWidth="1"/>
    <col min="13831" max="13831" width="9.7109375" customWidth="1"/>
    <col min="13832" max="13832" width="8.140625" customWidth="1"/>
    <col min="14081" max="14081" width="30.28515625" customWidth="1"/>
    <col min="14082" max="14082" width="10.42578125" bestFit="1" customWidth="1"/>
    <col min="14083" max="14083" width="11.5703125" bestFit="1" customWidth="1"/>
    <col min="14084" max="14085" width="9.28515625" bestFit="1" customWidth="1"/>
    <col min="14086" max="14086" width="10.42578125" bestFit="1" customWidth="1"/>
    <col min="14087" max="14087" width="9.7109375" customWidth="1"/>
    <col min="14088" max="14088" width="8.140625" customWidth="1"/>
    <col min="14337" max="14337" width="30.28515625" customWidth="1"/>
    <col min="14338" max="14338" width="10.42578125" bestFit="1" customWidth="1"/>
    <col min="14339" max="14339" width="11.5703125" bestFit="1" customWidth="1"/>
    <col min="14340" max="14341" width="9.28515625" bestFit="1" customWidth="1"/>
    <col min="14342" max="14342" width="10.42578125" bestFit="1" customWidth="1"/>
    <col min="14343" max="14343" width="9.7109375" customWidth="1"/>
    <col min="14344" max="14344" width="8.140625" customWidth="1"/>
    <col min="14593" max="14593" width="30.28515625" customWidth="1"/>
    <col min="14594" max="14594" width="10.42578125" bestFit="1" customWidth="1"/>
    <col min="14595" max="14595" width="11.5703125" bestFit="1" customWidth="1"/>
    <col min="14596" max="14597" width="9.28515625" bestFit="1" customWidth="1"/>
    <col min="14598" max="14598" width="10.42578125" bestFit="1" customWidth="1"/>
    <col min="14599" max="14599" width="9.7109375" customWidth="1"/>
    <col min="14600" max="14600" width="8.140625" customWidth="1"/>
    <col min="14849" max="14849" width="30.28515625" customWidth="1"/>
    <col min="14850" max="14850" width="10.42578125" bestFit="1" customWidth="1"/>
    <col min="14851" max="14851" width="11.5703125" bestFit="1" customWidth="1"/>
    <col min="14852" max="14853" width="9.28515625" bestFit="1" customWidth="1"/>
    <col min="14854" max="14854" width="10.42578125" bestFit="1" customWidth="1"/>
    <col min="14855" max="14855" width="9.7109375" customWidth="1"/>
    <col min="14856" max="14856" width="8.140625" customWidth="1"/>
    <col min="15105" max="15105" width="30.28515625" customWidth="1"/>
    <col min="15106" max="15106" width="10.42578125" bestFit="1" customWidth="1"/>
    <col min="15107" max="15107" width="11.5703125" bestFit="1" customWidth="1"/>
    <col min="15108" max="15109" width="9.28515625" bestFit="1" customWidth="1"/>
    <col min="15110" max="15110" width="10.42578125" bestFit="1" customWidth="1"/>
    <col min="15111" max="15111" width="9.7109375" customWidth="1"/>
    <col min="15112" max="15112" width="8.140625" customWidth="1"/>
    <col min="15361" max="15361" width="30.28515625" customWidth="1"/>
    <col min="15362" max="15362" width="10.42578125" bestFit="1" customWidth="1"/>
    <col min="15363" max="15363" width="11.5703125" bestFit="1" customWidth="1"/>
    <col min="15364" max="15365" width="9.28515625" bestFit="1" customWidth="1"/>
    <col min="15366" max="15366" width="10.42578125" bestFit="1" customWidth="1"/>
    <col min="15367" max="15367" width="9.7109375" customWidth="1"/>
    <col min="15368" max="15368" width="8.140625" customWidth="1"/>
    <col min="15617" max="15617" width="30.28515625" customWidth="1"/>
    <col min="15618" max="15618" width="10.42578125" bestFit="1" customWidth="1"/>
    <col min="15619" max="15619" width="11.5703125" bestFit="1" customWidth="1"/>
    <col min="15620" max="15621" width="9.28515625" bestFit="1" customWidth="1"/>
    <col min="15622" max="15622" width="10.42578125" bestFit="1" customWidth="1"/>
    <col min="15623" max="15623" width="9.7109375" customWidth="1"/>
    <col min="15624" max="15624" width="8.140625" customWidth="1"/>
    <col min="15873" max="15873" width="30.28515625" customWidth="1"/>
    <col min="15874" max="15874" width="10.42578125" bestFit="1" customWidth="1"/>
    <col min="15875" max="15875" width="11.5703125" bestFit="1" customWidth="1"/>
    <col min="15876" max="15877" width="9.28515625" bestFit="1" customWidth="1"/>
    <col min="15878" max="15878" width="10.42578125" bestFit="1" customWidth="1"/>
    <col min="15879" max="15879" width="9.7109375" customWidth="1"/>
    <col min="15880" max="15880" width="8.140625" customWidth="1"/>
    <col min="16129" max="16129" width="30.28515625" customWidth="1"/>
    <col min="16130" max="16130" width="10.42578125" bestFit="1" customWidth="1"/>
    <col min="16131" max="16131" width="11.5703125" bestFit="1" customWidth="1"/>
    <col min="16132" max="16133" width="9.28515625" bestFit="1" customWidth="1"/>
    <col min="16134" max="16134" width="10.42578125" bestFit="1" customWidth="1"/>
    <col min="16135" max="16135" width="9.7109375" customWidth="1"/>
    <col min="16136" max="16136" width="8.140625" customWidth="1"/>
  </cols>
  <sheetData>
    <row r="1" spans="1:11" ht="30.75" customHeight="1" x14ac:dyDescent="0.25">
      <c r="A1" s="646" t="s">
        <v>295</v>
      </c>
      <c r="B1" s="646"/>
      <c r="C1" s="646"/>
      <c r="D1" s="646"/>
      <c r="E1" s="646"/>
      <c r="F1" s="646"/>
      <c r="G1" s="646"/>
      <c r="H1" s="646"/>
    </row>
    <row r="2" spans="1:11" x14ac:dyDescent="0.25">
      <c r="B2" s="84" t="s">
        <v>84</v>
      </c>
      <c r="C2" s="84" t="s">
        <v>85</v>
      </c>
      <c r="D2" s="84"/>
      <c r="E2" s="84" t="s">
        <v>84</v>
      </c>
      <c r="F2" s="84" t="s">
        <v>85</v>
      </c>
      <c r="G2" s="85" t="s">
        <v>86</v>
      </c>
      <c r="H2" s="86" t="s">
        <v>87</v>
      </c>
    </row>
    <row r="3" spans="1:11" x14ac:dyDescent="0.25">
      <c r="A3" s="184" t="s">
        <v>88</v>
      </c>
      <c r="B3" s="84"/>
      <c r="C3" s="84"/>
      <c r="D3" s="84"/>
      <c r="E3" s="84"/>
      <c r="F3" s="84"/>
      <c r="G3" s="85"/>
      <c r="H3" s="86"/>
    </row>
    <row r="4" spans="1:11" x14ac:dyDescent="0.25">
      <c r="A4" s="185" t="s">
        <v>123</v>
      </c>
      <c r="B4" s="186">
        <v>476.59989999999999</v>
      </c>
      <c r="C4" s="186">
        <v>309.27260000000001</v>
      </c>
      <c r="D4" s="94"/>
      <c r="E4" s="187">
        <f>ROUND(B4/365,4)</f>
        <v>1.3058000000000001</v>
      </c>
      <c r="F4" s="187">
        <f>ROUND(C4/365,4)</f>
        <v>0.84730000000000005</v>
      </c>
      <c r="G4" s="188">
        <f>E4+F4</f>
        <v>2.1531000000000002</v>
      </c>
      <c r="H4" s="188">
        <v>2.0952999999999999</v>
      </c>
      <c r="I4">
        <f>+E4*31</f>
        <v>40.479800000000004</v>
      </c>
      <c r="J4">
        <f>+F4*31</f>
        <v>26.266300000000001</v>
      </c>
      <c r="K4">
        <f>+I4+J4</f>
        <v>66.746100000000013</v>
      </c>
    </row>
    <row r="5" spans="1:11" x14ac:dyDescent="0.25">
      <c r="A5" s="189"/>
      <c r="B5" s="190">
        <f>+B4/12</f>
        <v>39.716658333333335</v>
      </c>
      <c r="C5" s="190">
        <f>+C4/12</f>
        <v>25.772716666666668</v>
      </c>
      <c r="D5" s="88"/>
      <c r="E5" s="191"/>
      <c r="F5" s="191"/>
      <c r="G5" s="192"/>
      <c r="H5" s="90">
        <f>G4/H4-1</f>
        <v>2.7585548608791255E-2</v>
      </c>
    </row>
    <row r="6" spans="1:11" x14ac:dyDescent="0.25">
      <c r="B6" s="86"/>
      <c r="C6" s="86"/>
      <c r="D6" s="88"/>
      <c r="E6" s="86"/>
      <c r="F6" s="86"/>
      <c r="G6" s="89"/>
      <c r="H6" s="193"/>
    </row>
    <row r="7" spans="1:11" x14ac:dyDescent="0.25">
      <c r="A7" s="91" t="s">
        <v>89</v>
      </c>
      <c r="B7" s="86"/>
      <c r="C7" s="86"/>
      <c r="D7" s="86"/>
      <c r="E7" s="86"/>
      <c r="F7" s="86"/>
      <c r="G7" s="92"/>
      <c r="H7" s="90"/>
    </row>
    <row r="8" spans="1:11" x14ac:dyDescent="0.25">
      <c r="A8" s="93" t="s">
        <v>296</v>
      </c>
      <c r="B8" s="194">
        <v>179.5933</v>
      </c>
      <c r="C8" s="194">
        <v>116.5407</v>
      </c>
      <c r="D8" s="186">
        <f>D19+D20+D21</f>
        <v>92</v>
      </c>
      <c r="E8" s="186">
        <f>B8/D8</f>
        <v>1.9521010869565216</v>
      </c>
      <c r="F8" s="186">
        <f>C8/D8</f>
        <v>1.2667467391304348</v>
      </c>
      <c r="G8" s="188">
        <f>ROUND(E8+F8,4)</f>
        <v>3.2187999999999999</v>
      </c>
      <c r="H8" s="195">
        <v>3.1511</v>
      </c>
    </row>
    <row r="9" spans="1:11" x14ac:dyDescent="0.25">
      <c r="A9" s="93" t="s">
        <v>297</v>
      </c>
      <c r="B9" s="194">
        <v>206.24369999999999</v>
      </c>
      <c r="C9" s="194">
        <v>133.83449999999999</v>
      </c>
      <c r="D9" s="186">
        <f>D22+D23+D24</f>
        <v>90</v>
      </c>
      <c r="E9" s="186">
        <f>B9/D9</f>
        <v>2.2915966666666665</v>
      </c>
      <c r="F9" s="186">
        <f>C9/D9</f>
        <v>1.48705</v>
      </c>
      <c r="G9" s="188">
        <f>ROUND(E9+F9,4)</f>
        <v>3.7786</v>
      </c>
      <c r="H9" s="195">
        <v>3.7353999999999998</v>
      </c>
    </row>
    <row r="10" spans="1:11" x14ac:dyDescent="0.25">
      <c r="A10" s="93" t="s">
        <v>298</v>
      </c>
      <c r="B10" s="194">
        <v>128.2106</v>
      </c>
      <c r="C10" s="194">
        <v>83.197699999999998</v>
      </c>
      <c r="D10" s="186">
        <f>D25+D26+D27</f>
        <v>91</v>
      </c>
      <c r="E10" s="186">
        <f>B10/D10</f>
        <v>1.4089076923076922</v>
      </c>
      <c r="F10" s="186">
        <f>C10/D10</f>
        <v>0.91426043956043956</v>
      </c>
      <c r="G10" s="188">
        <f>ROUND(E10+F10,4)</f>
        <v>2.3231999999999999</v>
      </c>
      <c r="H10" s="195">
        <v>2.2818000000000001</v>
      </c>
    </row>
    <row r="11" spans="1:11" x14ac:dyDescent="0.25">
      <c r="A11" s="93" t="s">
        <v>299</v>
      </c>
      <c r="B11" s="196">
        <v>103.07089999999999</v>
      </c>
      <c r="C11" s="196">
        <v>66.884200000000007</v>
      </c>
      <c r="D11" s="197">
        <f>D28+D29+D30</f>
        <v>92</v>
      </c>
      <c r="E11" s="186">
        <f>B11/D11</f>
        <v>1.1203358695652172</v>
      </c>
      <c r="F11" s="197">
        <f>C11/D11</f>
        <v>0.72700217391304356</v>
      </c>
      <c r="G11" s="604">
        <f>ROUND(E11+F11,4)</f>
        <v>1.8472999999999999</v>
      </c>
      <c r="H11" s="94">
        <v>1.7384999999999999</v>
      </c>
    </row>
    <row r="12" spans="1:11" x14ac:dyDescent="0.25">
      <c r="A12" s="93"/>
      <c r="B12" s="198">
        <f>+B8/3</f>
        <v>59.864433333333331</v>
      </c>
      <c r="C12" s="198">
        <f>+C8/3</f>
        <v>38.846899999999998</v>
      </c>
      <c r="D12" s="95"/>
      <c r="E12" s="198"/>
      <c r="F12" s="95"/>
      <c r="G12" s="605"/>
      <c r="H12" s="199"/>
    </row>
    <row r="13" spans="1:11" x14ac:dyDescent="0.25">
      <c r="B13" s="86"/>
      <c r="C13" s="86"/>
      <c r="D13" s="86"/>
      <c r="E13" s="86"/>
      <c r="F13" s="86"/>
      <c r="G13" s="92"/>
      <c r="H13" s="90">
        <f>G8/H8-1</f>
        <v>2.1484560946970932E-2</v>
      </c>
    </row>
    <row r="14" spans="1:11" x14ac:dyDescent="0.25">
      <c r="B14" s="86"/>
      <c r="C14" s="86"/>
      <c r="D14" s="86"/>
      <c r="E14" s="86"/>
      <c r="F14" s="86"/>
      <c r="G14" s="92"/>
      <c r="H14" s="90">
        <f>G9/H9-1</f>
        <v>1.1565026503185694E-2</v>
      </c>
    </row>
    <row r="15" spans="1:11" x14ac:dyDescent="0.25">
      <c r="B15" s="86"/>
      <c r="C15" s="86"/>
      <c r="D15" s="86"/>
      <c r="E15" s="86"/>
      <c r="F15" s="86"/>
      <c r="G15" s="92"/>
      <c r="H15" s="90">
        <f>G10/H10-1</f>
        <v>1.814357086510654E-2</v>
      </c>
    </row>
    <row r="16" spans="1:11" x14ac:dyDescent="0.25">
      <c r="B16" s="86"/>
      <c r="C16" s="86"/>
      <c r="D16" s="86"/>
      <c r="E16" s="86"/>
      <c r="F16" s="86"/>
      <c r="G16" s="92"/>
      <c r="H16" s="90">
        <f>G11/H11-1</f>
        <v>6.2582686223756179E-2</v>
      </c>
    </row>
    <row r="17" spans="1:8" x14ac:dyDescent="0.25">
      <c r="B17" s="86"/>
      <c r="C17" s="86"/>
      <c r="D17" s="86"/>
      <c r="E17" s="86"/>
      <c r="F17" s="86"/>
      <c r="G17" s="92"/>
      <c r="H17" s="90"/>
    </row>
    <row r="18" spans="1:8" x14ac:dyDescent="0.25">
      <c r="A18" s="91" t="s">
        <v>90</v>
      </c>
      <c r="B18" s="86"/>
      <c r="C18" s="86"/>
      <c r="D18" s="86"/>
      <c r="E18" s="86"/>
      <c r="F18" s="86"/>
      <c r="G18" s="92"/>
    </row>
    <row r="19" spans="1:8" x14ac:dyDescent="0.25">
      <c r="A19" s="96" t="s">
        <v>300</v>
      </c>
      <c r="B19" s="186">
        <v>53.269500000000001</v>
      </c>
      <c r="C19" s="187">
        <v>34.567399999999999</v>
      </c>
      <c r="D19" s="186">
        <v>31</v>
      </c>
      <c r="E19" s="187">
        <f>ROUND(B19/D19,4)</f>
        <v>1.7183999999999999</v>
      </c>
      <c r="F19" s="200">
        <f>ROUND(C19/D19,4)</f>
        <v>1.1151</v>
      </c>
      <c r="G19" s="188">
        <f>ROUND(E19+F19,4)</f>
        <v>2.8334999999999999</v>
      </c>
      <c r="H19" s="88">
        <v>2.8083999999999998</v>
      </c>
    </row>
    <row r="20" spans="1:8" x14ac:dyDescent="0.25">
      <c r="A20" s="96" t="s">
        <v>301</v>
      </c>
      <c r="B20" s="186">
        <v>61.970999999999997</v>
      </c>
      <c r="C20" s="187">
        <v>40.213900000000002</v>
      </c>
      <c r="D20" s="186">
        <v>30</v>
      </c>
      <c r="E20" s="187">
        <f t="shared" ref="E20:E30" si="0">ROUND(B20/D20,4)</f>
        <v>2.0657000000000001</v>
      </c>
      <c r="F20" s="200">
        <f t="shared" ref="F20:F30" si="1">ROUND(C20/D20,4)</f>
        <v>1.3405</v>
      </c>
      <c r="G20" s="188">
        <f>ROUND(E20+F20,4)</f>
        <v>3.4062000000000001</v>
      </c>
      <c r="H20" s="88">
        <v>3.2471999999999999</v>
      </c>
    </row>
    <row r="21" spans="1:8" x14ac:dyDescent="0.25">
      <c r="A21" s="96" t="s">
        <v>302</v>
      </c>
      <c r="B21" s="186">
        <v>78.770899999999997</v>
      </c>
      <c r="C21" s="187">
        <v>51.115600000000001</v>
      </c>
      <c r="D21" s="186">
        <v>31</v>
      </c>
      <c r="E21" s="187">
        <f t="shared" si="0"/>
        <v>2.5409999999999999</v>
      </c>
      <c r="F21" s="200">
        <f t="shared" si="1"/>
        <v>1.6489</v>
      </c>
      <c r="G21" s="188">
        <f>ROUND(E21+F21,4)</f>
        <v>4.1898999999999997</v>
      </c>
      <c r="H21" s="88">
        <v>4.1539999999999999</v>
      </c>
    </row>
    <row r="22" spans="1:8" x14ac:dyDescent="0.25">
      <c r="A22" s="96" t="s">
        <v>303</v>
      </c>
      <c r="B22" s="186">
        <v>83.871099999999998</v>
      </c>
      <c r="C22" s="187">
        <v>54.425199999999997</v>
      </c>
      <c r="D22" s="186">
        <v>31</v>
      </c>
      <c r="E22" s="187">
        <f t="shared" si="0"/>
        <v>2.7054999999999998</v>
      </c>
      <c r="F22" s="200">
        <f t="shared" si="1"/>
        <v>1.7557</v>
      </c>
      <c r="G22" s="188">
        <f t="shared" ref="G22:G30" si="2">ROUND(E22+F22,4)</f>
        <v>4.4611999999999998</v>
      </c>
      <c r="H22" s="88">
        <v>4.5636000000000001</v>
      </c>
    </row>
    <row r="23" spans="1:8" x14ac:dyDescent="0.25">
      <c r="A23" s="98" t="s">
        <v>304</v>
      </c>
      <c r="B23" s="201">
        <v>75.242699999999999</v>
      </c>
      <c r="C23" s="202">
        <v>48.826099999999997</v>
      </c>
      <c r="D23" s="203">
        <v>28</v>
      </c>
      <c r="E23" s="187">
        <f t="shared" si="0"/>
        <v>2.6871999999999998</v>
      </c>
      <c r="F23" s="200">
        <f t="shared" si="1"/>
        <v>1.7438</v>
      </c>
      <c r="G23" s="188">
        <f t="shared" si="2"/>
        <v>4.431</v>
      </c>
      <c r="H23" s="88">
        <v>4.2721</v>
      </c>
    </row>
    <row r="24" spans="1:8" x14ac:dyDescent="0.25">
      <c r="A24" s="96" t="s">
        <v>305</v>
      </c>
      <c r="B24" s="194">
        <v>61.77</v>
      </c>
      <c r="C24" s="187">
        <v>40.083399999999997</v>
      </c>
      <c r="D24" s="186">
        <v>31</v>
      </c>
      <c r="E24" s="187">
        <f t="shared" si="0"/>
        <v>1.9925999999999999</v>
      </c>
      <c r="F24" s="200">
        <f t="shared" si="1"/>
        <v>1.2929999999999999</v>
      </c>
      <c r="G24" s="188">
        <f t="shared" si="2"/>
        <v>3.2856000000000001</v>
      </c>
      <c r="H24" s="88">
        <v>3.2179000000000002</v>
      </c>
    </row>
    <row r="25" spans="1:8" x14ac:dyDescent="0.25">
      <c r="A25" s="96" t="s">
        <v>306</v>
      </c>
      <c r="B25" s="186">
        <v>62.519500000000001</v>
      </c>
      <c r="C25" s="187">
        <v>40.569800000000001</v>
      </c>
      <c r="D25" s="186">
        <v>30</v>
      </c>
      <c r="E25" s="187">
        <f t="shared" si="0"/>
        <v>2.0840000000000001</v>
      </c>
      <c r="F25" s="200">
        <f t="shared" si="1"/>
        <v>1.3523000000000001</v>
      </c>
      <c r="G25" s="188">
        <f t="shared" si="2"/>
        <v>3.4363000000000001</v>
      </c>
      <c r="H25" s="88">
        <v>2.9839000000000002</v>
      </c>
    </row>
    <row r="26" spans="1:8" x14ac:dyDescent="0.25">
      <c r="A26" s="96" t="s">
        <v>307</v>
      </c>
      <c r="B26" s="186">
        <v>44.202399999999997</v>
      </c>
      <c r="C26" s="187">
        <v>28.683599999999998</v>
      </c>
      <c r="D26" s="186">
        <v>31</v>
      </c>
      <c r="E26" s="187">
        <f t="shared" si="0"/>
        <v>1.4258999999999999</v>
      </c>
      <c r="F26" s="200">
        <f t="shared" si="1"/>
        <v>0.92530000000000001</v>
      </c>
      <c r="G26" s="188">
        <f t="shared" si="2"/>
        <v>2.3512</v>
      </c>
      <c r="H26" s="88">
        <v>2.5451000000000001</v>
      </c>
    </row>
    <row r="27" spans="1:8" x14ac:dyDescent="0.25">
      <c r="A27" s="96" t="s">
        <v>308</v>
      </c>
      <c r="B27" s="186">
        <v>31.8081</v>
      </c>
      <c r="C27" s="187">
        <v>20.640799999999999</v>
      </c>
      <c r="D27" s="186">
        <v>30</v>
      </c>
      <c r="E27" s="187">
        <f t="shared" si="0"/>
        <v>1.0603</v>
      </c>
      <c r="F27" s="200">
        <f t="shared" si="1"/>
        <v>0.68799999999999994</v>
      </c>
      <c r="G27" s="188">
        <f t="shared" si="2"/>
        <v>1.7483</v>
      </c>
      <c r="H27" s="88">
        <v>1.8138000000000001</v>
      </c>
    </row>
    <row r="28" spans="1:8" x14ac:dyDescent="0.25">
      <c r="A28" s="96" t="s">
        <v>309</v>
      </c>
      <c r="B28" s="186">
        <v>34.5685</v>
      </c>
      <c r="C28" s="187">
        <v>22.431999999999999</v>
      </c>
      <c r="D28" s="186">
        <v>31</v>
      </c>
      <c r="E28" s="187">
        <f t="shared" si="0"/>
        <v>1.1151</v>
      </c>
      <c r="F28" s="200">
        <f t="shared" si="1"/>
        <v>0.72360000000000002</v>
      </c>
      <c r="G28" s="188">
        <f t="shared" si="2"/>
        <v>1.8387</v>
      </c>
      <c r="H28" s="88">
        <v>1.843</v>
      </c>
    </row>
    <row r="29" spans="1:8" x14ac:dyDescent="0.25">
      <c r="A29" s="98" t="s">
        <v>310</v>
      </c>
      <c r="B29" s="203">
        <v>33.435099999999998</v>
      </c>
      <c r="C29" s="202">
        <v>21.6965</v>
      </c>
      <c r="D29" s="203">
        <v>31</v>
      </c>
      <c r="E29" s="187">
        <f t="shared" si="0"/>
        <v>1.0786</v>
      </c>
      <c r="F29" s="200">
        <f t="shared" si="1"/>
        <v>0.69989999999999997</v>
      </c>
      <c r="G29" s="188">
        <f t="shared" si="2"/>
        <v>1.7785</v>
      </c>
      <c r="H29" s="88">
        <v>1.609</v>
      </c>
    </row>
    <row r="30" spans="1:8" x14ac:dyDescent="0.25">
      <c r="A30" s="98" t="s">
        <v>311</v>
      </c>
      <c r="B30" s="203">
        <v>43.3249</v>
      </c>
      <c r="C30" s="202">
        <v>28.1142</v>
      </c>
      <c r="D30" s="203">
        <v>30</v>
      </c>
      <c r="E30" s="187">
        <f t="shared" si="0"/>
        <v>1.4441999999999999</v>
      </c>
      <c r="F30" s="200">
        <f t="shared" si="1"/>
        <v>0.93710000000000004</v>
      </c>
      <c r="G30" s="188">
        <f t="shared" si="2"/>
        <v>2.3813</v>
      </c>
      <c r="H30" s="88">
        <v>2.1648000000000001</v>
      </c>
    </row>
    <row r="31" spans="1:8" x14ac:dyDescent="0.25">
      <c r="A31" s="98"/>
      <c r="B31" s="86"/>
      <c r="C31" s="99"/>
      <c r="D31" s="86"/>
      <c r="E31" s="97"/>
      <c r="F31" s="204"/>
      <c r="G31" s="100"/>
      <c r="H31" s="86"/>
    </row>
    <row r="32" spans="1:8" x14ac:dyDescent="0.25">
      <c r="G32" s="101"/>
      <c r="H32" s="103">
        <f>G33/H33-1</f>
        <v>5.2972336668628328E-2</v>
      </c>
    </row>
    <row r="33" spans="1:8" x14ac:dyDescent="0.25">
      <c r="A33" s="87" t="s">
        <v>91</v>
      </c>
      <c r="C33" s="205" t="s">
        <v>92</v>
      </c>
      <c r="E33" s="206">
        <f>B34+B35</f>
        <v>0.52349999999999997</v>
      </c>
      <c r="F33" s="206">
        <f>B34+B35+B36</f>
        <v>0.54989999999999994</v>
      </c>
      <c r="G33" s="207">
        <f>ROUND(E33+F33,4)</f>
        <v>1.0733999999999999</v>
      </c>
      <c r="H33" s="86">
        <v>1.0194000000000001</v>
      </c>
    </row>
    <row r="34" spans="1:8" x14ac:dyDescent="0.25">
      <c r="A34" t="s">
        <v>93</v>
      </c>
      <c r="B34" s="208">
        <v>0.24379999999999999</v>
      </c>
      <c r="C34" s="102">
        <v>0.20569999999999999</v>
      </c>
      <c r="D34" s="103">
        <f>B34/C34-1</f>
        <v>0.18522119591638297</v>
      </c>
      <c r="G34" s="101"/>
      <c r="H34" s="86"/>
    </row>
    <row r="35" spans="1:8" x14ac:dyDescent="0.25">
      <c r="A35" t="s">
        <v>94</v>
      </c>
      <c r="B35" s="208">
        <v>0.2797</v>
      </c>
      <c r="C35" s="102">
        <v>0.2908</v>
      </c>
      <c r="D35" s="103">
        <f>B35/C35-1</f>
        <v>-3.8170563961485549E-2</v>
      </c>
      <c r="G35" s="101"/>
      <c r="H35" s="99"/>
    </row>
    <row r="36" spans="1:8" ht="22.5" x14ac:dyDescent="0.25">
      <c r="A36" s="104" t="s">
        <v>95</v>
      </c>
      <c r="B36" s="208">
        <v>2.64E-2</v>
      </c>
      <c r="C36" s="102">
        <v>2.64E-2</v>
      </c>
      <c r="D36" s="103">
        <f>B36/C36-1</f>
        <v>0</v>
      </c>
      <c r="G36" s="101"/>
      <c r="H36" s="86"/>
    </row>
    <row r="37" spans="1:8" x14ac:dyDescent="0.25">
      <c r="A37" s="104"/>
      <c r="B37" s="102"/>
      <c r="D37" s="103"/>
      <c r="G37" s="101"/>
      <c r="H37" s="86"/>
    </row>
    <row r="38" spans="1:8" x14ac:dyDescent="0.25">
      <c r="B38" t="s">
        <v>84</v>
      </c>
      <c r="C38" t="s">
        <v>85</v>
      </c>
      <c r="E38" s="647" t="s">
        <v>96</v>
      </c>
      <c r="F38" s="647"/>
      <c r="G38" s="648"/>
      <c r="H38" s="103">
        <f>D40/H40-1</f>
        <v>3.0388954691743519E-2</v>
      </c>
    </row>
    <row r="39" spans="1:8" x14ac:dyDescent="0.25">
      <c r="A39" s="105" t="s">
        <v>97</v>
      </c>
      <c r="E39" s="182"/>
      <c r="F39" s="182"/>
      <c r="G39" s="183"/>
      <c r="H39" s="103"/>
    </row>
    <row r="40" spans="1:8" x14ac:dyDescent="0.25">
      <c r="A40" s="185" t="s">
        <v>123</v>
      </c>
      <c r="B40" s="106">
        <v>5.2229999999999999</v>
      </c>
      <c r="C40" s="106">
        <v>3.3893</v>
      </c>
      <c r="D40" s="106">
        <f>B40+C40</f>
        <v>8.6122999999999994</v>
      </c>
      <c r="E40" s="209">
        <v>5.0566000000000004</v>
      </c>
      <c r="F40" s="209">
        <v>3.3016999999999999</v>
      </c>
      <c r="G40" s="210"/>
      <c r="H40" s="211">
        <v>8.3582999999999998</v>
      </c>
    </row>
    <row r="41" spans="1:8" x14ac:dyDescent="0.25">
      <c r="G41" s="101"/>
    </row>
    <row r="42" spans="1:8" x14ac:dyDescent="0.25">
      <c r="A42" s="91" t="s">
        <v>98</v>
      </c>
      <c r="G42" s="101"/>
      <c r="H42" s="103">
        <f>G43/H43-1</f>
        <v>8.9232303090727161E-3</v>
      </c>
    </row>
    <row r="43" spans="1:8" x14ac:dyDescent="0.25">
      <c r="A43" s="96" t="s">
        <v>300</v>
      </c>
      <c r="B43" s="212">
        <v>2.4548000000000001</v>
      </c>
      <c r="C43" s="212">
        <v>1.593</v>
      </c>
      <c r="D43" s="213">
        <v>1</v>
      </c>
      <c r="E43" s="213">
        <f>ROUND(B43/D43,4)</f>
        <v>2.4548000000000001</v>
      </c>
      <c r="F43" s="214">
        <f>ROUND(C43/D43,4)</f>
        <v>1.593</v>
      </c>
      <c r="G43" s="207">
        <f>ROUND(E43+F43,4)</f>
        <v>4.0477999999999996</v>
      </c>
      <c r="H43" s="255">
        <v>4.0119999999999996</v>
      </c>
    </row>
    <row r="44" spans="1:8" x14ac:dyDescent="0.25">
      <c r="A44" s="96" t="s">
        <v>301</v>
      </c>
      <c r="B44" s="212">
        <v>2.9510000000000001</v>
      </c>
      <c r="C44" s="212">
        <v>1.9149</v>
      </c>
      <c r="D44" s="213">
        <v>1</v>
      </c>
      <c r="E44" s="213">
        <f>B44/D44</f>
        <v>2.9510000000000001</v>
      </c>
      <c r="F44" s="213">
        <f>C44/D44</f>
        <v>1.9149</v>
      </c>
      <c r="G44" s="207">
        <f>ROUND(E44+F44,4)</f>
        <v>4.8658999999999999</v>
      </c>
      <c r="H44" s="255">
        <v>4.6387999999999998</v>
      </c>
    </row>
    <row r="45" spans="1:8" x14ac:dyDescent="0.25">
      <c r="A45" s="96" t="s">
        <v>302</v>
      </c>
      <c r="B45" s="212">
        <v>3.63</v>
      </c>
      <c r="C45" s="212">
        <v>2.3555999999999999</v>
      </c>
      <c r="D45" s="185">
        <v>1</v>
      </c>
      <c r="E45" s="185">
        <f>B45/D45</f>
        <v>3.63</v>
      </c>
      <c r="F45" s="185">
        <f>C45/D45</f>
        <v>2.3555999999999999</v>
      </c>
      <c r="G45" s="207">
        <f>ROUND(E45+F45,4)</f>
        <v>5.9855999999999998</v>
      </c>
      <c r="H45" s="255">
        <v>5.9344000000000001</v>
      </c>
    </row>
    <row r="46" spans="1:8" x14ac:dyDescent="0.25">
      <c r="A46" s="96" t="s">
        <v>303</v>
      </c>
      <c r="B46" s="212">
        <v>3.8650000000000002</v>
      </c>
      <c r="C46" s="212">
        <v>2.5081000000000002</v>
      </c>
      <c r="D46" s="213">
        <v>1</v>
      </c>
      <c r="E46" s="213">
        <f>B46/D46</f>
        <v>3.8650000000000002</v>
      </c>
      <c r="F46" s="214">
        <f>C46/D46</f>
        <v>2.5081000000000002</v>
      </c>
      <c r="G46" s="207">
        <f>ROUND(E46+F46,4)</f>
        <v>6.3731</v>
      </c>
      <c r="H46" s="255">
        <v>6.5194000000000001</v>
      </c>
    </row>
    <row r="47" spans="1:8" x14ac:dyDescent="0.25">
      <c r="A47" s="98" t="s">
        <v>304</v>
      </c>
      <c r="B47" s="212">
        <v>3.8389000000000002</v>
      </c>
      <c r="C47" s="212">
        <v>2.4910999999999999</v>
      </c>
      <c r="D47" s="185">
        <v>1</v>
      </c>
      <c r="E47" s="185">
        <f t="shared" ref="E47:E54" si="3">B47/D47</f>
        <v>3.8389000000000002</v>
      </c>
      <c r="F47" s="185">
        <f t="shared" ref="F47:F54" si="4">C47/D47</f>
        <v>2.4910999999999999</v>
      </c>
      <c r="G47" s="207">
        <f t="shared" ref="G47:G54" si="5">ROUND(E47+F47,4)</f>
        <v>6.33</v>
      </c>
      <c r="H47" s="255">
        <v>5.8925999999999998</v>
      </c>
    </row>
    <row r="48" spans="1:8" x14ac:dyDescent="0.25">
      <c r="A48" s="96" t="s">
        <v>305</v>
      </c>
      <c r="B48" s="212">
        <v>2.8464999999999998</v>
      </c>
      <c r="C48" s="212">
        <v>1.8472</v>
      </c>
      <c r="D48" s="213">
        <v>1</v>
      </c>
      <c r="E48" s="213">
        <f t="shared" si="3"/>
        <v>2.8464999999999998</v>
      </c>
      <c r="F48" s="213">
        <f t="shared" si="4"/>
        <v>1.8472</v>
      </c>
      <c r="G48" s="207">
        <f t="shared" si="5"/>
        <v>4.6936999999999998</v>
      </c>
      <c r="H48" s="255">
        <v>4.5970000000000004</v>
      </c>
    </row>
    <row r="49" spans="1:8" x14ac:dyDescent="0.25">
      <c r="A49" s="96" t="s">
        <v>306</v>
      </c>
      <c r="B49" s="212">
        <v>2.9771000000000001</v>
      </c>
      <c r="C49" s="212">
        <v>1.9319</v>
      </c>
      <c r="D49" s="213">
        <v>1</v>
      </c>
      <c r="E49" s="213">
        <f t="shared" si="3"/>
        <v>2.9771000000000001</v>
      </c>
      <c r="F49" s="213">
        <f t="shared" si="4"/>
        <v>1.9319</v>
      </c>
      <c r="G49" s="207">
        <f t="shared" si="5"/>
        <v>4.9089999999999998</v>
      </c>
      <c r="H49" s="256">
        <v>4.2628000000000004</v>
      </c>
    </row>
    <row r="50" spans="1:8" x14ac:dyDescent="0.25">
      <c r="A50" s="96" t="s">
        <v>307</v>
      </c>
      <c r="B50" s="212">
        <v>2.0369999999999999</v>
      </c>
      <c r="C50" s="212">
        <v>1.3218000000000001</v>
      </c>
      <c r="D50" s="213">
        <v>1</v>
      </c>
      <c r="E50" s="213">
        <f t="shared" si="3"/>
        <v>2.0369999999999999</v>
      </c>
      <c r="F50" s="213">
        <f t="shared" si="4"/>
        <v>1.3218000000000001</v>
      </c>
      <c r="G50" s="207">
        <f t="shared" si="5"/>
        <v>3.3588</v>
      </c>
      <c r="H50" s="256">
        <v>3.6358000000000001</v>
      </c>
    </row>
    <row r="51" spans="1:8" x14ac:dyDescent="0.25">
      <c r="A51" s="96" t="s">
        <v>308</v>
      </c>
      <c r="B51" s="212">
        <v>1.5146999999999999</v>
      </c>
      <c r="C51" s="212">
        <v>0.9829</v>
      </c>
      <c r="D51" s="213">
        <v>1</v>
      </c>
      <c r="E51" s="213">
        <f t="shared" si="3"/>
        <v>1.5146999999999999</v>
      </c>
      <c r="F51" s="213">
        <f t="shared" si="4"/>
        <v>0.9829</v>
      </c>
      <c r="G51" s="207">
        <f t="shared" si="5"/>
        <v>2.4975999999999998</v>
      </c>
      <c r="H51" s="256">
        <v>2.5910000000000002</v>
      </c>
    </row>
    <row r="52" spans="1:8" x14ac:dyDescent="0.25">
      <c r="A52" s="96" t="s">
        <v>309</v>
      </c>
      <c r="B52" s="212">
        <v>1.593</v>
      </c>
      <c r="C52" s="212">
        <v>1.0337000000000001</v>
      </c>
      <c r="D52" s="213">
        <v>1</v>
      </c>
      <c r="E52" s="213">
        <f t="shared" si="3"/>
        <v>1.593</v>
      </c>
      <c r="F52" s="213">
        <f t="shared" si="4"/>
        <v>1.0337000000000001</v>
      </c>
      <c r="G52" s="207">
        <f t="shared" si="5"/>
        <v>2.6267</v>
      </c>
      <c r="H52" s="256">
        <v>2.6328</v>
      </c>
    </row>
    <row r="53" spans="1:8" x14ac:dyDescent="0.25">
      <c r="A53" s="98" t="s">
        <v>310</v>
      </c>
      <c r="B53" s="212">
        <v>1.5407999999999999</v>
      </c>
      <c r="C53" s="212">
        <v>0.99980000000000002</v>
      </c>
      <c r="D53" s="185">
        <v>1</v>
      </c>
      <c r="E53" s="185">
        <f t="shared" si="3"/>
        <v>1.5407999999999999</v>
      </c>
      <c r="F53" s="185">
        <f t="shared" si="4"/>
        <v>0.99980000000000002</v>
      </c>
      <c r="G53" s="207">
        <f t="shared" si="5"/>
        <v>2.5406</v>
      </c>
      <c r="H53" s="256">
        <v>2.2986</v>
      </c>
    </row>
    <row r="54" spans="1:8" x14ac:dyDescent="0.25">
      <c r="A54" s="98" t="s">
        <v>311</v>
      </c>
      <c r="B54" s="212">
        <v>2.0630999999999999</v>
      </c>
      <c r="C54" s="212">
        <v>1.3388</v>
      </c>
      <c r="D54" s="185">
        <v>1</v>
      </c>
      <c r="E54" s="185">
        <f t="shared" si="3"/>
        <v>2.0630999999999999</v>
      </c>
      <c r="F54" s="185">
        <f t="shared" si="4"/>
        <v>1.3388</v>
      </c>
      <c r="G54" s="207">
        <f t="shared" si="5"/>
        <v>3.4018999999999999</v>
      </c>
      <c r="H54" s="256">
        <v>3.0924999999999998</v>
      </c>
    </row>
    <row r="55" spans="1:8" x14ac:dyDescent="0.25">
      <c r="A55" s="98"/>
      <c r="B55" s="107"/>
      <c r="C55" s="107"/>
      <c r="G55" s="108"/>
    </row>
    <row r="56" spans="1:8" x14ac:dyDescent="0.25">
      <c r="A56" s="91" t="s">
        <v>124</v>
      </c>
      <c r="G56" s="101"/>
      <c r="H56" s="103">
        <f>G57/H57-1</f>
        <v>8.9333785319747339E-3</v>
      </c>
    </row>
    <row r="57" spans="1:8" x14ac:dyDescent="0.25">
      <c r="A57" s="96" t="s">
        <v>300</v>
      </c>
      <c r="B57" s="212">
        <v>3.0684999999999998</v>
      </c>
      <c r="C57" s="212">
        <v>1.9912000000000001</v>
      </c>
      <c r="D57" s="213">
        <v>1</v>
      </c>
      <c r="E57" s="213">
        <f>ROUND(B57/D57,4)</f>
        <v>3.0684999999999998</v>
      </c>
      <c r="F57" s="214">
        <f>ROUND(C57/D57,4)</f>
        <v>1.9912000000000001</v>
      </c>
      <c r="G57" s="207">
        <f>ROUND(E57+F57,4)</f>
        <v>5.0597000000000003</v>
      </c>
      <c r="H57">
        <v>5.0148999999999999</v>
      </c>
    </row>
    <row r="58" spans="1:8" x14ac:dyDescent="0.25">
      <c r="A58" s="96" t="s">
        <v>301</v>
      </c>
      <c r="B58" s="212">
        <v>3.6888000000000001</v>
      </c>
      <c r="C58" s="212">
        <v>2.3936999999999999</v>
      </c>
      <c r="D58" s="213">
        <v>1</v>
      </c>
      <c r="E58" s="213">
        <f>B58/D58</f>
        <v>3.6888000000000001</v>
      </c>
      <c r="F58" s="213">
        <f>C58/D58</f>
        <v>2.3936999999999999</v>
      </c>
      <c r="G58" s="207">
        <f>ROUND(E58+F58,4)</f>
        <v>6.0824999999999996</v>
      </c>
      <c r="H58">
        <v>5.7984999999999998</v>
      </c>
    </row>
    <row r="59" spans="1:8" x14ac:dyDescent="0.25">
      <c r="A59" s="96" t="s">
        <v>302</v>
      </c>
      <c r="B59" s="212">
        <v>4.5374999999999996</v>
      </c>
      <c r="C59" s="212">
        <v>2.9443999999999999</v>
      </c>
      <c r="D59" s="185">
        <v>1</v>
      </c>
      <c r="E59" s="185">
        <f>B59/D59</f>
        <v>4.5374999999999996</v>
      </c>
      <c r="F59" s="185">
        <f>C59/D59</f>
        <v>2.9443999999999999</v>
      </c>
      <c r="G59" s="207">
        <f>ROUND(E59+F59,4)</f>
        <v>7.4819000000000004</v>
      </c>
      <c r="H59">
        <v>7.4179000000000004</v>
      </c>
    </row>
    <row r="60" spans="1:8" x14ac:dyDescent="0.25">
      <c r="A60" s="96" t="s">
        <v>303</v>
      </c>
      <c r="B60" s="212">
        <v>4.8312999999999997</v>
      </c>
      <c r="C60" s="212">
        <v>3.1351</v>
      </c>
      <c r="D60" s="213">
        <v>1</v>
      </c>
      <c r="E60" s="213">
        <f>B60/D60</f>
        <v>4.8312999999999997</v>
      </c>
      <c r="F60" s="214">
        <f>C60/D60</f>
        <v>3.1351</v>
      </c>
      <c r="G60" s="207">
        <f>ROUND(E60+F60,4)</f>
        <v>7.9664000000000001</v>
      </c>
      <c r="H60">
        <v>8.1493000000000002</v>
      </c>
    </row>
    <row r="61" spans="1:8" x14ac:dyDescent="0.25">
      <c r="A61" s="98" t="s">
        <v>304</v>
      </c>
      <c r="B61" s="212">
        <v>4.7986000000000004</v>
      </c>
      <c r="C61" s="212">
        <v>3.1139000000000001</v>
      </c>
      <c r="D61" s="185">
        <v>1</v>
      </c>
      <c r="E61" s="185">
        <f t="shared" ref="E61:E68" si="6">B61/D61</f>
        <v>4.7986000000000004</v>
      </c>
      <c r="F61" s="185">
        <f t="shared" ref="F61:F68" si="7">C61/D61</f>
        <v>3.1139000000000001</v>
      </c>
      <c r="G61" s="207">
        <f t="shared" ref="G61:G68" si="8">ROUND(E61+F61,4)</f>
        <v>7.9124999999999996</v>
      </c>
      <c r="H61">
        <v>7.3657000000000004</v>
      </c>
    </row>
    <row r="62" spans="1:8" x14ac:dyDescent="0.25">
      <c r="A62" s="96" t="s">
        <v>305</v>
      </c>
      <c r="B62" s="212">
        <v>3.5581999999999998</v>
      </c>
      <c r="C62" s="212">
        <v>2.3090000000000002</v>
      </c>
      <c r="D62" s="213">
        <v>1</v>
      </c>
      <c r="E62" s="213">
        <f t="shared" si="6"/>
        <v>3.5581999999999998</v>
      </c>
      <c r="F62" s="213">
        <f t="shared" si="7"/>
        <v>2.3090000000000002</v>
      </c>
      <c r="G62" s="207">
        <f t="shared" si="8"/>
        <v>5.8672000000000004</v>
      </c>
      <c r="H62">
        <v>5.7462999999999997</v>
      </c>
    </row>
    <row r="63" spans="1:8" x14ac:dyDescent="0.25">
      <c r="A63" s="96" t="s">
        <v>306</v>
      </c>
      <c r="B63" s="212">
        <v>3.7214</v>
      </c>
      <c r="C63" s="212">
        <v>2.4148999999999998</v>
      </c>
      <c r="D63" s="213">
        <v>1</v>
      </c>
      <c r="E63" s="213">
        <f t="shared" si="6"/>
        <v>3.7214</v>
      </c>
      <c r="F63" s="213">
        <f t="shared" si="7"/>
        <v>2.4148999999999998</v>
      </c>
      <c r="G63" s="207">
        <f t="shared" si="8"/>
        <v>6.1363000000000003</v>
      </c>
      <c r="H63" s="215">
        <v>5.3284000000000002</v>
      </c>
    </row>
    <row r="64" spans="1:8" x14ac:dyDescent="0.25">
      <c r="A64" s="96" t="s">
        <v>307</v>
      </c>
      <c r="B64" s="212">
        <v>2.5461999999999998</v>
      </c>
      <c r="C64" s="212">
        <v>1.6523000000000001</v>
      </c>
      <c r="D64" s="213">
        <v>1</v>
      </c>
      <c r="E64" s="213">
        <f t="shared" si="6"/>
        <v>2.5461999999999998</v>
      </c>
      <c r="F64" s="213">
        <f t="shared" si="7"/>
        <v>1.6523000000000001</v>
      </c>
      <c r="G64" s="207">
        <f t="shared" si="8"/>
        <v>4.1985000000000001</v>
      </c>
      <c r="H64" s="215">
        <v>4.5448000000000004</v>
      </c>
    </row>
    <row r="65" spans="1:8" x14ac:dyDescent="0.25">
      <c r="A65" s="96" t="s">
        <v>308</v>
      </c>
      <c r="B65" s="212">
        <v>1.8933</v>
      </c>
      <c r="C65" s="212">
        <v>1.2285999999999999</v>
      </c>
      <c r="D65" s="213">
        <v>1</v>
      </c>
      <c r="E65" s="213">
        <f t="shared" si="6"/>
        <v>1.8933</v>
      </c>
      <c r="F65" s="213">
        <f t="shared" si="7"/>
        <v>1.2285999999999999</v>
      </c>
      <c r="G65" s="207">
        <f t="shared" si="8"/>
        <v>3.1219000000000001</v>
      </c>
      <c r="H65" s="215">
        <v>3.2387999999999999</v>
      </c>
    </row>
    <row r="66" spans="1:8" x14ac:dyDescent="0.25">
      <c r="A66" s="96" t="s">
        <v>309</v>
      </c>
      <c r="B66" s="212">
        <v>1.9913000000000001</v>
      </c>
      <c r="C66" s="212">
        <v>1.2922</v>
      </c>
      <c r="D66" s="213">
        <v>1</v>
      </c>
      <c r="E66" s="213">
        <f t="shared" si="6"/>
        <v>1.9913000000000001</v>
      </c>
      <c r="F66" s="213">
        <f t="shared" si="7"/>
        <v>1.2922</v>
      </c>
      <c r="G66" s="207">
        <f t="shared" si="8"/>
        <v>3.2835000000000001</v>
      </c>
      <c r="H66" s="215">
        <v>3.2909999999999999</v>
      </c>
    </row>
    <row r="67" spans="1:8" x14ac:dyDescent="0.25">
      <c r="A67" s="98" t="s">
        <v>310</v>
      </c>
      <c r="B67" s="212">
        <v>1.9259999999999999</v>
      </c>
      <c r="C67" s="212">
        <v>1.2498</v>
      </c>
      <c r="D67" s="185">
        <v>1</v>
      </c>
      <c r="E67" s="185">
        <f t="shared" si="6"/>
        <v>1.9259999999999999</v>
      </c>
      <c r="F67" s="185">
        <f t="shared" si="7"/>
        <v>1.2498</v>
      </c>
      <c r="G67" s="207">
        <f t="shared" si="8"/>
        <v>3.1758000000000002</v>
      </c>
      <c r="H67" s="215">
        <v>2.8732000000000002</v>
      </c>
    </row>
    <row r="68" spans="1:8" x14ac:dyDescent="0.25">
      <c r="A68" s="98" t="s">
        <v>311</v>
      </c>
      <c r="B68" s="212">
        <v>2.5789</v>
      </c>
      <c r="C68" s="212">
        <v>1.6735</v>
      </c>
      <c r="D68" s="185">
        <v>1</v>
      </c>
      <c r="E68" s="185">
        <f t="shared" si="6"/>
        <v>2.5789</v>
      </c>
      <c r="F68" s="185">
        <f t="shared" si="7"/>
        <v>1.6735</v>
      </c>
      <c r="G68" s="207">
        <f t="shared" si="8"/>
        <v>4.2523999999999997</v>
      </c>
      <c r="H68" s="215">
        <v>3.8656999999999999</v>
      </c>
    </row>
    <row r="69" spans="1:8" x14ac:dyDescent="0.25">
      <c r="H69" s="87"/>
    </row>
  </sheetData>
  <mergeCells count="2">
    <mergeCell ref="A1:H1"/>
    <mergeCell ref="E38:G3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B1:N207"/>
  <sheetViews>
    <sheetView topLeftCell="A4" zoomScale="85" zoomScaleNormal="85" workbookViewId="0">
      <selection activeCell="C39" sqref="C39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2.140625" style="1" bestFit="1" customWidth="1"/>
    <col min="4" max="4" width="10.140625" style="1" bestFit="1" customWidth="1"/>
    <col min="5" max="5" width="10.7109375" style="1" bestFit="1" customWidth="1"/>
    <col min="6" max="6" width="12.85546875" style="1" bestFit="1" customWidth="1"/>
    <col min="7" max="7" width="9.5703125" style="1" bestFit="1" customWidth="1"/>
    <col min="8" max="8" width="14.7109375" style="1" bestFit="1" customWidth="1"/>
    <col min="9" max="9" width="14" style="1" customWidth="1"/>
    <col min="10" max="10" width="13.42578125" style="1" customWidth="1"/>
    <col min="11" max="11" width="11.7109375" style="1" customWidth="1"/>
    <col min="12" max="13" width="11.85546875" style="1" customWidth="1"/>
    <col min="14" max="14" width="12.28515625" style="1" customWidth="1"/>
    <col min="15" max="16384" width="8.85546875" style="1"/>
  </cols>
  <sheetData>
    <row r="1" spans="2:14" ht="15.75" thickBot="1" x14ac:dyDescent="0.3"/>
    <row r="2" spans="2:14" x14ac:dyDescent="0.25">
      <c r="B2" s="661" t="s">
        <v>143</v>
      </c>
      <c r="C2" s="662"/>
      <c r="D2" s="662"/>
      <c r="E2" s="663"/>
      <c r="I2" s="609"/>
      <c r="J2" s="609"/>
      <c r="K2" s="609"/>
      <c r="L2" s="609"/>
      <c r="M2" s="609"/>
      <c r="N2" s="609"/>
    </row>
    <row r="3" spans="2:14" x14ac:dyDescent="0.25">
      <c r="B3" s="26" t="s">
        <v>8</v>
      </c>
      <c r="C3" s="52" t="s">
        <v>26</v>
      </c>
      <c r="D3" s="52" t="s">
        <v>6</v>
      </c>
      <c r="E3" s="35" t="s">
        <v>139</v>
      </c>
      <c r="F3" s="35" t="s">
        <v>41</v>
      </c>
      <c r="I3" s="563"/>
      <c r="J3" s="668" t="s">
        <v>169</v>
      </c>
      <c r="K3" s="668"/>
      <c r="L3" s="668"/>
      <c r="M3" s="608"/>
      <c r="N3" s="669" t="s">
        <v>32</v>
      </c>
    </row>
    <row r="4" spans="2:14" ht="57" x14ac:dyDescent="0.25">
      <c r="B4" s="47">
        <v>45627</v>
      </c>
      <c r="C4" s="49"/>
      <c r="D4" s="49">
        <f>+K9</f>
        <v>0</v>
      </c>
      <c r="E4" s="48">
        <f t="shared" ref="E4:E17" si="0">++IFERROR(F4/D4,0)</f>
        <v>0</v>
      </c>
      <c r="F4" s="49">
        <f>+N9</f>
        <v>0</v>
      </c>
      <c r="G4" s="18"/>
      <c r="I4" s="565" t="s">
        <v>33</v>
      </c>
      <c r="J4" s="564" t="s">
        <v>34</v>
      </c>
      <c r="K4" s="564" t="s">
        <v>35</v>
      </c>
      <c r="L4" s="564" t="s">
        <v>36</v>
      </c>
      <c r="M4" s="564" t="s">
        <v>315</v>
      </c>
      <c r="N4" s="670"/>
    </row>
    <row r="5" spans="2:14" x14ac:dyDescent="0.25">
      <c r="B5" s="47">
        <f>+B4+1</f>
        <v>45628</v>
      </c>
      <c r="C5" s="49"/>
      <c r="D5" s="49">
        <f>+K15</f>
        <v>0</v>
      </c>
      <c r="E5" s="48">
        <f t="shared" si="0"/>
        <v>0</v>
      </c>
      <c r="F5" s="49">
        <f>+N15</f>
        <v>0</v>
      </c>
      <c r="I5" s="558"/>
      <c r="J5" s="534"/>
      <c r="K5" s="253"/>
      <c r="L5" s="535"/>
      <c r="M5" s="535">
        <v>1.0952648</v>
      </c>
      <c r="N5" s="536">
        <f>K5*(L5+M5)</f>
        <v>0</v>
      </c>
    </row>
    <row r="6" spans="2:14" x14ac:dyDescent="0.25">
      <c r="B6" s="47">
        <f t="shared" ref="B6:B34" si="1">+B5+1</f>
        <v>45629</v>
      </c>
      <c r="C6" s="49"/>
      <c r="D6" s="49">
        <f>+K24</f>
        <v>0</v>
      </c>
      <c r="E6" s="48">
        <f t="shared" si="0"/>
        <v>0</v>
      </c>
      <c r="F6" s="49">
        <f>+N24</f>
        <v>0</v>
      </c>
      <c r="I6" s="228">
        <v>45627</v>
      </c>
      <c r="J6" s="537"/>
      <c r="K6" s="538"/>
      <c r="L6" s="539"/>
      <c r="M6" s="539"/>
      <c r="N6" s="536">
        <f t="shared" ref="N6:N8" si="2">K6*(L6+M6)</f>
        <v>0</v>
      </c>
    </row>
    <row r="7" spans="2:14" x14ac:dyDescent="0.25">
      <c r="B7" s="47">
        <f t="shared" si="1"/>
        <v>45630</v>
      </c>
      <c r="C7" s="49"/>
      <c r="D7" s="49">
        <f>+K32</f>
        <v>0</v>
      </c>
      <c r="E7" s="48">
        <f t="shared" si="0"/>
        <v>0</v>
      </c>
      <c r="F7" s="49">
        <f>+N32</f>
        <v>0</v>
      </c>
      <c r="I7" s="560"/>
      <c r="J7" s="537"/>
      <c r="K7" s="541"/>
      <c r="L7" s="541"/>
      <c r="M7" s="541"/>
      <c r="N7" s="536">
        <f t="shared" si="2"/>
        <v>0</v>
      </c>
    </row>
    <row r="8" spans="2:14" x14ac:dyDescent="0.25">
      <c r="B8" s="47">
        <f t="shared" si="1"/>
        <v>45631</v>
      </c>
      <c r="C8" s="49"/>
      <c r="D8" s="49">
        <f>+K40</f>
        <v>0</v>
      </c>
      <c r="E8" s="48">
        <f t="shared" si="0"/>
        <v>0</v>
      </c>
      <c r="F8" s="49">
        <f>+N40</f>
        <v>0</v>
      </c>
      <c r="I8" s="560"/>
      <c r="J8" s="537"/>
      <c r="K8" s="541"/>
      <c r="L8" s="541"/>
      <c r="M8" s="541"/>
      <c r="N8" s="536">
        <f t="shared" si="2"/>
        <v>0</v>
      </c>
    </row>
    <row r="9" spans="2:14" x14ac:dyDescent="0.25">
      <c r="B9" s="47">
        <f t="shared" si="1"/>
        <v>45632</v>
      </c>
      <c r="C9" s="49"/>
      <c r="D9" s="49">
        <f>+K46</f>
        <v>0</v>
      </c>
      <c r="E9" s="48">
        <f t="shared" si="0"/>
        <v>0</v>
      </c>
      <c r="F9" s="49">
        <f>+N46</f>
        <v>0</v>
      </c>
      <c r="I9" s="559" t="s">
        <v>0</v>
      </c>
      <c r="J9" s="534"/>
      <c r="K9" s="542">
        <f>SUM(K5:K8)</f>
        <v>0</v>
      </c>
      <c r="L9" s="543" t="e">
        <f>+N9/K9</f>
        <v>#DIV/0!</v>
      </c>
      <c r="M9" s="543"/>
      <c r="N9" s="544">
        <f>SUM(N5:N8)</f>
        <v>0</v>
      </c>
    </row>
    <row r="10" spans="2:14" x14ac:dyDescent="0.25">
      <c r="B10" s="47">
        <f t="shared" si="1"/>
        <v>45633</v>
      </c>
      <c r="C10" s="49"/>
      <c r="D10" s="49">
        <f>+K52</f>
        <v>0</v>
      </c>
      <c r="E10" s="48">
        <f t="shared" si="0"/>
        <v>0</v>
      </c>
      <c r="F10" s="49">
        <f>+N52</f>
        <v>0</v>
      </c>
      <c r="I10" s="561"/>
      <c r="J10" s="546"/>
      <c r="K10" s="546"/>
      <c r="L10" s="547"/>
      <c r="M10" s="547"/>
      <c r="N10" s="548"/>
    </row>
    <row r="11" spans="2:14" x14ac:dyDescent="0.25">
      <c r="B11" s="47">
        <f t="shared" si="1"/>
        <v>45634</v>
      </c>
      <c r="C11" s="49"/>
      <c r="D11" s="49">
        <f>+K59</f>
        <v>0</v>
      </c>
      <c r="E11" s="48">
        <f t="shared" si="0"/>
        <v>0</v>
      </c>
      <c r="F11" s="49">
        <f>+N59</f>
        <v>0</v>
      </c>
      <c r="I11" s="558"/>
      <c r="J11" s="534"/>
      <c r="K11" s="535"/>
      <c r="L11" s="535"/>
      <c r="M11" s="535"/>
      <c r="N11" s="536">
        <f t="shared" ref="N11:N14" si="3">K11*(L11+M11)</f>
        <v>0</v>
      </c>
    </row>
    <row r="12" spans="2:14" x14ac:dyDescent="0.25">
      <c r="B12" s="47">
        <f t="shared" si="1"/>
        <v>45635</v>
      </c>
      <c r="C12" s="49"/>
      <c r="D12" s="49">
        <f>+K66</f>
        <v>0</v>
      </c>
      <c r="E12" s="48">
        <f t="shared" si="0"/>
        <v>0</v>
      </c>
      <c r="F12" s="49">
        <f>+N66</f>
        <v>0</v>
      </c>
      <c r="I12" s="560">
        <f>I6+1</f>
        <v>45628</v>
      </c>
      <c r="J12" s="537"/>
      <c r="K12" s="541"/>
      <c r="L12" s="541"/>
      <c r="M12" s="541">
        <v>1.0952648</v>
      </c>
      <c r="N12" s="540">
        <f t="shared" si="3"/>
        <v>0</v>
      </c>
    </row>
    <row r="13" spans="2:14" x14ac:dyDescent="0.25">
      <c r="B13" s="47">
        <f t="shared" si="1"/>
        <v>45636</v>
      </c>
      <c r="C13" s="49"/>
      <c r="D13" s="49">
        <f>+K73</f>
        <v>0</v>
      </c>
      <c r="E13" s="48">
        <f t="shared" si="0"/>
        <v>0</v>
      </c>
      <c r="F13" s="49">
        <f>+N73</f>
        <v>0</v>
      </c>
      <c r="I13" s="560"/>
      <c r="J13" s="537"/>
      <c r="K13" s="541"/>
      <c r="L13" s="541"/>
      <c r="M13" s="541"/>
      <c r="N13" s="540">
        <f t="shared" si="3"/>
        <v>0</v>
      </c>
    </row>
    <row r="14" spans="2:14" x14ac:dyDescent="0.25">
      <c r="B14" s="47">
        <f t="shared" si="1"/>
        <v>45637</v>
      </c>
      <c r="C14" s="49"/>
      <c r="D14" s="49">
        <f>+K79</f>
        <v>0</v>
      </c>
      <c r="E14" s="48">
        <f t="shared" si="0"/>
        <v>0</v>
      </c>
      <c r="F14" s="49">
        <f>+N79</f>
        <v>0</v>
      </c>
      <c r="I14" s="560"/>
      <c r="J14" s="537"/>
      <c r="K14" s="541"/>
      <c r="L14" s="541"/>
      <c r="M14" s="541"/>
      <c r="N14" s="540">
        <f t="shared" si="3"/>
        <v>0</v>
      </c>
    </row>
    <row r="15" spans="2:14" x14ac:dyDescent="0.25">
      <c r="B15" s="47">
        <f t="shared" si="1"/>
        <v>45638</v>
      </c>
      <c r="C15" s="49"/>
      <c r="D15" s="49">
        <f>+K85</f>
        <v>0</v>
      </c>
      <c r="E15" s="48">
        <f t="shared" si="0"/>
        <v>0</v>
      </c>
      <c r="F15" s="49">
        <f>+N85</f>
        <v>0</v>
      </c>
      <c r="I15" s="559" t="s">
        <v>0</v>
      </c>
      <c r="J15" s="534"/>
      <c r="K15" s="542">
        <f>SUM(K11:K14)</f>
        <v>0</v>
      </c>
      <c r="L15" s="543" t="e">
        <f>N15/K15</f>
        <v>#DIV/0!</v>
      </c>
      <c r="M15" s="543"/>
      <c r="N15" s="544">
        <f>SUM(N11:N14)</f>
        <v>0</v>
      </c>
    </row>
    <row r="16" spans="2:14" x14ac:dyDescent="0.25">
      <c r="B16" s="47">
        <f t="shared" si="1"/>
        <v>45639</v>
      </c>
      <c r="C16" s="49"/>
      <c r="D16" s="49">
        <f>+K93</f>
        <v>0</v>
      </c>
      <c r="E16" s="48">
        <f t="shared" si="0"/>
        <v>0</v>
      </c>
      <c r="F16" s="49">
        <f>+N93</f>
        <v>0</v>
      </c>
      <c r="I16" s="561"/>
      <c r="J16" s="546"/>
      <c r="K16" s="546"/>
      <c r="L16" s="547"/>
      <c r="M16" s="547"/>
      <c r="N16" s="548"/>
    </row>
    <row r="17" spans="2:14" x14ac:dyDescent="0.25">
      <c r="B17" s="47">
        <f t="shared" si="1"/>
        <v>45640</v>
      </c>
      <c r="C17" s="49"/>
      <c r="D17" s="49">
        <f>+K101</f>
        <v>0</v>
      </c>
      <c r="E17" s="48">
        <f t="shared" si="0"/>
        <v>0</v>
      </c>
      <c r="F17" s="49">
        <f>+N101</f>
        <v>0</v>
      </c>
      <c r="I17" s="558"/>
      <c r="J17" s="534"/>
      <c r="K17" s="253"/>
      <c r="L17" s="535"/>
      <c r="M17" s="535"/>
      <c r="N17" s="536">
        <f t="shared" ref="N17:N23" si="4">K17*(L17+M17)</f>
        <v>0</v>
      </c>
    </row>
    <row r="18" spans="2:14" x14ac:dyDescent="0.25">
      <c r="B18" s="47">
        <f t="shared" si="1"/>
        <v>45641</v>
      </c>
      <c r="C18" s="49"/>
      <c r="D18" s="49">
        <f>+K106</f>
        <v>0</v>
      </c>
      <c r="E18" s="48">
        <f t="shared" ref="E18:E32" si="5">++IFERROR(F18/D18,0)</f>
        <v>0</v>
      </c>
      <c r="F18" s="49">
        <f>+N106</f>
        <v>0</v>
      </c>
      <c r="I18" s="560">
        <f>I12+1</f>
        <v>45629</v>
      </c>
      <c r="J18" s="537"/>
      <c r="K18" s="541"/>
      <c r="L18" s="541"/>
      <c r="M18" s="541">
        <v>1.0952648</v>
      </c>
      <c r="N18" s="540">
        <f t="shared" si="4"/>
        <v>0</v>
      </c>
    </row>
    <row r="19" spans="2:14" x14ac:dyDescent="0.25">
      <c r="B19" s="47">
        <f t="shared" si="1"/>
        <v>45642</v>
      </c>
      <c r="C19" s="49"/>
      <c r="D19" s="49">
        <f>+K111</f>
        <v>0</v>
      </c>
      <c r="E19" s="48">
        <f t="shared" si="5"/>
        <v>0</v>
      </c>
      <c r="F19" s="49">
        <f>+N111</f>
        <v>0</v>
      </c>
      <c r="I19" s="560"/>
      <c r="J19" s="537"/>
      <c r="K19" s="541"/>
      <c r="L19" s="541"/>
      <c r="M19" s="541"/>
      <c r="N19" s="540">
        <f t="shared" si="4"/>
        <v>0</v>
      </c>
    </row>
    <row r="20" spans="2:14" x14ac:dyDescent="0.25">
      <c r="B20" s="47">
        <f t="shared" si="1"/>
        <v>45643</v>
      </c>
      <c r="C20" s="49"/>
      <c r="D20" s="49">
        <f>+K116</f>
        <v>0</v>
      </c>
      <c r="E20" s="48">
        <f t="shared" si="5"/>
        <v>0</v>
      </c>
      <c r="F20" s="49">
        <f>+N116</f>
        <v>0</v>
      </c>
      <c r="I20" s="560"/>
      <c r="J20" s="537"/>
      <c r="K20" s="541"/>
      <c r="L20" s="541"/>
      <c r="M20" s="541"/>
      <c r="N20" s="540">
        <f t="shared" si="4"/>
        <v>0</v>
      </c>
    </row>
    <row r="21" spans="2:14" x14ac:dyDescent="0.25">
      <c r="B21" s="47">
        <f t="shared" si="1"/>
        <v>45644</v>
      </c>
      <c r="C21" s="49"/>
      <c r="D21" s="49">
        <f>+K121</f>
        <v>0</v>
      </c>
      <c r="E21" s="48">
        <f t="shared" si="5"/>
        <v>0</v>
      </c>
      <c r="F21" s="49">
        <f>+N121</f>
        <v>0</v>
      </c>
      <c r="I21" s="560"/>
      <c r="J21" s="537"/>
      <c r="K21" s="541"/>
      <c r="L21" s="541"/>
      <c r="M21" s="541"/>
      <c r="N21" s="540">
        <f t="shared" si="4"/>
        <v>0</v>
      </c>
    </row>
    <row r="22" spans="2:14" x14ac:dyDescent="0.25">
      <c r="B22" s="47">
        <f t="shared" si="1"/>
        <v>45645</v>
      </c>
      <c r="C22" s="49"/>
      <c r="D22" s="49">
        <f>+K128</f>
        <v>0</v>
      </c>
      <c r="E22" s="48">
        <f t="shared" si="5"/>
        <v>0</v>
      </c>
      <c r="F22" s="49">
        <f>+N128</f>
        <v>0</v>
      </c>
      <c r="I22" s="560"/>
      <c r="J22" s="537"/>
      <c r="K22" s="541"/>
      <c r="L22" s="541"/>
      <c r="M22" s="541"/>
      <c r="N22" s="540">
        <f t="shared" si="4"/>
        <v>0</v>
      </c>
    </row>
    <row r="23" spans="2:14" x14ac:dyDescent="0.25">
      <c r="B23" s="47">
        <f t="shared" si="1"/>
        <v>45646</v>
      </c>
      <c r="C23" s="49"/>
      <c r="D23" s="49">
        <f>+K135</f>
        <v>0</v>
      </c>
      <c r="E23" s="48">
        <f t="shared" si="5"/>
        <v>0</v>
      </c>
      <c r="F23" s="49">
        <f>+N135</f>
        <v>0</v>
      </c>
      <c r="I23" s="560"/>
      <c r="J23" s="537"/>
      <c r="K23" s="541"/>
      <c r="L23" s="541"/>
      <c r="M23" s="541"/>
      <c r="N23" s="540">
        <f t="shared" si="4"/>
        <v>0</v>
      </c>
    </row>
    <row r="24" spans="2:14" x14ac:dyDescent="0.25">
      <c r="B24" s="47">
        <f t="shared" si="1"/>
        <v>45647</v>
      </c>
      <c r="C24" s="49"/>
      <c r="D24" s="49">
        <f>+K140</f>
        <v>0</v>
      </c>
      <c r="E24" s="48">
        <f t="shared" si="5"/>
        <v>0</v>
      </c>
      <c r="F24" s="49">
        <f>+N140</f>
        <v>0</v>
      </c>
      <c r="I24" s="559" t="s">
        <v>0</v>
      </c>
      <c r="J24" s="534"/>
      <c r="K24" s="542">
        <f>SUM(K17:K23)</f>
        <v>0</v>
      </c>
      <c r="L24" s="543" t="e">
        <f>N24/K24</f>
        <v>#DIV/0!</v>
      </c>
      <c r="M24" s="543"/>
      <c r="N24" s="544">
        <f>SUM(N17:N23)</f>
        <v>0</v>
      </c>
    </row>
    <row r="25" spans="2:14" x14ac:dyDescent="0.25">
      <c r="B25" s="47">
        <f t="shared" si="1"/>
        <v>45648</v>
      </c>
      <c r="C25" s="49"/>
      <c r="D25" s="49">
        <f>+K145</f>
        <v>0</v>
      </c>
      <c r="E25" s="48">
        <f t="shared" si="5"/>
        <v>0</v>
      </c>
      <c r="F25" s="49">
        <f>+N145</f>
        <v>0</v>
      </c>
      <c r="I25" s="561"/>
      <c r="J25" s="546"/>
      <c r="K25" s="546"/>
      <c r="L25" s="547"/>
      <c r="M25" s="547"/>
      <c r="N25" s="548"/>
    </row>
    <row r="26" spans="2:14" x14ac:dyDescent="0.25">
      <c r="B26" s="47">
        <f t="shared" si="1"/>
        <v>45649</v>
      </c>
      <c r="C26" s="49"/>
      <c r="D26" s="49">
        <f>+K150</f>
        <v>0</v>
      </c>
      <c r="E26" s="48">
        <f t="shared" si="5"/>
        <v>0</v>
      </c>
      <c r="F26" s="49">
        <f>+N150</f>
        <v>0</v>
      </c>
      <c r="I26" s="558"/>
      <c r="J26" s="534"/>
      <c r="K26" s="253"/>
      <c r="L26" s="535"/>
      <c r="M26" s="535"/>
      <c r="N26" s="536">
        <f t="shared" ref="N26:N31" si="6">K26*(L26+M26)</f>
        <v>0</v>
      </c>
    </row>
    <row r="27" spans="2:14" x14ac:dyDescent="0.25">
      <c r="B27" s="47">
        <f t="shared" si="1"/>
        <v>45650</v>
      </c>
      <c r="C27" s="49"/>
      <c r="D27" s="49">
        <f>+K156</f>
        <v>0</v>
      </c>
      <c r="E27" s="48">
        <f t="shared" si="5"/>
        <v>0</v>
      </c>
      <c r="F27" s="49">
        <f>+N156</f>
        <v>0</v>
      </c>
      <c r="I27" s="559">
        <f>I18+1</f>
        <v>45630</v>
      </c>
      <c r="J27" s="534"/>
      <c r="K27" s="262"/>
      <c r="L27" s="535"/>
      <c r="M27" s="535">
        <v>1.0952648</v>
      </c>
      <c r="N27" s="536">
        <f t="shared" si="6"/>
        <v>0</v>
      </c>
    </row>
    <row r="28" spans="2:14" x14ac:dyDescent="0.25">
      <c r="B28" s="47">
        <f t="shared" si="1"/>
        <v>45651</v>
      </c>
      <c r="C28" s="49"/>
      <c r="D28" s="49">
        <f>+K164</f>
        <v>0</v>
      </c>
      <c r="E28" s="48">
        <f t="shared" si="5"/>
        <v>0</v>
      </c>
      <c r="F28" s="49">
        <f>+N164</f>
        <v>0</v>
      </c>
      <c r="I28" s="560"/>
      <c r="J28" s="537"/>
      <c r="K28" s="541"/>
      <c r="L28" s="541"/>
      <c r="M28" s="541">
        <v>1.0952648</v>
      </c>
      <c r="N28" s="540">
        <f t="shared" si="6"/>
        <v>0</v>
      </c>
    </row>
    <row r="29" spans="2:14" x14ac:dyDescent="0.25">
      <c r="B29" s="47">
        <f t="shared" si="1"/>
        <v>45652</v>
      </c>
      <c r="C29" s="49"/>
      <c r="D29" s="49">
        <f>+K171</f>
        <v>0</v>
      </c>
      <c r="E29" s="48">
        <f t="shared" si="5"/>
        <v>0</v>
      </c>
      <c r="F29" s="49">
        <f>+N171</f>
        <v>0</v>
      </c>
      <c r="I29" s="560"/>
      <c r="J29" s="537"/>
      <c r="K29" s="541"/>
      <c r="L29" s="541"/>
      <c r="M29" s="541"/>
      <c r="N29" s="540">
        <f t="shared" si="6"/>
        <v>0</v>
      </c>
    </row>
    <row r="30" spans="2:14" x14ac:dyDescent="0.25">
      <c r="B30" s="47">
        <f t="shared" si="1"/>
        <v>45653</v>
      </c>
      <c r="C30" s="49"/>
      <c r="D30" s="49">
        <f>+K178</f>
        <v>0</v>
      </c>
      <c r="E30" s="48">
        <f t="shared" si="5"/>
        <v>0</v>
      </c>
      <c r="F30" s="49">
        <f>+N178</f>
        <v>0</v>
      </c>
      <c r="I30" s="560"/>
      <c r="J30" s="537"/>
      <c r="K30" s="541"/>
      <c r="L30" s="541"/>
      <c r="M30" s="541"/>
      <c r="N30" s="540">
        <f t="shared" si="6"/>
        <v>0</v>
      </c>
    </row>
    <row r="31" spans="2:14" x14ac:dyDescent="0.25">
      <c r="B31" s="47">
        <f t="shared" si="1"/>
        <v>45654</v>
      </c>
      <c r="C31" s="49"/>
      <c r="D31" s="49">
        <f>+K185</f>
        <v>0</v>
      </c>
      <c r="E31" s="48">
        <f t="shared" si="5"/>
        <v>0</v>
      </c>
      <c r="F31" s="49">
        <f>+N185</f>
        <v>0</v>
      </c>
      <c r="I31" s="560"/>
      <c r="J31" s="537"/>
      <c r="K31" s="541"/>
      <c r="L31" s="541"/>
      <c r="M31" s="541"/>
      <c r="N31" s="540">
        <f t="shared" si="6"/>
        <v>0</v>
      </c>
    </row>
    <row r="32" spans="2:14" x14ac:dyDescent="0.25">
      <c r="B32" s="47">
        <f t="shared" si="1"/>
        <v>45655</v>
      </c>
      <c r="C32" s="49"/>
      <c r="D32" s="49">
        <f>+K193</f>
        <v>0</v>
      </c>
      <c r="E32" s="48">
        <f t="shared" si="5"/>
        <v>0</v>
      </c>
      <c r="F32" s="49">
        <f>+N193</f>
        <v>0</v>
      </c>
      <c r="I32" s="559" t="s">
        <v>0</v>
      </c>
      <c r="J32" s="534"/>
      <c r="K32" s="542">
        <f>SUM(K26:K31)</f>
        <v>0</v>
      </c>
      <c r="L32" s="543" t="e">
        <f>N32/K32</f>
        <v>#DIV/0!</v>
      </c>
      <c r="M32" s="543"/>
      <c r="N32" s="544">
        <f>SUM(N26:N31)</f>
        <v>0</v>
      </c>
    </row>
    <row r="33" spans="2:14" x14ac:dyDescent="0.25">
      <c r="B33" s="47">
        <f t="shared" si="1"/>
        <v>45656</v>
      </c>
      <c r="C33" s="49"/>
      <c r="D33" s="49">
        <f>+K200</f>
        <v>0</v>
      </c>
      <c r="E33" s="48">
        <f t="shared" ref="E33:E34" si="7">++IFERROR(F33/D33,0)</f>
        <v>0</v>
      </c>
      <c r="F33" s="49">
        <f>+N200</f>
        <v>0</v>
      </c>
      <c r="I33" s="561"/>
      <c r="J33" s="546"/>
      <c r="K33" s="546"/>
      <c r="L33" s="547"/>
      <c r="M33" s="547"/>
      <c r="N33" s="548"/>
    </row>
    <row r="34" spans="2:14" x14ac:dyDescent="0.25">
      <c r="B34" s="47">
        <f t="shared" si="1"/>
        <v>45657</v>
      </c>
      <c r="C34" s="49"/>
      <c r="D34" s="49">
        <f>+K207</f>
        <v>0</v>
      </c>
      <c r="E34" s="48">
        <f t="shared" si="7"/>
        <v>0</v>
      </c>
      <c r="F34" s="49">
        <f>+N207</f>
        <v>0</v>
      </c>
      <c r="I34" s="558"/>
      <c r="J34" s="534"/>
      <c r="K34" s="253"/>
      <c r="L34" s="535"/>
      <c r="M34" s="535"/>
      <c r="N34" s="536">
        <f t="shared" ref="N34:N39" si="8">K34*(L34+M34)</f>
        <v>0</v>
      </c>
    </row>
    <row r="35" spans="2:14" x14ac:dyDescent="0.25">
      <c r="D35" s="16">
        <f>SUM(D4:D34)</f>
        <v>0</v>
      </c>
      <c r="E35" s="180" t="e">
        <f>+F35/D35</f>
        <v>#DIV/0!</v>
      </c>
      <c r="F35" s="16">
        <f>SUM(F4:F34)</f>
        <v>0</v>
      </c>
      <c r="I35" s="559">
        <f>I27+1</f>
        <v>45631</v>
      </c>
      <c r="J35" s="537"/>
      <c r="K35" s="253"/>
      <c r="L35" s="541"/>
      <c r="M35" s="541">
        <v>1.0952648</v>
      </c>
      <c r="N35" s="536">
        <f t="shared" si="8"/>
        <v>0</v>
      </c>
    </row>
    <row r="36" spans="2:14" x14ac:dyDescent="0.25">
      <c r="I36" s="559"/>
      <c r="J36" s="537"/>
      <c r="K36" s="253"/>
      <c r="L36" s="541"/>
      <c r="M36" s="541"/>
      <c r="N36" s="536">
        <f t="shared" si="8"/>
        <v>0</v>
      </c>
    </row>
    <row r="37" spans="2:14" x14ac:dyDescent="0.25">
      <c r="F37" s="618"/>
      <c r="I37" s="559"/>
      <c r="J37" s="537"/>
      <c r="K37" s="253"/>
      <c r="L37" s="541"/>
      <c r="M37" s="541"/>
      <c r="N37" s="536">
        <f t="shared" si="8"/>
        <v>0</v>
      </c>
    </row>
    <row r="38" spans="2:14" x14ac:dyDescent="0.25">
      <c r="I38" s="559"/>
      <c r="J38" s="537"/>
      <c r="K38" s="253"/>
      <c r="L38" s="541"/>
      <c r="M38" s="541"/>
      <c r="N38" s="536">
        <f t="shared" si="8"/>
        <v>0</v>
      </c>
    </row>
    <row r="39" spans="2:14" x14ac:dyDescent="0.25">
      <c r="I39" s="559"/>
      <c r="J39" s="537"/>
      <c r="K39" s="253"/>
      <c r="L39" s="541"/>
      <c r="M39" s="541"/>
      <c r="N39" s="536">
        <f t="shared" si="8"/>
        <v>0</v>
      </c>
    </row>
    <row r="40" spans="2:14" x14ac:dyDescent="0.25">
      <c r="I40" s="559" t="s">
        <v>0</v>
      </c>
      <c r="J40" s="534"/>
      <c r="K40" s="542">
        <f>SUM(K34:K39)</f>
        <v>0</v>
      </c>
      <c r="L40" s="543" t="e">
        <f>N40/K40</f>
        <v>#DIV/0!</v>
      </c>
      <c r="M40" s="543"/>
      <c r="N40" s="544">
        <f>SUM(N34:N39)</f>
        <v>0</v>
      </c>
    </row>
    <row r="41" spans="2:14" x14ac:dyDescent="0.25">
      <c r="I41" s="561"/>
      <c r="J41" s="546"/>
      <c r="K41" s="546"/>
      <c r="L41" s="547"/>
      <c r="M41" s="547"/>
      <c r="N41" s="548"/>
    </row>
    <row r="42" spans="2:14" x14ac:dyDescent="0.25">
      <c r="I42" s="558"/>
      <c r="J42" s="534"/>
      <c r="K42" s="253"/>
      <c r="L42" s="535"/>
      <c r="M42" s="535"/>
      <c r="N42" s="536">
        <f t="shared" ref="N42:N45" si="9">K42*(L42+M42)</f>
        <v>0</v>
      </c>
    </row>
    <row r="43" spans="2:14" x14ac:dyDescent="0.25">
      <c r="I43" s="559">
        <f>I35+1</f>
        <v>45632</v>
      </c>
      <c r="J43" s="537"/>
      <c r="K43" s="253"/>
      <c r="L43" s="541"/>
      <c r="M43" s="541">
        <v>1.0952648</v>
      </c>
      <c r="N43" s="536">
        <f t="shared" si="9"/>
        <v>0</v>
      </c>
    </row>
    <row r="44" spans="2:14" x14ac:dyDescent="0.25">
      <c r="I44" s="560"/>
      <c r="J44" s="537"/>
      <c r="K44" s="541"/>
      <c r="L44" s="541"/>
      <c r="M44" s="541">
        <v>1.0952648</v>
      </c>
      <c r="N44" s="540">
        <f t="shared" si="9"/>
        <v>0</v>
      </c>
    </row>
    <row r="45" spans="2:14" x14ac:dyDescent="0.25">
      <c r="I45" s="560"/>
      <c r="J45" s="537"/>
      <c r="K45" s="541"/>
      <c r="L45" s="541"/>
      <c r="M45" s="541"/>
      <c r="N45" s="540">
        <f t="shared" si="9"/>
        <v>0</v>
      </c>
    </row>
    <row r="46" spans="2:14" x14ac:dyDescent="0.25">
      <c r="I46" s="559" t="s">
        <v>0</v>
      </c>
      <c r="J46" s="534"/>
      <c r="K46" s="542">
        <f>SUM(K42:K45)</f>
        <v>0</v>
      </c>
      <c r="L46" s="543" t="e">
        <f>N46/K46</f>
        <v>#DIV/0!</v>
      </c>
      <c r="M46" s="543"/>
      <c r="N46" s="544">
        <f>SUM(N42:N45)</f>
        <v>0</v>
      </c>
    </row>
    <row r="47" spans="2:14" x14ac:dyDescent="0.25">
      <c r="I47" s="561"/>
      <c r="J47" s="546"/>
      <c r="K47" s="546"/>
      <c r="L47" s="547"/>
      <c r="M47" s="547"/>
      <c r="N47" s="548"/>
    </row>
    <row r="48" spans="2:14" x14ac:dyDescent="0.25">
      <c r="I48" s="558"/>
      <c r="J48" s="534"/>
      <c r="K48" s="253"/>
      <c r="L48" s="535"/>
      <c r="M48" s="535"/>
      <c r="N48" s="536">
        <f t="shared" ref="N48:N51" si="10">K48*(L48+M48)</f>
        <v>0</v>
      </c>
    </row>
    <row r="49" spans="9:14" x14ac:dyDescent="0.25">
      <c r="I49" s="549">
        <f>I43+1</f>
        <v>45633</v>
      </c>
      <c r="J49" s="537"/>
      <c r="K49" s="253"/>
      <c r="L49" s="541"/>
      <c r="M49" s="541">
        <v>1.0952648</v>
      </c>
      <c r="N49" s="536">
        <f t="shared" si="10"/>
        <v>0</v>
      </c>
    </row>
    <row r="50" spans="9:14" x14ac:dyDescent="0.25">
      <c r="I50" s="560"/>
      <c r="J50" s="537"/>
      <c r="K50" s="541"/>
      <c r="L50" s="541"/>
      <c r="M50" s="541"/>
      <c r="N50" s="540">
        <f t="shared" si="10"/>
        <v>0</v>
      </c>
    </row>
    <row r="51" spans="9:14" x14ac:dyDescent="0.25">
      <c r="I51" s="560"/>
      <c r="J51" s="537"/>
      <c r="K51" s="541"/>
      <c r="L51" s="541"/>
      <c r="M51" s="541"/>
      <c r="N51" s="540">
        <f t="shared" si="10"/>
        <v>0</v>
      </c>
    </row>
    <row r="52" spans="9:14" x14ac:dyDescent="0.25">
      <c r="I52" s="559" t="s">
        <v>0</v>
      </c>
      <c r="J52" s="534"/>
      <c r="K52" s="542">
        <f>SUM(K48:K51)</f>
        <v>0</v>
      </c>
      <c r="L52" s="543" t="e">
        <f>N52/K52</f>
        <v>#DIV/0!</v>
      </c>
      <c r="M52" s="543"/>
      <c r="N52" s="544">
        <f>SUM(N48:N51)</f>
        <v>0</v>
      </c>
    </row>
    <row r="53" spans="9:14" x14ac:dyDescent="0.25">
      <c r="I53" s="561"/>
      <c r="J53" s="546"/>
      <c r="K53" s="546"/>
      <c r="L53" s="547"/>
      <c r="M53" s="547"/>
      <c r="N53" s="548"/>
    </row>
    <row r="54" spans="9:14" x14ac:dyDescent="0.25">
      <c r="I54" s="558"/>
      <c r="J54" s="534"/>
      <c r="K54" s="253"/>
      <c r="L54" s="535"/>
      <c r="M54" s="535"/>
      <c r="N54" s="536">
        <f t="shared" ref="N54:N58" si="11">K54*(L54+M54)</f>
        <v>0</v>
      </c>
    </row>
    <row r="55" spans="9:14" x14ac:dyDescent="0.25">
      <c r="I55" s="549">
        <f>+I49+1</f>
        <v>45634</v>
      </c>
      <c r="J55" s="534"/>
      <c r="K55" s="262"/>
      <c r="L55" s="535"/>
      <c r="M55" s="535"/>
      <c r="N55" s="536">
        <f t="shared" si="11"/>
        <v>0</v>
      </c>
    </row>
    <row r="56" spans="9:14" x14ac:dyDescent="0.25">
      <c r="I56" s="560"/>
      <c r="J56" s="537"/>
      <c r="K56" s="541"/>
      <c r="L56" s="541"/>
      <c r="M56" s="541"/>
      <c r="N56" s="540">
        <f t="shared" si="11"/>
        <v>0</v>
      </c>
    </row>
    <row r="57" spans="9:14" x14ac:dyDescent="0.25">
      <c r="I57" s="560"/>
      <c r="J57" s="537"/>
      <c r="K57" s="541"/>
      <c r="L57" s="541"/>
      <c r="M57" s="541"/>
      <c r="N57" s="540">
        <f t="shared" si="11"/>
        <v>0</v>
      </c>
    </row>
    <row r="58" spans="9:14" x14ac:dyDescent="0.25">
      <c r="I58" s="595"/>
      <c r="J58" s="537"/>
      <c r="K58" s="541"/>
      <c r="L58" s="541"/>
      <c r="M58" s="541"/>
      <c r="N58" s="540">
        <f t="shared" si="11"/>
        <v>0</v>
      </c>
    </row>
    <row r="59" spans="9:14" x14ac:dyDescent="0.25">
      <c r="I59" s="559" t="s">
        <v>0</v>
      </c>
      <c r="J59" s="534"/>
      <c r="K59" s="542">
        <f>SUM(K54:K58)</f>
        <v>0</v>
      </c>
      <c r="L59" s="543" t="e">
        <f>N59/K59</f>
        <v>#DIV/0!</v>
      </c>
      <c r="M59" s="543"/>
      <c r="N59" s="544">
        <f>SUM(N54:N58)</f>
        <v>0</v>
      </c>
    </row>
    <row r="60" spans="9:14" x14ac:dyDescent="0.25">
      <c r="I60" s="561"/>
      <c r="J60" s="546"/>
      <c r="K60" s="546"/>
      <c r="L60" s="547"/>
      <c r="M60" s="547"/>
      <c r="N60" s="548"/>
    </row>
    <row r="61" spans="9:14" x14ac:dyDescent="0.25">
      <c r="I61" s="558"/>
      <c r="J61" s="534"/>
      <c r="K61" s="253"/>
      <c r="L61" s="262"/>
      <c r="M61" s="262"/>
      <c r="N61" s="536">
        <f t="shared" ref="N61:N65" si="12">K61*(L61+M61)</f>
        <v>0</v>
      </c>
    </row>
    <row r="62" spans="9:14" x14ac:dyDescent="0.25">
      <c r="I62" s="558">
        <f>I55+1</f>
        <v>45635</v>
      </c>
      <c r="J62" s="534"/>
      <c r="K62" s="253"/>
      <c r="L62" s="253"/>
      <c r="M62" s="253"/>
      <c r="N62" s="536">
        <f t="shared" si="12"/>
        <v>0</v>
      </c>
    </row>
    <row r="63" spans="9:14" x14ac:dyDescent="0.25">
      <c r="I63" s="595"/>
      <c r="J63" s="537"/>
      <c r="K63" s="541"/>
      <c r="L63" s="541"/>
      <c r="M63" s="253"/>
      <c r="N63" s="540">
        <f t="shared" si="12"/>
        <v>0</v>
      </c>
    </row>
    <row r="64" spans="9:14" x14ac:dyDescent="0.25">
      <c r="I64" s="595"/>
      <c r="J64" s="537"/>
      <c r="K64" s="541"/>
      <c r="L64" s="541"/>
      <c r="M64" s="253"/>
      <c r="N64" s="540">
        <f t="shared" si="12"/>
        <v>0</v>
      </c>
    </row>
    <row r="65" spans="9:14" x14ac:dyDescent="0.25">
      <c r="I65" s="595"/>
      <c r="J65" s="537"/>
      <c r="K65" s="541"/>
      <c r="L65" s="541"/>
      <c r="M65" s="253"/>
      <c r="N65" s="540">
        <f t="shared" si="12"/>
        <v>0</v>
      </c>
    </row>
    <row r="66" spans="9:14" x14ac:dyDescent="0.25">
      <c r="I66" s="559" t="s">
        <v>0</v>
      </c>
      <c r="J66" s="534"/>
      <c r="K66" s="542">
        <f>SUM(K61:K65)</f>
        <v>0</v>
      </c>
      <c r="L66" s="543" t="e">
        <f>N66/K66</f>
        <v>#DIV/0!</v>
      </c>
      <c r="M66" s="543"/>
      <c r="N66" s="544">
        <f>SUM(N61:N65)</f>
        <v>0</v>
      </c>
    </row>
    <row r="67" spans="9:14" x14ac:dyDescent="0.25">
      <c r="I67" s="561"/>
      <c r="J67" s="546"/>
      <c r="K67" s="546"/>
      <c r="L67" s="547"/>
      <c r="M67" s="547"/>
      <c r="N67" s="548"/>
    </row>
    <row r="68" spans="9:14" x14ac:dyDescent="0.25">
      <c r="I68" s="558"/>
      <c r="J68" s="534"/>
      <c r="K68" s="253"/>
      <c r="L68" s="535"/>
      <c r="M68" s="535"/>
      <c r="N68" s="536">
        <f t="shared" ref="N68:N72" si="13">K68*(L68+M68)</f>
        <v>0</v>
      </c>
    </row>
    <row r="69" spans="9:14" x14ac:dyDescent="0.25">
      <c r="I69" s="559">
        <f>I62+1</f>
        <v>45636</v>
      </c>
      <c r="J69" s="534"/>
      <c r="K69" s="253"/>
      <c r="L69" s="541"/>
      <c r="M69" s="541"/>
      <c r="N69" s="536">
        <f t="shared" si="13"/>
        <v>0</v>
      </c>
    </row>
    <row r="70" spans="9:14" x14ac:dyDescent="0.25">
      <c r="I70" s="596"/>
      <c r="J70" s="534"/>
      <c r="K70" s="253"/>
      <c r="L70" s="541"/>
      <c r="M70" s="541"/>
      <c r="N70" s="536">
        <f t="shared" si="13"/>
        <v>0</v>
      </c>
    </row>
    <row r="71" spans="9:14" x14ac:dyDescent="0.25">
      <c r="I71" s="596"/>
      <c r="J71" s="534"/>
      <c r="K71" s="253"/>
      <c r="L71" s="541"/>
      <c r="M71" s="541"/>
      <c r="N71" s="536">
        <f t="shared" si="13"/>
        <v>0</v>
      </c>
    </row>
    <row r="72" spans="9:14" x14ac:dyDescent="0.25">
      <c r="I72" s="596"/>
      <c r="J72" s="534"/>
      <c r="K72" s="253"/>
      <c r="L72" s="541"/>
      <c r="M72" s="541"/>
      <c r="N72" s="536">
        <f t="shared" si="13"/>
        <v>0</v>
      </c>
    </row>
    <row r="73" spans="9:14" x14ac:dyDescent="0.25">
      <c r="I73" s="559" t="s">
        <v>0</v>
      </c>
      <c r="J73" s="534"/>
      <c r="K73" s="542">
        <f>SUM(K68:K72)</f>
        <v>0</v>
      </c>
      <c r="L73" s="543" t="e">
        <f>N73/K73</f>
        <v>#DIV/0!</v>
      </c>
      <c r="M73" s="543"/>
      <c r="N73" s="544">
        <f>SUM(N68:N72)</f>
        <v>0</v>
      </c>
    </row>
    <row r="74" spans="9:14" x14ac:dyDescent="0.25">
      <c r="I74" s="561"/>
      <c r="J74" s="546"/>
      <c r="K74" s="546"/>
      <c r="L74" s="547"/>
      <c r="M74" s="547"/>
      <c r="N74" s="548"/>
    </row>
    <row r="75" spans="9:14" x14ac:dyDescent="0.25">
      <c r="I75" s="558"/>
      <c r="J75" s="534"/>
      <c r="K75" s="253"/>
      <c r="L75" s="535"/>
      <c r="M75" s="535"/>
      <c r="N75" s="536">
        <f t="shared" ref="N75:N78" si="14">K75*(L75+M75)</f>
        <v>0</v>
      </c>
    </row>
    <row r="76" spans="9:14" x14ac:dyDescent="0.25">
      <c r="I76" s="559">
        <f>I69+1</f>
        <v>45637</v>
      </c>
      <c r="J76" s="537"/>
      <c r="K76" s="253"/>
      <c r="L76" s="541"/>
      <c r="M76" s="541"/>
      <c r="N76" s="536">
        <f t="shared" si="14"/>
        <v>0</v>
      </c>
    </row>
    <row r="77" spans="9:14" x14ac:dyDescent="0.25">
      <c r="I77" s="595"/>
      <c r="J77" s="537"/>
      <c r="K77" s="541"/>
      <c r="L77" s="541"/>
      <c r="M77" s="541"/>
      <c r="N77" s="540">
        <f t="shared" si="14"/>
        <v>0</v>
      </c>
    </row>
    <row r="78" spans="9:14" x14ac:dyDescent="0.25">
      <c r="I78" s="595"/>
      <c r="J78" s="537"/>
      <c r="K78" s="541"/>
      <c r="L78" s="541"/>
      <c r="M78" s="541"/>
      <c r="N78" s="540">
        <f t="shared" si="14"/>
        <v>0</v>
      </c>
    </row>
    <row r="79" spans="9:14" x14ac:dyDescent="0.25">
      <c r="I79" s="559" t="s">
        <v>0</v>
      </c>
      <c r="J79" s="534"/>
      <c r="K79" s="542">
        <f>SUM(K75:K78)</f>
        <v>0</v>
      </c>
      <c r="L79" s="543" t="e">
        <f>N79/K79</f>
        <v>#DIV/0!</v>
      </c>
      <c r="M79" s="543"/>
      <c r="N79" s="544">
        <f>SUM(N75:N78)</f>
        <v>0</v>
      </c>
    </row>
    <row r="80" spans="9:14" x14ac:dyDescent="0.25">
      <c r="I80" s="561"/>
      <c r="J80" s="546"/>
      <c r="K80" s="546"/>
      <c r="L80" s="547"/>
      <c r="M80" s="547"/>
      <c r="N80" s="548"/>
    </row>
    <row r="81" spans="9:14" x14ac:dyDescent="0.25">
      <c r="I81" s="558"/>
      <c r="J81" s="534"/>
      <c r="K81" s="253"/>
      <c r="L81" s="535"/>
      <c r="M81" s="535"/>
      <c r="N81" s="536">
        <f t="shared" ref="N81:N84" si="15">K81*(L81+M81)</f>
        <v>0</v>
      </c>
    </row>
    <row r="82" spans="9:14" x14ac:dyDescent="0.25">
      <c r="I82" s="559">
        <f>I76+1</f>
        <v>45638</v>
      </c>
      <c r="J82" s="534"/>
      <c r="K82" s="253"/>
      <c r="L82" s="541"/>
      <c r="M82" s="541">
        <v>1.0952648</v>
      </c>
      <c r="N82" s="536">
        <f t="shared" si="15"/>
        <v>0</v>
      </c>
    </row>
    <row r="83" spans="9:14" x14ac:dyDescent="0.25">
      <c r="I83" s="596"/>
      <c r="J83" s="534"/>
      <c r="K83" s="253"/>
      <c r="L83" s="541"/>
      <c r="M83" s="541">
        <v>1.0952648</v>
      </c>
      <c r="N83" s="536">
        <f t="shared" si="15"/>
        <v>0</v>
      </c>
    </row>
    <row r="84" spans="9:14" x14ac:dyDescent="0.25">
      <c r="I84" s="596"/>
      <c r="J84" s="534"/>
      <c r="K84" s="253"/>
      <c r="L84" s="541"/>
      <c r="M84" s="541"/>
      <c r="N84" s="536">
        <f t="shared" si="15"/>
        <v>0</v>
      </c>
    </row>
    <row r="85" spans="9:14" x14ac:dyDescent="0.25">
      <c r="I85" s="559" t="s">
        <v>0</v>
      </c>
      <c r="J85" s="534"/>
      <c r="K85" s="542">
        <f>SUM(K81:K84)</f>
        <v>0</v>
      </c>
      <c r="L85" s="543" t="e">
        <f>N85/K85</f>
        <v>#DIV/0!</v>
      </c>
      <c r="M85" s="543"/>
      <c r="N85" s="544">
        <f>SUM(N81:N84)</f>
        <v>0</v>
      </c>
    </row>
    <row r="86" spans="9:14" x14ac:dyDescent="0.25">
      <c r="I86" s="561"/>
      <c r="J86" s="546"/>
      <c r="K86" s="546"/>
      <c r="L86" s="547"/>
      <c r="M86" s="547"/>
      <c r="N86" s="548"/>
    </row>
    <row r="87" spans="9:14" x14ac:dyDescent="0.25">
      <c r="I87" s="558"/>
      <c r="J87" s="534"/>
      <c r="K87" s="253"/>
      <c r="L87" s="535"/>
      <c r="M87" s="535"/>
      <c r="N87" s="536">
        <f t="shared" ref="N87:N92" si="16">K87*(L87+M87)</f>
        <v>0</v>
      </c>
    </row>
    <row r="88" spans="9:14" x14ac:dyDescent="0.25">
      <c r="I88" s="559">
        <f>I82+1</f>
        <v>45639</v>
      </c>
      <c r="J88" s="534"/>
      <c r="K88" s="253"/>
      <c r="L88" s="541"/>
      <c r="M88" s="541">
        <v>1.0952648</v>
      </c>
      <c r="N88" s="536">
        <f t="shared" si="16"/>
        <v>0</v>
      </c>
    </row>
    <row r="89" spans="9:14" x14ac:dyDescent="0.25">
      <c r="I89" s="595"/>
      <c r="J89" s="537"/>
      <c r="K89" s="541"/>
      <c r="L89" s="541"/>
      <c r="M89" s="541">
        <v>1.0952648</v>
      </c>
      <c r="N89" s="540">
        <f t="shared" si="16"/>
        <v>0</v>
      </c>
    </row>
    <row r="90" spans="9:14" x14ac:dyDescent="0.25">
      <c r="I90" s="595"/>
      <c r="J90" s="537"/>
      <c r="K90" s="541"/>
      <c r="L90" s="541"/>
      <c r="M90" s="541"/>
      <c r="N90" s="540">
        <f t="shared" si="16"/>
        <v>0</v>
      </c>
    </row>
    <row r="91" spans="9:14" x14ac:dyDescent="0.25">
      <c r="I91" s="595"/>
      <c r="J91" s="537"/>
      <c r="K91" s="541"/>
      <c r="L91" s="541"/>
      <c r="M91" s="541"/>
      <c r="N91" s="540">
        <f t="shared" si="16"/>
        <v>0</v>
      </c>
    </row>
    <row r="92" spans="9:14" x14ac:dyDescent="0.25">
      <c r="I92" s="595"/>
      <c r="J92" s="537"/>
      <c r="K92" s="541"/>
      <c r="L92" s="541"/>
      <c r="M92" s="541"/>
      <c r="N92" s="540">
        <f t="shared" si="16"/>
        <v>0</v>
      </c>
    </row>
    <row r="93" spans="9:14" x14ac:dyDescent="0.25">
      <c r="I93" s="559" t="s">
        <v>0</v>
      </c>
      <c r="J93" s="534"/>
      <c r="K93" s="542">
        <f>SUM(K87:K92)</f>
        <v>0</v>
      </c>
      <c r="L93" s="543" t="e">
        <f>N93/K93</f>
        <v>#DIV/0!</v>
      </c>
      <c r="M93" s="543"/>
      <c r="N93" s="544">
        <f>SUM(N87:N92)</f>
        <v>0</v>
      </c>
    </row>
    <row r="94" spans="9:14" x14ac:dyDescent="0.25">
      <c r="I94" s="561"/>
      <c r="J94" s="546"/>
      <c r="K94" s="546"/>
      <c r="L94" s="547"/>
      <c r="M94" s="547"/>
      <c r="N94" s="548"/>
    </row>
    <row r="95" spans="9:14" x14ac:dyDescent="0.25">
      <c r="I95" s="558"/>
      <c r="J95" s="534"/>
      <c r="K95" s="253"/>
      <c r="L95" s="535"/>
      <c r="M95" s="535"/>
      <c r="N95" s="536">
        <f t="shared" ref="N95:N100" si="17">K95*(L95+M95)</f>
        <v>0</v>
      </c>
    </row>
    <row r="96" spans="9:14" x14ac:dyDescent="0.25">
      <c r="I96" s="559">
        <f>I88+1</f>
        <v>45640</v>
      </c>
      <c r="J96" s="534"/>
      <c r="K96" s="262"/>
      <c r="L96" s="535"/>
      <c r="M96" s="535">
        <v>1.0952648</v>
      </c>
      <c r="N96" s="536">
        <f t="shared" si="17"/>
        <v>0</v>
      </c>
    </row>
    <row r="97" spans="9:14" x14ac:dyDescent="0.25">
      <c r="I97" s="595"/>
      <c r="J97" s="537"/>
      <c r="K97" s="541"/>
      <c r="L97" s="541"/>
      <c r="M97" s="541"/>
      <c r="N97" s="540">
        <f t="shared" si="17"/>
        <v>0</v>
      </c>
    </row>
    <row r="98" spans="9:14" x14ac:dyDescent="0.25">
      <c r="I98" s="595"/>
      <c r="J98" s="537"/>
      <c r="K98" s="541"/>
      <c r="L98" s="541"/>
      <c r="M98" s="541"/>
      <c r="N98" s="540">
        <f t="shared" si="17"/>
        <v>0</v>
      </c>
    </row>
    <row r="99" spans="9:14" x14ac:dyDescent="0.25">
      <c r="I99" s="595"/>
      <c r="J99" s="537"/>
      <c r="K99" s="541"/>
      <c r="L99" s="541"/>
      <c r="M99" s="541"/>
      <c r="N99" s="540">
        <f t="shared" si="17"/>
        <v>0</v>
      </c>
    </row>
    <row r="100" spans="9:14" x14ac:dyDescent="0.25">
      <c r="I100" s="595"/>
      <c r="J100" s="537"/>
      <c r="K100" s="541"/>
      <c r="L100" s="541"/>
      <c r="M100" s="541"/>
      <c r="N100" s="540">
        <f t="shared" si="17"/>
        <v>0</v>
      </c>
    </row>
    <row r="101" spans="9:14" x14ac:dyDescent="0.25">
      <c r="I101" s="559" t="s">
        <v>0</v>
      </c>
      <c r="J101" s="534"/>
      <c r="K101" s="542">
        <f>SUM(K95:K100)</f>
        <v>0</v>
      </c>
      <c r="L101" s="543" t="e">
        <f>N101/K101</f>
        <v>#DIV/0!</v>
      </c>
      <c r="M101" s="543"/>
      <c r="N101" s="544">
        <f>SUM(N95:N100)</f>
        <v>0</v>
      </c>
    </row>
    <row r="102" spans="9:14" x14ac:dyDescent="0.25">
      <c r="I102" s="561"/>
      <c r="J102" s="546"/>
      <c r="K102" s="546"/>
      <c r="L102" s="547"/>
      <c r="M102" s="547"/>
      <c r="N102" s="548"/>
    </row>
    <row r="103" spans="9:14" x14ac:dyDescent="0.25">
      <c r="I103" s="558"/>
      <c r="J103" s="534"/>
      <c r="K103" s="253"/>
      <c r="L103" s="535"/>
      <c r="M103" s="535"/>
      <c r="N103" s="536">
        <f t="shared" ref="N103:N105" si="18">K103*(L103+M103)</f>
        <v>0</v>
      </c>
    </row>
    <row r="104" spans="9:14" x14ac:dyDescent="0.25">
      <c r="I104" s="559">
        <f>I96+1</f>
        <v>45641</v>
      </c>
      <c r="J104" s="534"/>
      <c r="K104" s="253"/>
      <c r="L104" s="541"/>
      <c r="M104" s="541">
        <v>1.0952648</v>
      </c>
      <c r="N104" s="536">
        <f t="shared" si="18"/>
        <v>0</v>
      </c>
    </row>
    <row r="105" spans="9:14" x14ac:dyDescent="0.25">
      <c r="I105" s="595"/>
      <c r="J105" s="537"/>
      <c r="K105" s="541"/>
      <c r="L105" s="541"/>
      <c r="M105" s="541"/>
      <c r="N105" s="540">
        <f t="shared" si="18"/>
        <v>0</v>
      </c>
    </row>
    <row r="106" spans="9:14" x14ac:dyDescent="0.25">
      <c r="I106" s="559" t="s">
        <v>0</v>
      </c>
      <c r="J106" s="534"/>
      <c r="K106" s="542">
        <f>SUM(K103:K105)</f>
        <v>0</v>
      </c>
      <c r="L106" s="543" t="e">
        <f>N106/K106</f>
        <v>#DIV/0!</v>
      </c>
      <c r="M106" s="543"/>
      <c r="N106" s="544">
        <f>SUM(N103:N105)</f>
        <v>0</v>
      </c>
    </row>
    <row r="107" spans="9:14" x14ac:dyDescent="0.25">
      <c r="I107" s="561"/>
      <c r="J107" s="546"/>
      <c r="K107" s="546"/>
      <c r="L107" s="547"/>
      <c r="M107" s="547"/>
      <c r="N107" s="548"/>
    </row>
    <row r="108" spans="9:14" x14ac:dyDescent="0.25">
      <c r="I108" s="558"/>
      <c r="J108" s="534"/>
      <c r="K108" s="253"/>
      <c r="L108" s="535"/>
      <c r="M108" s="535"/>
      <c r="N108" s="536">
        <f t="shared" ref="N108:N110" si="19">K108*(L108+M108)</f>
        <v>0</v>
      </c>
    </row>
    <row r="109" spans="9:14" x14ac:dyDescent="0.25">
      <c r="I109" s="559">
        <f>I104+1</f>
        <v>45642</v>
      </c>
      <c r="J109" s="537"/>
      <c r="K109" s="253"/>
      <c r="L109" s="541"/>
      <c r="M109" s="541">
        <v>1.0952648</v>
      </c>
      <c r="N109" s="536">
        <f t="shared" si="19"/>
        <v>0</v>
      </c>
    </row>
    <row r="110" spans="9:14" x14ac:dyDescent="0.25">
      <c r="I110" s="595"/>
      <c r="J110" s="537"/>
      <c r="K110" s="541"/>
      <c r="L110" s="541"/>
      <c r="M110" s="541"/>
      <c r="N110" s="540">
        <f t="shared" si="19"/>
        <v>0</v>
      </c>
    </row>
    <row r="111" spans="9:14" x14ac:dyDescent="0.25">
      <c r="I111" s="559" t="s">
        <v>0</v>
      </c>
      <c r="J111" s="534"/>
      <c r="K111" s="542">
        <f>SUM(K108:K110)</f>
        <v>0</v>
      </c>
      <c r="L111" s="543" t="e">
        <f>N111/K111</f>
        <v>#DIV/0!</v>
      </c>
      <c r="M111" s="543"/>
      <c r="N111" s="544">
        <f>SUM(N108:N110)</f>
        <v>0</v>
      </c>
    </row>
    <row r="112" spans="9:14" x14ac:dyDescent="0.25">
      <c r="I112" s="561"/>
      <c r="J112" s="546"/>
      <c r="K112" s="546"/>
      <c r="L112" s="547"/>
      <c r="M112" s="547"/>
      <c r="N112" s="548"/>
    </row>
    <row r="113" spans="9:14" x14ac:dyDescent="0.25">
      <c r="I113" s="558"/>
      <c r="J113" s="534"/>
      <c r="K113" s="253"/>
      <c r="L113" s="541"/>
      <c r="M113" s="541"/>
      <c r="N113" s="536">
        <f t="shared" ref="N113:N115" si="20">K113*(L113+M113)</f>
        <v>0</v>
      </c>
    </row>
    <row r="114" spans="9:14" x14ac:dyDescent="0.25">
      <c r="I114" s="559">
        <f>I109+1</f>
        <v>45643</v>
      </c>
      <c r="J114" s="537"/>
      <c r="K114" s="253"/>
      <c r="L114" s="541"/>
      <c r="M114" s="541">
        <v>1.0952648</v>
      </c>
      <c r="N114" s="536">
        <f t="shared" si="20"/>
        <v>0</v>
      </c>
    </row>
    <row r="115" spans="9:14" x14ac:dyDescent="0.25">
      <c r="I115" s="595"/>
      <c r="J115" s="537"/>
      <c r="K115" s="541"/>
      <c r="L115" s="541"/>
      <c r="M115" s="541"/>
      <c r="N115" s="540">
        <f t="shared" si="20"/>
        <v>0</v>
      </c>
    </row>
    <row r="116" spans="9:14" x14ac:dyDescent="0.25">
      <c r="I116" s="559" t="s">
        <v>0</v>
      </c>
      <c r="J116" s="534"/>
      <c r="K116" s="542">
        <f>SUM(K113:K115)</f>
        <v>0</v>
      </c>
      <c r="L116" s="543" t="e">
        <f>N116/K116</f>
        <v>#DIV/0!</v>
      </c>
      <c r="M116" s="543"/>
      <c r="N116" s="544">
        <f>SUM(N113:N115)</f>
        <v>0</v>
      </c>
    </row>
    <row r="117" spans="9:14" x14ac:dyDescent="0.25">
      <c r="I117" s="561"/>
      <c r="J117" s="546"/>
      <c r="K117" s="546"/>
      <c r="L117" s="547"/>
      <c r="M117" s="547"/>
      <c r="N117" s="548"/>
    </row>
    <row r="118" spans="9:14" x14ac:dyDescent="0.25">
      <c r="I118" s="558"/>
      <c r="J118" s="534"/>
      <c r="K118" s="253"/>
      <c r="L118" s="535"/>
      <c r="M118" s="535"/>
      <c r="N118" s="536">
        <f t="shared" ref="N118:N120" si="21">K118*(L118+M118)</f>
        <v>0</v>
      </c>
    </row>
    <row r="119" spans="9:14" x14ac:dyDescent="0.25">
      <c r="I119" s="560">
        <f>I114+1</f>
        <v>45644</v>
      </c>
      <c r="J119" s="537"/>
      <c r="K119" s="253"/>
      <c r="L119" s="541"/>
      <c r="M119" s="541"/>
      <c r="N119" s="536">
        <f t="shared" si="21"/>
        <v>0</v>
      </c>
    </row>
    <row r="120" spans="9:14" x14ac:dyDescent="0.25">
      <c r="I120" s="595"/>
      <c r="J120" s="537"/>
      <c r="K120" s="541"/>
      <c r="L120" s="541"/>
      <c r="M120" s="541"/>
      <c r="N120" s="540">
        <f t="shared" si="21"/>
        <v>0</v>
      </c>
    </row>
    <row r="121" spans="9:14" x14ac:dyDescent="0.25">
      <c r="I121" s="559" t="s">
        <v>0</v>
      </c>
      <c r="J121" s="534"/>
      <c r="K121" s="542">
        <f>SUM(K118:K120)</f>
        <v>0</v>
      </c>
      <c r="L121" s="543" t="e">
        <f>N121/K121</f>
        <v>#DIV/0!</v>
      </c>
      <c r="M121" s="543"/>
      <c r="N121" s="544">
        <f>SUM(N118:N120)</f>
        <v>0</v>
      </c>
    </row>
    <row r="122" spans="9:14" x14ac:dyDescent="0.25">
      <c r="I122" s="561"/>
      <c r="J122" s="546"/>
      <c r="K122" s="546"/>
      <c r="L122" s="547"/>
      <c r="M122" s="547"/>
      <c r="N122" s="548"/>
    </row>
    <row r="123" spans="9:14" x14ac:dyDescent="0.25">
      <c r="I123" s="558"/>
      <c r="J123" s="534"/>
      <c r="K123" s="253"/>
      <c r="L123" s="535"/>
      <c r="M123" s="535"/>
      <c r="N123" s="536">
        <f t="shared" ref="N123:N127" si="22">K123*(L123+M123)</f>
        <v>0</v>
      </c>
    </row>
    <row r="124" spans="9:14" x14ac:dyDescent="0.25">
      <c r="I124" s="559">
        <f>I119+1</f>
        <v>45645</v>
      </c>
      <c r="J124" s="537"/>
      <c r="K124" s="253"/>
      <c r="L124" s="541"/>
      <c r="M124" s="541"/>
      <c r="N124" s="536">
        <f t="shared" si="22"/>
        <v>0</v>
      </c>
    </row>
    <row r="125" spans="9:14" x14ac:dyDescent="0.25">
      <c r="I125" s="595"/>
      <c r="J125" s="537"/>
      <c r="K125" s="253"/>
      <c r="L125" s="541"/>
      <c r="M125" s="541"/>
      <c r="N125" s="536">
        <f t="shared" si="22"/>
        <v>0</v>
      </c>
    </row>
    <row r="126" spans="9:14" x14ac:dyDescent="0.25">
      <c r="I126" s="560"/>
      <c r="J126" s="537"/>
      <c r="K126" s="253"/>
      <c r="L126" s="541"/>
      <c r="M126" s="541"/>
      <c r="N126" s="536">
        <f t="shared" si="22"/>
        <v>0</v>
      </c>
    </row>
    <row r="127" spans="9:14" x14ac:dyDescent="0.25">
      <c r="I127" s="560"/>
      <c r="J127" s="537"/>
      <c r="K127" s="253"/>
      <c r="L127" s="541"/>
      <c r="M127" s="541"/>
      <c r="N127" s="536">
        <f t="shared" si="22"/>
        <v>0</v>
      </c>
    </row>
    <row r="128" spans="9:14" x14ac:dyDescent="0.25">
      <c r="I128" s="559" t="s">
        <v>0</v>
      </c>
      <c r="J128" s="534"/>
      <c r="K128" s="542">
        <f>SUM(K123:K127)</f>
        <v>0</v>
      </c>
      <c r="L128" s="543" t="e">
        <f>N128/K128</f>
        <v>#DIV/0!</v>
      </c>
      <c r="M128" s="543"/>
      <c r="N128" s="544">
        <f>SUM(N123:N127)</f>
        <v>0</v>
      </c>
    </row>
    <row r="129" spans="9:14" x14ac:dyDescent="0.25">
      <c r="I129" s="561"/>
      <c r="J129" s="546"/>
      <c r="K129" s="546"/>
      <c r="L129" s="547"/>
      <c r="M129" s="547"/>
      <c r="N129" s="548"/>
    </row>
    <row r="130" spans="9:14" x14ac:dyDescent="0.25">
      <c r="I130" s="558"/>
      <c r="J130" s="534"/>
      <c r="K130" s="253"/>
      <c r="L130" s="535"/>
      <c r="M130" s="535"/>
      <c r="N130" s="536">
        <f t="shared" ref="N130:N134" si="23">K130*(L130+M130)</f>
        <v>0</v>
      </c>
    </row>
    <row r="131" spans="9:14" x14ac:dyDescent="0.25">
      <c r="I131" s="559">
        <f>I124+1</f>
        <v>45646</v>
      </c>
      <c r="J131" s="537"/>
      <c r="K131" s="253"/>
      <c r="L131" s="541"/>
      <c r="M131" s="541"/>
      <c r="N131" s="536">
        <f t="shared" si="23"/>
        <v>0</v>
      </c>
    </row>
    <row r="132" spans="9:14" x14ac:dyDescent="0.25">
      <c r="I132" s="595"/>
      <c r="J132" s="537"/>
      <c r="K132" s="253"/>
      <c r="L132" s="541"/>
      <c r="M132" s="541"/>
      <c r="N132" s="536">
        <f t="shared" si="23"/>
        <v>0</v>
      </c>
    </row>
    <row r="133" spans="9:14" x14ac:dyDescent="0.25">
      <c r="I133" s="595"/>
      <c r="J133" s="537"/>
      <c r="K133" s="541"/>
      <c r="L133" s="541"/>
      <c r="M133" s="541"/>
      <c r="N133" s="540">
        <f t="shared" si="23"/>
        <v>0</v>
      </c>
    </row>
    <row r="134" spans="9:14" x14ac:dyDescent="0.25">
      <c r="I134" s="595"/>
      <c r="J134" s="537"/>
      <c r="K134" s="541"/>
      <c r="L134" s="541"/>
      <c r="M134" s="541"/>
      <c r="N134" s="540">
        <f t="shared" si="23"/>
        <v>0</v>
      </c>
    </row>
    <row r="135" spans="9:14" x14ac:dyDescent="0.25">
      <c r="I135" s="559" t="s">
        <v>0</v>
      </c>
      <c r="J135" s="534"/>
      <c r="K135" s="542">
        <f>SUM(K130:K134)</f>
        <v>0</v>
      </c>
      <c r="L135" s="543" t="e">
        <f>N135/K135</f>
        <v>#DIV/0!</v>
      </c>
      <c r="M135" s="543"/>
      <c r="N135" s="544">
        <f>SUM(N130:N134)</f>
        <v>0</v>
      </c>
    </row>
    <row r="136" spans="9:14" x14ac:dyDescent="0.25">
      <c r="I136" s="561"/>
      <c r="J136" s="546"/>
      <c r="K136" s="546"/>
      <c r="L136" s="547"/>
      <c r="M136" s="547"/>
      <c r="N136" s="548"/>
    </row>
    <row r="137" spans="9:14" x14ac:dyDescent="0.25">
      <c r="I137" s="558"/>
      <c r="J137" s="534"/>
      <c r="K137" s="253"/>
      <c r="L137" s="535"/>
      <c r="M137" s="535"/>
      <c r="N137" s="536">
        <f t="shared" ref="N137:N139" si="24">K137*(L137+M137)</f>
        <v>0</v>
      </c>
    </row>
    <row r="138" spans="9:14" x14ac:dyDescent="0.25">
      <c r="I138" s="559">
        <f>I131+1</f>
        <v>45647</v>
      </c>
      <c r="J138" s="534"/>
      <c r="K138" s="253"/>
      <c r="L138" s="541"/>
      <c r="M138" s="541"/>
      <c r="N138" s="536">
        <f t="shared" si="24"/>
        <v>0</v>
      </c>
    </row>
    <row r="139" spans="9:14" x14ac:dyDescent="0.25">
      <c r="I139" s="595"/>
      <c r="J139" s="537"/>
      <c r="K139" s="541"/>
      <c r="L139" s="541"/>
      <c r="M139" s="541"/>
      <c r="N139" s="540">
        <f t="shared" si="24"/>
        <v>0</v>
      </c>
    </row>
    <row r="140" spans="9:14" x14ac:dyDescent="0.25">
      <c r="I140" s="559" t="s">
        <v>0</v>
      </c>
      <c r="J140" s="534"/>
      <c r="K140" s="542">
        <f>SUM(K137:K139)</f>
        <v>0</v>
      </c>
      <c r="L140" s="543" t="e">
        <f>N140/K140</f>
        <v>#DIV/0!</v>
      </c>
      <c r="M140" s="543"/>
      <c r="N140" s="544">
        <f>SUM(N137:N139)</f>
        <v>0</v>
      </c>
    </row>
    <row r="141" spans="9:14" x14ac:dyDescent="0.25">
      <c r="I141" s="561"/>
      <c r="J141" s="546"/>
      <c r="K141" s="546"/>
      <c r="L141" s="547"/>
      <c r="M141" s="547"/>
      <c r="N141" s="548"/>
    </row>
    <row r="142" spans="9:14" x14ac:dyDescent="0.25">
      <c r="I142" s="558"/>
      <c r="J142" s="534"/>
      <c r="K142" s="253"/>
      <c r="L142" s="535"/>
      <c r="M142" s="535"/>
      <c r="N142" s="536">
        <f t="shared" ref="N142:N144" si="25">K142*(L142+M142)</f>
        <v>0</v>
      </c>
    </row>
    <row r="143" spans="9:14" x14ac:dyDescent="0.25">
      <c r="I143" s="559">
        <f>I138+1</f>
        <v>45648</v>
      </c>
      <c r="J143" s="534"/>
      <c r="K143" s="253"/>
      <c r="L143" s="541"/>
      <c r="M143" s="541"/>
      <c r="N143" s="536">
        <f t="shared" si="25"/>
        <v>0</v>
      </c>
    </row>
    <row r="144" spans="9:14" x14ac:dyDescent="0.25">
      <c r="I144" s="595"/>
      <c r="J144" s="537"/>
      <c r="K144" s="253"/>
      <c r="L144" s="541"/>
      <c r="M144" s="541"/>
      <c r="N144" s="536">
        <f t="shared" si="25"/>
        <v>0</v>
      </c>
    </row>
    <row r="145" spans="9:14" x14ac:dyDescent="0.25">
      <c r="I145" s="559" t="s">
        <v>0</v>
      </c>
      <c r="J145" s="534"/>
      <c r="K145" s="542">
        <f>SUM(K142:K144)</f>
        <v>0</v>
      </c>
      <c r="L145" s="543" t="e">
        <f>N145/K145</f>
        <v>#DIV/0!</v>
      </c>
      <c r="M145" s="543"/>
      <c r="N145" s="544">
        <f>SUM(N142:N144)</f>
        <v>0</v>
      </c>
    </row>
    <row r="146" spans="9:14" x14ac:dyDescent="0.25">
      <c r="I146" s="561"/>
      <c r="J146" s="546"/>
      <c r="K146" s="546"/>
      <c r="L146" s="547"/>
      <c r="M146" s="547"/>
      <c r="N146" s="548"/>
    </row>
    <row r="147" spans="9:14" x14ac:dyDescent="0.25">
      <c r="I147" s="558"/>
      <c r="J147" s="534"/>
      <c r="K147" s="253"/>
      <c r="L147" s="535"/>
      <c r="M147" s="535"/>
      <c r="N147" s="536">
        <f t="shared" ref="N147:N149" si="26">K147*(L147+M147)</f>
        <v>0</v>
      </c>
    </row>
    <row r="148" spans="9:14" x14ac:dyDescent="0.25">
      <c r="I148" s="559">
        <f>I143+1</f>
        <v>45649</v>
      </c>
      <c r="J148" s="534"/>
      <c r="K148" s="253"/>
      <c r="L148" s="541"/>
      <c r="M148" s="541"/>
      <c r="N148" s="536">
        <f t="shared" si="26"/>
        <v>0</v>
      </c>
    </row>
    <row r="149" spans="9:14" x14ac:dyDescent="0.25">
      <c r="I149" s="560"/>
      <c r="J149" s="537"/>
      <c r="K149" s="541"/>
      <c r="L149" s="541"/>
      <c r="M149" s="541"/>
      <c r="N149" s="540">
        <f t="shared" si="26"/>
        <v>0</v>
      </c>
    </row>
    <row r="150" spans="9:14" x14ac:dyDescent="0.25">
      <c r="I150" s="559" t="s">
        <v>0</v>
      </c>
      <c r="J150" s="534"/>
      <c r="K150" s="542">
        <f>SUM(K147:K149)</f>
        <v>0</v>
      </c>
      <c r="L150" s="543" t="e">
        <f>N150/K150</f>
        <v>#DIV/0!</v>
      </c>
      <c r="M150" s="543"/>
      <c r="N150" s="544">
        <f>SUM(N147:N149)</f>
        <v>0</v>
      </c>
    </row>
    <row r="151" spans="9:14" x14ac:dyDescent="0.25">
      <c r="I151" s="561"/>
      <c r="J151" s="546"/>
      <c r="K151" s="546"/>
      <c r="L151" s="547"/>
      <c r="M151" s="547"/>
      <c r="N151" s="548"/>
    </row>
    <row r="152" spans="9:14" x14ac:dyDescent="0.25">
      <c r="I152" s="558"/>
      <c r="J152" s="534"/>
      <c r="K152" s="253"/>
      <c r="L152" s="535"/>
      <c r="M152" s="535"/>
      <c r="N152" s="536">
        <f t="shared" ref="N152:N155" si="27">K152*(L152+M152)</f>
        <v>0</v>
      </c>
    </row>
    <row r="153" spans="9:14" x14ac:dyDescent="0.25">
      <c r="I153" s="559">
        <f>I148+1</f>
        <v>45650</v>
      </c>
      <c r="J153" s="534"/>
      <c r="K153" s="253"/>
      <c r="L153" s="541"/>
      <c r="M153" s="541"/>
      <c r="N153" s="536">
        <f t="shared" si="27"/>
        <v>0</v>
      </c>
    </row>
    <row r="154" spans="9:14" x14ac:dyDescent="0.25">
      <c r="I154" s="595"/>
      <c r="J154" s="537"/>
      <c r="K154" s="541"/>
      <c r="L154" s="541"/>
      <c r="M154" s="541"/>
      <c r="N154" s="540">
        <f t="shared" si="27"/>
        <v>0</v>
      </c>
    </row>
    <row r="155" spans="9:14" x14ac:dyDescent="0.25">
      <c r="I155" s="560"/>
      <c r="J155" s="537"/>
      <c r="K155" s="541"/>
      <c r="L155" s="541"/>
      <c r="M155" s="541"/>
      <c r="N155" s="540">
        <f t="shared" si="27"/>
        <v>0</v>
      </c>
    </row>
    <row r="156" spans="9:14" x14ac:dyDescent="0.25">
      <c r="I156" s="559" t="s">
        <v>0</v>
      </c>
      <c r="J156" s="534"/>
      <c r="K156" s="542">
        <f>SUM(K152:K155)</f>
        <v>0</v>
      </c>
      <c r="L156" s="543" t="e">
        <f>N156/K156</f>
        <v>#DIV/0!</v>
      </c>
      <c r="M156" s="543"/>
      <c r="N156" s="544">
        <f>SUM(N152:N155)</f>
        <v>0</v>
      </c>
    </row>
    <row r="157" spans="9:14" x14ac:dyDescent="0.25">
      <c r="I157" s="561"/>
      <c r="J157" s="546"/>
      <c r="K157" s="546"/>
      <c r="L157" s="547"/>
      <c r="M157" s="547"/>
      <c r="N157" s="548"/>
    </row>
    <row r="158" spans="9:14" x14ac:dyDescent="0.25">
      <c r="I158" s="558"/>
      <c r="J158" s="534"/>
      <c r="K158" s="253"/>
      <c r="L158" s="535"/>
      <c r="M158" s="535"/>
      <c r="N158" s="536">
        <f t="shared" ref="N158:N163" si="28">K158*(L158+M158)</f>
        <v>0</v>
      </c>
    </row>
    <row r="159" spans="9:14" x14ac:dyDescent="0.25">
      <c r="I159" s="559">
        <f>I153+1</f>
        <v>45651</v>
      </c>
      <c r="J159" s="534"/>
      <c r="K159" s="253"/>
      <c r="L159" s="541"/>
      <c r="M159" s="541"/>
      <c r="N159" s="536">
        <f t="shared" si="28"/>
        <v>0</v>
      </c>
    </row>
    <row r="160" spans="9:14" x14ac:dyDescent="0.25">
      <c r="I160" s="560"/>
      <c r="J160" s="537"/>
      <c r="K160" s="541"/>
      <c r="L160" s="541"/>
      <c r="M160" s="541"/>
      <c r="N160" s="540">
        <f t="shared" si="28"/>
        <v>0</v>
      </c>
    </row>
    <row r="161" spans="9:14" x14ac:dyDescent="0.25">
      <c r="I161" s="560"/>
      <c r="J161" s="537"/>
      <c r="K161" s="541"/>
      <c r="L161" s="541"/>
      <c r="M161" s="541"/>
      <c r="N161" s="540">
        <f t="shared" si="28"/>
        <v>0</v>
      </c>
    </row>
    <row r="162" spans="9:14" x14ac:dyDescent="0.25">
      <c r="I162" s="560"/>
      <c r="J162" s="537"/>
      <c r="K162" s="541"/>
      <c r="L162" s="541"/>
      <c r="M162" s="541"/>
      <c r="N162" s="540">
        <f t="shared" si="28"/>
        <v>0</v>
      </c>
    </row>
    <row r="163" spans="9:14" x14ac:dyDescent="0.25">
      <c r="I163" s="595"/>
      <c r="J163" s="537"/>
      <c r="K163" s="541"/>
      <c r="L163" s="541"/>
      <c r="M163" s="541"/>
      <c r="N163" s="540">
        <f t="shared" si="28"/>
        <v>0</v>
      </c>
    </row>
    <row r="164" spans="9:14" x14ac:dyDescent="0.25">
      <c r="I164" s="559" t="s">
        <v>0</v>
      </c>
      <c r="J164" s="534"/>
      <c r="K164" s="542">
        <f>SUM(K158:K163)</f>
        <v>0</v>
      </c>
      <c r="L164" s="543" t="e">
        <f>N164/K164</f>
        <v>#DIV/0!</v>
      </c>
      <c r="M164" s="543"/>
      <c r="N164" s="544">
        <f>SUM(N158:N163)</f>
        <v>0</v>
      </c>
    </row>
    <row r="165" spans="9:14" x14ac:dyDescent="0.25">
      <c r="I165" s="561"/>
      <c r="J165" s="546"/>
      <c r="K165" s="546"/>
      <c r="L165" s="547"/>
      <c r="M165" s="547"/>
      <c r="N165" s="548"/>
    </row>
    <row r="166" spans="9:14" x14ac:dyDescent="0.25">
      <c r="I166" s="558"/>
      <c r="J166" s="534"/>
      <c r="K166" s="253"/>
      <c r="L166" s="535"/>
      <c r="M166" s="535"/>
      <c r="N166" s="536">
        <f t="shared" ref="N166:N170" si="29">K166*(L166+M166)</f>
        <v>0</v>
      </c>
    </row>
    <row r="167" spans="9:14" x14ac:dyDescent="0.25">
      <c r="I167" s="559">
        <f>I159+1</f>
        <v>45652</v>
      </c>
      <c r="J167" s="534"/>
      <c r="K167" s="253"/>
      <c r="L167" s="541"/>
      <c r="M167" s="541"/>
      <c r="N167" s="536">
        <f t="shared" si="29"/>
        <v>0</v>
      </c>
    </row>
    <row r="168" spans="9:14" x14ac:dyDescent="0.25">
      <c r="I168" s="560"/>
      <c r="J168" s="537"/>
      <c r="K168" s="541"/>
      <c r="L168" s="541"/>
      <c r="M168" s="541"/>
      <c r="N168" s="540">
        <f t="shared" si="29"/>
        <v>0</v>
      </c>
    </row>
    <row r="169" spans="9:14" x14ac:dyDescent="0.25">
      <c r="I169" s="560"/>
      <c r="J169" s="537"/>
      <c r="K169" s="541"/>
      <c r="L169" s="541"/>
      <c r="M169" s="541"/>
      <c r="N169" s="540">
        <f t="shared" si="29"/>
        <v>0</v>
      </c>
    </row>
    <row r="170" spans="9:14" x14ac:dyDescent="0.25">
      <c r="I170" s="560"/>
      <c r="J170" s="537"/>
      <c r="K170" s="541"/>
      <c r="L170" s="541"/>
      <c r="M170" s="541"/>
      <c r="N170" s="540">
        <f t="shared" si="29"/>
        <v>0</v>
      </c>
    </row>
    <row r="171" spans="9:14" x14ac:dyDescent="0.25">
      <c r="I171" s="559" t="s">
        <v>0</v>
      </c>
      <c r="J171" s="534"/>
      <c r="K171" s="542">
        <f>SUM(K166:K170)</f>
        <v>0</v>
      </c>
      <c r="L171" s="543" t="e">
        <f>N171/K171</f>
        <v>#DIV/0!</v>
      </c>
      <c r="M171" s="543"/>
      <c r="N171" s="544">
        <f>SUM(N166:N170)</f>
        <v>0</v>
      </c>
    </row>
    <row r="172" spans="9:14" x14ac:dyDescent="0.25">
      <c r="I172" s="561"/>
      <c r="J172" s="546"/>
      <c r="K172" s="546"/>
      <c r="L172" s="547"/>
      <c r="M172" s="547"/>
      <c r="N172" s="548"/>
    </row>
    <row r="173" spans="9:14" x14ac:dyDescent="0.25">
      <c r="I173" s="558"/>
      <c r="J173" s="534"/>
      <c r="K173" s="555"/>
      <c r="L173" s="556"/>
      <c r="M173" s="556"/>
      <c r="N173" s="536">
        <f t="shared" ref="N173:N177" si="30">K173*(L173+M173)</f>
        <v>0</v>
      </c>
    </row>
    <row r="174" spans="9:14" x14ac:dyDescent="0.25">
      <c r="I174" s="559">
        <f>I167+1</f>
        <v>45653</v>
      </c>
      <c r="J174" s="534"/>
      <c r="K174" s="253"/>
      <c r="L174" s="541"/>
      <c r="M174" s="541"/>
      <c r="N174" s="536">
        <f t="shared" si="30"/>
        <v>0</v>
      </c>
    </row>
    <row r="175" spans="9:14" x14ac:dyDescent="0.25">
      <c r="I175" s="560"/>
      <c r="J175" s="537"/>
      <c r="K175" s="253"/>
      <c r="L175" s="541"/>
      <c r="M175" s="541"/>
      <c r="N175" s="536">
        <f t="shared" si="30"/>
        <v>0</v>
      </c>
    </row>
    <row r="176" spans="9:14" x14ac:dyDescent="0.25">
      <c r="I176" s="560"/>
      <c r="J176" s="537"/>
      <c r="K176" s="541"/>
      <c r="L176" s="541"/>
      <c r="M176" s="541"/>
      <c r="N176" s="540">
        <f t="shared" si="30"/>
        <v>0</v>
      </c>
    </row>
    <row r="177" spans="9:14" x14ac:dyDescent="0.25">
      <c r="I177" s="560"/>
      <c r="J177" s="537"/>
      <c r="K177" s="541"/>
      <c r="L177" s="541"/>
      <c r="M177" s="541"/>
      <c r="N177" s="540">
        <f t="shared" si="30"/>
        <v>0</v>
      </c>
    </row>
    <row r="178" spans="9:14" x14ac:dyDescent="0.25">
      <c r="I178" s="559" t="s">
        <v>0</v>
      </c>
      <c r="J178" s="534"/>
      <c r="K178" s="542">
        <f>SUM(K173:K177)</f>
        <v>0</v>
      </c>
      <c r="L178" s="543" t="e">
        <f>N178/K178</f>
        <v>#DIV/0!</v>
      </c>
      <c r="M178" s="543"/>
      <c r="N178" s="544">
        <f>SUM(N173:N177)</f>
        <v>0</v>
      </c>
    </row>
    <row r="179" spans="9:14" x14ac:dyDescent="0.25">
      <c r="I179" s="561"/>
      <c r="J179" s="546"/>
      <c r="K179" s="546"/>
      <c r="L179" s="547"/>
      <c r="M179" s="547"/>
      <c r="N179" s="548"/>
    </row>
    <row r="180" spans="9:14" x14ac:dyDescent="0.25">
      <c r="I180" s="558"/>
      <c r="J180" s="534"/>
      <c r="K180" s="253"/>
      <c r="L180" s="535"/>
      <c r="M180" s="535"/>
      <c r="N180" s="536">
        <f t="shared" ref="N180:N184" si="31">K180*(L180+M180)</f>
        <v>0</v>
      </c>
    </row>
    <row r="181" spans="9:14" x14ac:dyDescent="0.25">
      <c r="I181" s="559">
        <f>I174+1</f>
        <v>45654</v>
      </c>
      <c r="J181" s="534"/>
      <c r="K181" s="253"/>
      <c r="L181" s="541"/>
      <c r="M181" s="541"/>
      <c r="N181" s="536">
        <f t="shared" si="31"/>
        <v>0</v>
      </c>
    </row>
    <row r="182" spans="9:14" x14ac:dyDescent="0.25">
      <c r="I182" s="560"/>
      <c r="J182" s="537"/>
      <c r="K182" s="541"/>
      <c r="L182" s="541"/>
      <c r="M182" s="541"/>
      <c r="N182" s="540">
        <f t="shared" si="31"/>
        <v>0</v>
      </c>
    </row>
    <row r="183" spans="9:14" x14ac:dyDescent="0.25">
      <c r="I183" s="560"/>
      <c r="J183" s="537"/>
      <c r="K183" s="541"/>
      <c r="L183" s="541"/>
      <c r="M183" s="541"/>
      <c r="N183" s="540">
        <f t="shared" si="31"/>
        <v>0</v>
      </c>
    </row>
    <row r="184" spans="9:14" x14ac:dyDescent="0.25">
      <c r="I184" s="559"/>
      <c r="J184" s="534"/>
      <c r="K184" s="262"/>
      <c r="L184" s="262"/>
      <c r="M184" s="262"/>
      <c r="N184" s="536">
        <f t="shared" si="31"/>
        <v>0</v>
      </c>
    </row>
    <row r="185" spans="9:14" x14ac:dyDescent="0.25">
      <c r="I185" s="559" t="s">
        <v>0</v>
      </c>
      <c r="J185" s="534"/>
      <c r="K185" s="542">
        <f>SUM(K180:K184)</f>
        <v>0</v>
      </c>
      <c r="L185" s="543" t="e">
        <f>N185/K185</f>
        <v>#DIV/0!</v>
      </c>
      <c r="M185" s="543"/>
      <c r="N185" s="544">
        <f>SUM(N180:N184)</f>
        <v>0</v>
      </c>
    </row>
    <row r="186" spans="9:14" x14ac:dyDescent="0.25">
      <c r="I186" s="561"/>
      <c r="J186" s="546"/>
      <c r="K186" s="546"/>
      <c r="L186" s="547"/>
      <c r="M186" s="547"/>
      <c r="N186" s="548"/>
    </row>
    <row r="187" spans="9:14" x14ac:dyDescent="0.25">
      <c r="I187" s="558"/>
      <c r="J187" s="534"/>
      <c r="K187" s="253"/>
      <c r="L187" s="535"/>
      <c r="M187" s="535"/>
      <c r="N187" s="536">
        <f t="shared" ref="N187:N192" si="32">K187*(L187+M187)</f>
        <v>0</v>
      </c>
    </row>
    <row r="188" spans="9:14" x14ac:dyDescent="0.25">
      <c r="I188" s="559">
        <f>I181+1</f>
        <v>45655</v>
      </c>
      <c r="J188" s="534"/>
      <c r="K188" s="253"/>
      <c r="L188" s="541"/>
      <c r="M188" s="541"/>
      <c r="N188" s="536">
        <f t="shared" si="32"/>
        <v>0</v>
      </c>
    </row>
    <row r="189" spans="9:14" x14ac:dyDescent="0.25">
      <c r="I189" s="595"/>
      <c r="J189" s="537"/>
      <c r="K189" s="541"/>
      <c r="L189" s="541"/>
      <c r="M189" s="541"/>
      <c r="N189" s="540">
        <f t="shared" si="32"/>
        <v>0</v>
      </c>
    </row>
    <row r="190" spans="9:14" x14ac:dyDescent="0.25">
      <c r="I190" s="560"/>
      <c r="J190" s="537"/>
      <c r="K190" s="541"/>
      <c r="L190" s="541"/>
      <c r="M190" s="541"/>
      <c r="N190" s="540">
        <f t="shared" si="32"/>
        <v>0</v>
      </c>
    </row>
    <row r="191" spans="9:14" x14ac:dyDescent="0.25">
      <c r="I191" s="560"/>
      <c r="J191" s="537"/>
      <c r="K191" s="541"/>
      <c r="L191" s="541"/>
      <c r="M191" s="541"/>
      <c r="N191" s="540">
        <f t="shared" si="32"/>
        <v>0</v>
      </c>
    </row>
    <row r="192" spans="9:14" x14ac:dyDescent="0.25">
      <c r="I192" s="559"/>
      <c r="J192" s="534"/>
      <c r="K192" s="262"/>
      <c r="L192" s="262"/>
      <c r="M192" s="262"/>
      <c r="N192" s="536">
        <f t="shared" si="32"/>
        <v>0</v>
      </c>
    </row>
    <row r="193" spans="9:14" x14ac:dyDescent="0.25">
      <c r="I193" s="559" t="s">
        <v>0</v>
      </c>
      <c r="J193" s="534"/>
      <c r="K193" s="542">
        <f>SUM(K187:K192)</f>
        <v>0</v>
      </c>
      <c r="L193" s="543" t="e">
        <f>N193/K193</f>
        <v>#DIV/0!</v>
      </c>
      <c r="M193" s="543"/>
      <c r="N193" s="544">
        <f>SUM(N187:N192)</f>
        <v>0</v>
      </c>
    </row>
    <row r="194" spans="9:14" x14ac:dyDescent="0.25">
      <c r="I194" s="561"/>
      <c r="J194" s="546"/>
      <c r="K194" s="546"/>
      <c r="L194" s="547"/>
      <c r="M194" s="547"/>
      <c r="N194" s="548"/>
    </row>
    <row r="195" spans="9:14" x14ac:dyDescent="0.25">
      <c r="I195" s="558"/>
      <c r="J195" s="534"/>
      <c r="K195" s="253"/>
      <c r="L195" s="535"/>
      <c r="M195" s="535"/>
      <c r="N195" s="536">
        <f t="shared" ref="N195:N199" si="33">K195*(L195+M195)</f>
        <v>0</v>
      </c>
    </row>
    <row r="196" spans="9:14" x14ac:dyDescent="0.25">
      <c r="I196" s="559">
        <f>I188+1</f>
        <v>45656</v>
      </c>
      <c r="J196" s="534"/>
      <c r="K196" s="253"/>
      <c r="L196" s="541"/>
      <c r="M196" s="541"/>
      <c r="N196" s="536">
        <f t="shared" si="33"/>
        <v>0</v>
      </c>
    </row>
    <row r="197" spans="9:14" x14ac:dyDescent="0.25">
      <c r="I197" s="560"/>
      <c r="J197" s="537"/>
      <c r="K197" s="541"/>
      <c r="L197" s="541"/>
      <c r="M197" s="541"/>
      <c r="N197" s="540">
        <f t="shared" si="33"/>
        <v>0</v>
      </c>
    </row>
    <row r="198" spans="9:14" x14ac:dyDescent="0.25">
      <c r="I198" s="560"/>
      <c r="J198" s="537"/>
      <c r="K198" s="541"/>
      <c r="L198" s="541"/>
      <c r="M198" s="541"/>
      <c r="N198" s="540">
        <f t="shared" si="33"/>
        <v>0</v>
      </c>
    </row>
    <row r="199" spans="9:14" x14ac:dyDescent="0.25">
      <c r="I199" s="560"/>
      <c r="J199" s="537"/>
      <c r="K199" s="541"/>
      <c r="L199" s="541"/>
      <c r="M199" s="541"/>
      <c r="N199" s="540">
        <f t="shared" si="33"/>
        <v>0</v>
      </c>
    </row>
    <row r="200" spans="9:14" x14ac:dyDescent="0.25">
      <c r="I200" s="559" t="s">
        <v>0</v>
      </c>
      <c r="J200" s="534"/>
      <c r="K200" s="542">
        <f>SUM(K195:K199)</f>
        <v>0</v>
      </c>
      <c r="L200" s="543" t="e">
        <f>N200/K200</f>
        <v>#DIV/0!</v>
      </c>
      <c r="M200" s="543"/>
      <c r="N200" s="544">
        <f>SUM(N195:N199)</f>
        <v>0</v>
      </c>
    </row>
    <row r="201" spans="9:14" x14ac:dyDescent="0.25">
      <c r="I201" s="561"/>
      <c r="J201" s="546"/>
      <c r="K201" s="546"/>
      <c r="L201" s="547"/>
      <c r="M201" s="547"/>
      <c r="N201" s="548"/>
    </row>
    <row r="202" spans="9:14" x14ac:dyDescent="0.25">
      <c r="I202" s="558"/>
      <c r="J202" s="534"/>
      <c r="K202" s="253"/>
      <c r="L202" s="535"/>
      <c r="M202" s="535"/>
      <c r="N202" s="536">
        <f t="shared" ref="N202:N206" si="34">K202*(L202+M202)</f>
        <v>0</v>
      </c>
    </row>
    <row r="203" spans="9:14" x14ac:dyDescent="0.25">
      <c r="I203" s="559">
        <f>I196+1</f>
        <v>45657</v>
      </c>
      <c r="J203" s="534"/>
      <c r="K203" s="253"/>
      <c r="L203" s="541"/>
      <c r="M203" s="541"/>
      <c r="N203" s="536">
        <f t="shared" si="34"/>
        <v>0</v>
      </c>
    </row>
    <row r="204" spans="9:14" x14ac:dyDescent="0.25">
      <c r="I204" s="560"/>
      <c r="J204" s="537"/>
      <c r="K204" s="541"/>
      <c r="L204" s="541"/>
      <c r="M204" s="541"/>
      <c r="N204" s="540">
        <f t="shared" si="34"/>
        <v>0</v>
      </c>
    </row>
    <row r="205" spans="9:14" x14ac:dyDescent="0.25">
      <c r="I205" s="560"/>
      <c r="J205" s="537"/>
      <c r="K205" s="541"/>
      <c r="L205" s="541"/>
      <c r="M205" s="541"/>
      <c r="N205" s="540">
        <f t="shared" si="34"/>
        <v>0</v>
      </c>
    </row>
    <row r="206" spans="9:14" x14ac:dyDescent="0.25">
      <c r="I206" s="560"/>
      <c r="J206" s="537"/>
      <c r="K206" s="541"/>
      <c r="L206" s="541"/>
      <c r="M206" s="541"/>
      <c r="N206" s="540">
        <f t="shared" si="34"/>
        <v>0</v>
      </c>
    </row>
    <row r="207" spans="9:14" x14ac:dyDescent="0.25">
      <c r="I207" s="559" t="s">
        <v>0</v>
      </c>
      <c r="J207" s="534"/>
      <c r="K207" s="542">
        <f>SUM(K202:K206)</f>
        <v>0</v>
      </c>
      <c r="L207" s="543" t="e">
        <f>N207/K207</f>
        <v>#DIV/0!</v>
      </c>
      <c r="M207" s="543"/>
      <c r="N207" s="544">
        <f>SUM(N202:N206)</f>
        <v>0</v>
      </c>
    </row>
  </sheetData>
  <mergeCells count="3">
    <mergeCell ref="B2:E2"/>
    <mergeCell ref="J3:L3"/>
    <mergeCell ref="N3:N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BE39"/>
  <sheetViews>
    <sheetView topLeftCell="A11" workbookViewId="0">
      <selection activeCell="C28" sqref="C28"/>
    </sheetView>
  </sheetViews>
  <sheetFormatPr defaultRowHeight="15" x14ac:dyDescent="0.25"/>
  <cols>
    <col min="1" max="1" width="9.140625" style="1"/>
    <col min="2" max="2" width="12.42578125" style="1" bestFit="1" customWidth="1"/>
    <col min="3" max="3" width="12.140625" style="1" bestFit="1" customWidth="1"/>
    <col min="4" max="4" width="10.140625" style="1" bestFit="1" customWidth="1"/>
    <col min="5" max="5" width="10.7109375" style="1" bestFit="1" customWidth="1"/>
    <col min="6" max="6" width="13.42578125" style="1" bestFit="1" customWidth="1"/>
    <col min="8" max="8" width="12.42578125" style="1" bestFit="1" customWidth="1"/>
    <col min="9" max="9" width="12.140625" style="1" bestFit="1" customWidth="1"/>
    <col min="10" max="10" width="10.140625" style="1" bestFit="1" customWidth="1"/>
    <col min="11" max="11" width="10.7109375" style="1" bestFit="1" customWidth="1"/>
    <col min="12" max="12" width="12.85546875" style="1" bestFit="1" customWidth="1"/>
    <col min="14" max="14" width="12.42578125" style="1" bestFit="1" customWidth="1"/>
    <col min="15" max="15" width="12.140625" style="1" bestFit="1" customWidth="1"/>
    <col min="16" max="16" width="10.140625" style="1" bestFit="1" customWidth="1"/>
    <col min="17" max="17" width="10.7109375" style="1" bestFit="1" customWidth="1"/>
    <col min="18" max="18" width="12.85546875" style="1" bestFit="1" customWidth="1"/>
    <col min="20" max="20" width="12.42578125" style="1" bestFit="1" customWidth="1"/>
    <col min="21" max="21" width="12.140625" style="1" bestFit="1" customWidth="1"/>
    <col min="22" max="22" width="10.140625" style="1" bestFit="1" customWidth="1"/>
    <col min="23" max="23" width="10.7109375" style="1" bestFit="1" customWidth="1"/>
    <col min="24" max="24" width="12.85546875" style="1" bestFit="1" customWidth="1"/>
    <col min="26" max="26" width="12.42578125" style="1" bestFit="1" customWidth="1"/>
    <col min="27" max="27" width="12.140625" style="1" bestFit="1" customWidth="1"/>
    <col min="28" max="28" width="10.140625" style="1" bestFit="1" customWidth="1"/>
    <col min="29" max="29" width="10.7109375" style="1" bestFit="1" customWidth="1"/>
    <col min="30" max="30" width="12.85546875" style="1" bestFit="1" customWidth="1"/>
    <col min="32" max="32" width="12.42578125" style="1" bestFit="1" customWidth="1"/>
    <col min="33" max="33" width="12.140625" style="1" bestFit="1" customWidth="1"/>
    <col min="34" max="34" width="10.140625" style="1" bestFit="1" customWidth="1"/>
    <col min="35" max="35" width="10.7109375" style="1" bestFit="1" customWidth="1"/>
    <col min="36" max="36" width="12.85546875" style="1" bestFit="1" customWidth="1"/>
    <col min="38" max="38" width="12.42578125" style="1" bestFit="1" customWidth="1"/>
    <col min="39" max="39" width="12.140625" style="1" bestFit="1" customWidth="1"/>
    <col min="40" max="40" width="10.140625" style="1" bestFit="1" customWidth="1"/>
    <col min="41" max="41" width="10.7109375" style="1" bestFit="1" customWidth="1"/>
    <col min="42" max="42" width="12.85546875" style="1" bestFit="1" customWidth="1"/>
    <col min="44" max="44" width="12.42578125" style="1" bestFit="1" customWidth="1"/>
    <col min="45" max="45" width="12.140625" style="1" bestFit="1" customWidth="1"/>
    <col min="46" max="46" width="10.140625" style="1" bestFit="1" customWidth="1"/>
    <col min="47" max="47" width="10.7109375" style="1" bestFit="1" customWidth="1"/>
    <col min="48" max="48" width="12.85546875" style="1" bestFit="1" customWidth="1"/>
    <col min="50" max="50" width="12.42578125" style="1" bestFit="1" customWidth="1"/>
    <col min="51" max="51" width="12.140625" style="1" bestFit="1" customWidth="1"/>
    <col min="52" max="52" width="10.140625" style="1" bestFit="1" customWidth="1"/>
    <col min="53" max="53" width="10.7109375" style="1" bestFit="1" customWidth="1"/>
    <col min="54" max="54" width="12.85546875" style="1" bestFit="1" customWidth="1"/>
    <col min="57" max="57" width="11" bestFit="1" customWidth="1"/>
  </cols>
  <sheetData>
    <row r="1" spans="2:57" ht="15.75" thickBot="1" x14ac:dyDescent="0.3"/>
    <row r="2" spans="2:57" ht="15.75" thickBot="1" x14ac:dyDescent="0.3">
      <c r="B2" s="671" t="s">
        <v>328</v>
      </c>
      <c r="C2" s="672"/>
      <c r="D2" s="672"/>
      <c r="E2" s="672"/>
      <c r="F2" s="673"/>
      <c r="H2" s="671" t="s">
        <v>329</v>
      </c>
      <c r="I2" s="672"/>
      <c r="J2" s="672"/>
      <c r="K2" s="672"/>
      <c r="L2" s="673"/>
      <c r="N2" s="671" t="s">
        <v>330</v>
      </c>
      <c r="O2" s="672"/>
      <c r="P2" s="672"/>
      <c r="Q2" s="672"/>
      <c r="R2" s="673"/>
      <c r="T2" s="671" t="s">
        <v>331</v>
      </c>
      <c r="U2" s="672"/>
      <c r="V2" s="672"/>
      <c r="W2" s="672"/>
      <c r="X2" s="673"/>
      <c r="Z2" s="671" t="s">
        <v>332</v>
      </c>
      <c r="AA2" s="672"/>
      <c r="AB2" s="672"/>
      <c r="AC2" s="672"/>
      <c r="AD2" s="673"/>
      <c r="AF2" s="671" t="s">
        <v>337</v>
      </c>
      <c r="AG2" s="672"/>
      <c r="AH2" s="672"/>
      <c r="AI2" s="672"/>
      <c r="AJ2" s="673"/>
      <c r="AL2" s="671" t="s">
        <v>338</v>
      </c>
      <c r="AM2" s="672"/>
      <c r="AN2" s="672"/>
      <c r="AO2" s="672"/>
      <c r="AP2" s="673"/>
      <c r="AR2" s="671" t="s">
        <v>339</v>
      </c>
      <c r="AS2" s="672"/>
      <c r="AT2" s="672"/>
      <c r="AU2" s="672"/>
      <c r="AV2" s="673"/>
      <c r="AX2" s="671" t="s">
        <v>151</v>
      </c>
      <c r="AY2" s="672"/>
      <c r="AZ2" s="672"/>
      <c r="BA2" s="672"/>
      <c r="BB2" s="673"/>
    </row>
    <row r="3" spans="2:57" x14ac:dyDescent="0.25">
      <c r="B3" s="635" t="s">
        <v>8</v>
      </c>
      <c r="C3" s="636" t="s">
        <v>26</v>
      </c>
      <c r="D3" s="636" t="s">
        <v>6</v>
      </c>
      <c r="E3" s="637" t="s">
        <v>139</v>
      </c>
      <c r="F3" s="637" t="s">
        <v>41</v>
      </c>
      <c r="H3" s="635" t="s">
        <v>8</v>
      </c>
      <c r="I3" s="636" t="s">
        <v>26</v>
      </c>
      <c r="J3" s="636" t="s">
        <v>6</v>
      </c>
      <c r="K3" s="637" t="s">
        <v>139</v>
      </c>
      <c r="L3" s="637" t="s">
        <v>41</v>
      </c>
      <c r="N3" s="635" t="s">
        <v>8</v>
      </c>
      <c r="O3" s="636" t="s">
        <v>26</v>
      </c>
      <c r="P3" s="636" t="s">
        <v>6</v>
      </c>
      <c r="Q3" s="637" t="s">
        <v>139</v>
      </c>
      <c r="R3" s="637" t="s">
        <v>41</v>
      </c>
      <c r="T3" s="635" t="s">
        <v>8</v>
      </c>
      <c r="U3" s="636" t="s">
        <v>26</v>
      </c>
      <c r="V3" s="636" t="s">
        <v>6</v>
      </c>
      <c r="W3" s="637" t="s">
        <v>139</v>
      </c>
      <c r="X3" s="637" t="s">
        <v>41</v>
      </c>
      <c r="Z3" s="635" t="s">
        <v>8</v>
      </c>
      <c r="AA3" s="636" t="s">
        <v>26</v>
      </c>
      <c r="AB3" s="636" t="s">
        <v>6</v>
      </c>
      <c r="AC3" s="637" t="s">
        <v>139</v>
      </c>
      <c r="AD3" s="637" t="s">
        <v>41</v>
      </c>
      <c r="AF3" s="635" t="s">
        <v>8</v>
      </c>
      <c r="AG3" s="636" t="s">
        <v>26</v>
      </c>
      <c r="AH3" s="636" t="s">
        <v>6</v>
      </c>
      <c r="AI3" s="637" t="s">
        <v>139</v>
      </c>
      <c r="AJ3" s="637" t="s">
        <v>41</v>
      </c>
      <c r="AL3" s="635" t="s">
        <v>8</v>
      </c>
      <c r="AM3" s="636" t="s">
        <v>26</v>
      </c>
      <c r="AN3" s="636" t="s">
        <v>6</v>
      </c>
      <c r="AO3" s="637" t="s">
        <v>139</v>
      </c>
      <c r="AP3" s="637" t="s">
        <v>41</v>
      </c>
      <c r="AR3" s="635" t="s">
        <v>8</v>
      </c>
      <c r="AS3" s="636" t="s">
        <v>26</v>
      </c>
      <c r="AT3" s="636" t="s">
        <v>6</v>
      </c>
      <c r="AU3" s="637" t="s">
        <v>139</v>
      </c>
      <c r="AV3" s="637" t="s">
        <v>41</v>
      </c>
      <c r="AX3" s="635" t="s">
        <v>8</v>
      </c>
      <c r="AY3" s="636" t="s">
        <v>26</v>
      </c>
      <c r="AZ3" s="636" t="s">
        <v>6</v>
      </c>
      <c r="BA3" s="637" t="s">
        <v>139</v>
      </c>
      <c r="BB3" s="637" t="s">
        <v>41</v>
      </c>
    </row>
    <row r="4" spans="2:57" x14ac:dyDescent="0.25">
      <c r="B4" s="47">
        <v>45627</v>
      </c>
      <c r="C4" s="49"/>
      <c r="D4" s="49">
        <v>500</v>
      </c>
      <c r="E4" s="607">
        <f>ROUND(42*1.95583,2)</f>
        <v>82.14</v>
      </c>
      <c r="F4" s="49">
        <f>+D4*E4</f>
        <v>41070</v>
      </c>
      <c r="H4" s="47">
        <v>45627</v>
      </c>
      <c r="I4" s="49"/>
      <c r="J4" s="49">
        <v>500</v>
      </c>
      <c r="K4" s="607">
        <f>ROUND(40.25*1.95583,2)</f>
        <v>78.72</v>
      </c>
      <c r="L4" s="49">
        <f>+J4*K4</f>
        <v>39360</v>
      </c>
      <c r="N4" s="47">
        <v>45627</v>
      </c>
      <c r="O4" s="49"/>
      <c r="P4" s="49">
        <v>400</v>
      </c>
      <c r="Q4" s="607">
        <f>ROUND(42.25*1.95583,2)</f>
        <v>82.63</v>
      </c>
      <c r="R4" s="49">
        <f>+P4*Q4</f>
        <v>33052</v>
      </c>
      <c r="T4" s="47">
        <v>45627</v>
      </c>
      <c r="U4" s="49"/>
      <c r="V4" s="49">
        <v>600</v>
      </c>
      <c r="W4" s="607">
        <f>ROUND(42.3*1.95583,2)</f>
        <v>82.73</v>
      </c>
      <c r="X4" s="49">
        <f>+V4*W4</f>
        <v>49638</v>
      </c>
      <c r="Z4" s="47">
        <v>45627</v>
      </c>
      <c r="AA4" s="49"/>
      <c r="AB4" s="49">
        <v>500</v>
      </c>
      <c r="AC4" s="607">
        <f>ROUND(44.1*1.95583,2)</f>
        <v>86.25</v>
      </c>
      <c r="AD4" s="49">
        <f>+AB4*AC4</f>
        <v>43125</v>
      </c>
      <c r="AF4" s="47">
        <v>45627</v>
      </c>
      <c r="AG4" s="49"/>
      <c r="AH4" s="49">
        <v>500</v>
      </c>
      <c r="AI4" s="607">
        <f>ROUND(45.5*1.95583,2)</f>
        <v>88.99</v>
      </c>
      <c r="AJ4" s="49">
        <f>+AH4*AI4</f>
        <v>44495</v>
      </c>
      <c r="AL4" s="47">
        <v>45627</v>
      </c>
      <c r="AM4" s="49"/>
      <c r="AN4" s="49">
        <v>700</v>
      </c>
      <c r="AO4" s="607">
        <f>ROUND(45.25*1.95583,2)</f>
        <v>88.5</v>
      </c>
      <c r="AP4" s="49">
        <f>+AN4*AO4</f>
        <v>61950</v>
      </c>
      <c r="AR4" s="47">
        <v>45627</v>
      </c>
      <c r="AS4" s="49"/>
      <c r="AT4" s="49">
        <v>250</v>
      </c>
      <c r="AU4" s="607">
        <f>ROUND(46*1.95583,2)</f>
        <v>89.97</v>
      </c>
      <c r="AV4" s="49">
        <f>+AT4*AU4</f>
        <v>22492.5</v>
      </c>
      <c r="AX4" s="47">
        <v>45627</v>
      </c>
      <c r="AY4" s="49"/>
      <c r="AZ4" s="49">
        <f>SUM(D4,J4,P4,V4,AB4,AH4,AN4,AT4)</f>
        <v>3950</v>
      </c>
      <c r="BA4" s="607">
        <f>+IFERROR(BB4/AZ4,0)</f>
        <v>84.856329113924048</v>
      </c>
      <c r="BB4" s="49">
        <f>SUM(F4,L4,R4,X4,AD4,AJ4,AP4,AV4)</f>
        <v>335182.5</v>
      </c>
      <c r="BC4">
        <f>+AZ4*31</f>
        <v>122450</v>
      </c>
      <c r="BD4">
        <f>+BE4/BC4</f>
        <v>84.856329113924048</v>
      </c>
      <c r="BE4">
        <f>+BB4*31</f>
        <v>10390657.5</v>
      </c>
    </row>
    <row r="5" spans="2:57" x14ac:dyDescent="0.25">
      <c r="B5" s="47">
        <f>+B4+1</f>
        <v>45628</v>
      </c>
      <c r="C5" s="49"/>
      <c r="D5" s="49">
        <v>500</v>
      </c>
      <c r="E5" s="607">
        <f>ROUND(42*1.95583,2)</f>
        <v>82.14</v>
      </c>
      <c r="F5" s="49">
        <f t="shared" ref="F5:F34" si="0">+D5*E5</f>
        <v>41070</v>
      </c>
      <c r="H5" s="47">
        <f>+H4+1</f>
        <v>45628</v>
      </c>
      <c r="I5" s="49"/>
      <c r="J5" s="49">
        <v>500</v>
      </c>
      <c r="K5" s="607">
        <f>ROUND(40.25*1.95583,2)</f>
        <v>78.72</v>
      </c>
      <c r="L5" s="49">
        <f t="shared" ref="L5:L34" si="1">+J5*K5</f>
        <v>39360</v>
      </c>
      <c r="N5" s="47">
        <f>+N4+1</f>
        <v>45628</v>
      </c>
      <c r="O5" s="49"/>
      <c r="P5" s="49">
        <v>400</v>
      </c>
      <c r="Q5" s="607">
        <f>ROUND(42.25*1.95583,2)</f>
        <v>82.63</v>
      </c>
      <c r="R5" s="49">
        <f t="shared" ref="R5:R34" si="2">+P5*Q5</f>
        <v>33052</v>
      </c>
      <c r="T5" s="47">
        <f>+T4+1</f>
        <v>45628</v>
      </c>
      <c r="U5" s="49"/>
      <c r="V5" s="49">
        <v>600</v>
      </c>
      <c r="W5" s="607">
        <f>ROUND(42.3*1.95583,2)</f>
        <v>82.73</v>
      </c>
      <c r="X5" s="49">
        <f t="shared" ref="X5:X34" si="3">+V5*W5</f>
        <v>49638</v>
      </c>
      <c r="Z5" s="47">
        <f>+Z4+1</f>
        <v>45628</v>
      </c>
      <c r="AA5" s="49"/>
      <c r="AB5" s="49">
        <v>500</v>
      </c>
      <c r="AC5" s="607">
        <f>ROUND(44.1*1.95583,2)</f>
        <v>86.25</v>
      </c>
      <c r="AD5" s="49">
        <f t="shared" ref="AD5:AD34" si="4">+AB5*AC5</f>
        <v>43125</v>
      </c>
      <c r="AF5" s="47">
        <f>+AF4+1</f>
        <v>45628</v>
      </c>
      <c r="AG5" s="49"/>
      <c r="AH5" s="49">
        <v>500</v>
      </c>
      <c r="AI5" s="607">
        <f>ROUND(45.5*1.95583,2)</f>
        <v>88.99</v>
      </c>
      <c r="AJ5" s="49">
        <f t="shared" ref="AJ5:AJ34" si="5">+AH5*AI5</f>
        <v>44495</v>
      </c>
      <c r="AL5" s="47">
        <f>+AL4+1</f>
        <v>45628</v>
      </c>
      <c r="AM5" s="49"/>
      <c r="AN5" s="49">
        <v>700</v>
      </c>
      <c r="AO5" s="607">
        <f>ROUND(45.25*1.95583,2)</f>
        <v>88.5</v>
      </c>
      <c r="AP5" s="49">
        <f t="shared" ref="AP5:AP34" si="6">+AN5*AO5</f>
        <v>61950</v>
      </c>
      <c r="AR5" s="47">
        <f>+AR4+1</f>
        <v>45628</v>
      </c>
      <c r="AS5" s="49"/>
      <c r="AT5" s="49">
        <v>250</v>
      </c>
      <c r="AU5" s="607">
        <f>ROUND(46*1.95583,2)</f>
        <v>89.97</v>
      </c>
      <c r="AV5" s="49">
        <f t="shared" ref="AV5:AV34" si="7">+AT5*AU5</f>
        <v>22492.5</v>
      </c>
      <c r="AX5" s="47">
        <f>+AX4+1</f>
        <v>45628</v>
      </c>
      <c r="AY5" s="49"/>
      <c r="AZ5" s="49">
        <f t="shared" ref="AZ5:AZ34" si="8">SUM(D5,J5,P5,V5,AB5,AH5,AN5,AT5)</f>
        <v>3950</v>
      </c>
      <c r="BA5" s="607">
        <f t="shared" ref="BA5:BA34" si="9">+IFERROR(BB5/AZ5,0)</f>
        <v>84.856329113924048</v>
      </c>
      <c r="BB5" s="49">
        <f t="shared" ref="BB5:BB34" si="10">SUM(F5,L5,R5,X5,AD5,AJ5,AP5,AV5)</f>
        <v>335182.5</v>
      </c>
    </row>
    <row r="6" spans="2:57" x14ac:dyDescent="0.25">
      <c r="B6" s="47">
        <f t="shared" ref="B6:B34" si="11">+B5+1</f>
        <v>45629</v>
      </c>
      <c r="C6" s="49"/>
      <c r="D6" s="49">
        <v>500</v>
      </c>
      <c r="E6" s="607">
        <v>82.14</v>
      </c>
      <c r="F6" s="49">
        <f t="shared" si="0"/>
        <v>41070</v>
      </c>
      <c r="H6" s="47">
        <f t="shared" ref="H6:H34" si="12">+H5+1</f>
        <v>45629</v>
      </c>
      <c r="I6" s="49"/>
      <c r="J6" s="49">
        <v>500</v>
      </c>
      <c r="K6" s="607">
        <v>78.72</v>
      </c>
      <c r="L6" s="49">
        <f t="shared" si="1"/>
        <v>39360</v>
      </c>
      <c r="N6" s="47">
        <f t="shared" ref="N6:N34" si="13">+N5+1</f>
        <v>45629</v>
      </c>
      <c r="O6" s="49"/>
      <c r="P6" s="49">
        <v>400</v>
      </c>
      <c r="Q6" s="607">
        <v>82.63</v>
      </c>
      <c r="R6" s="49">
        <f t="shared" si="2"/>
        <v>33052</v>
      </c>
      <c r="T6" s="47">
        <f t="shared" ref="T6:T34" si="14">+T5+1</f>
        <v>45629</v>
      </c>
      <c r="U6" s="49"/>
      <c r="V6" s="49">
        <v>600</v>
      </c>
      <c r="W6" s="607">
        <v>82.73</v>
      </c>
      <c r="X6" s="49">
        <f t="shared" si="3"/>
        <v>49638</v>
      </c>
      <c r="Z6" s="47">
        <f t="shared" ref="Z6:Z34" si="15">+Z5+1</f>
        <v>45629</v>
      </c>
      <c r="AA6" s="49"/>
      <c r="AB6" s="49">
        <v>500</v>
      </c>
      <c r="AC6" s="607">
        <v>86.25</v>
      </c>
      <c r="AD6" s="49">
        <f t="shared" si="4"/>
        <v>43125</v>
      </c>
      <c r="AF6" s="47">
        <f t="shared" ref="AF6:AF34" si="16">+AF5+1</f>
        <v>45629</v>
      </c>
      <c r="AG6" s="49"/>
      <c r="AH6" s="49">
        <v>500</v>
      </c>
      <c r="AI6" s="607">
        <v>88.99</v>
      </c>
      <c r="AJ6" s="49">
        <f t="shared" si="5"/>
        <v>44495</v>
      </c>
      <c r="AL6" s="47">
        <f t="shared" ref="AL6:AL34" si="17">+AL5+1</f>
        <v>45629</v>
      </c>
      <c r="AM6" s="49"/>
      <c r="AN6" s="49">
        <v>700</v>
      </c>
      <c r="AO6" s="607">
        <v>88.5</v>
      </c>
      <c r="AP6" s="49">
        <f t="shared" si="6"/>
        <v>61950</v>
      </c>
      <c r="AR6" s="47">
        <f t="shared" ref="AR6:AR34" si="18">+AR5+1</f>
        <v>45629</v>
      </c>
      <c r="AS6" s="49"/>
      <c r="AT6" s="49">
        <v>250</v>
      </c>
      <c r="AU6" s="607">
        <v>89.97</v>
      </c>
      <c r="AV6" s="49">
        <f t="shared" si="7"/>
        <v>22492.5</v>
      </c>
      <c r="AX6" s="47">
        <f t="shared" ref="AX6:AX34" si="19">+AX5+1</f>
        <v>45629</v>
      </c>
      <c r="AY6" s="49"/>
      <c r="AZ6" s="49">
        <f t="shared" si="8"/>
        <v>3950</v>
      </c>
      <c r="BA6" s="607">
        <f t="shared" si="9"/>
        <v>84.856329113924048</v>
      </c>
      <c r="BB6" s="49">
        <f t="shared" si="10"/>
        <v>335182.5</v>
      </c>
    </row>
    <row r="7" spans="2:57" x14ac:dyDescent="0.25">
      <c r="B7" s="47">
        <f t="shared" si="11"/>
        <v>45630</v>
      </c>
      <c r="C7" s="49"/>
      <c r="D7" s="49">
        <v>500</v>
      </c>
      <c r="E7" s="607">
        <v>82.14</v>
      </c>
      <c r="F7" s="49">
        <f t="shared" ref="F7" si="20">+D7*E7</f>
        <v>41070</v>
      </c>
      <c r="H7" s="47">
        <f t="shared" si="12"/>
        <v>45630</v>
      </c>
      <c r="I7" s="49"/>
      <c r="J7" s="49">
        <v>500</v>
      </c>
      <c r="K7" s="607">
        <v>78.72</v>
      </c>
      <c r="L7" s="49">
        <f t="shared" ref="L7" si="21">+J7*K7</f>
        <v>39360</v>
      </c>
      <c r="N7" s="47">
        <f t="shared" si="13"/>
        <v>45630</v>
      </c>
      <c r="O7" s="49"/>
      <c r="P7" s="49">
        <v>400</v>
      </c>
      <c r="Q7" s="607">
        <v>82.63</v>
      </c>
      <c r="R7" s="49">
        <f t="shared" ref="R7" si="22">+P7*Q7</f>
        <v>33052</v>
      </c>
      <c r="T7" s="47">
        <f t="shared" si="14"/>
        <v>45630</v>
      </c>
      <c r="U7" s="49"/>
      <c r="V7" s="49">
        <v>600</v>
      </c>
      <c r="W7" s="607">
        <v>82.73</v>
      </c>
      <c r="X7" s="49">
        <f t="shared" ref="X7" si="23">+V7*W7</f>
        <v>49638</v>
      </c>
      <c r="Z7" s="47">
        <f t="shared" si="15"/>
        <v>45630</v>
      </c>
      <c r="AA7" s="49"/>
      <c r="AB7" s="49">
        <v>500</v>
      </c>
      <c r="AC7" s="607">
        <v>86.25</v>
      </c>
      <c r="AD7" s="49">
        <f t="shared" ref="AD7" si="24">+AB7*AC7</f>
        <v>43125</v>
      </c>
      <c r="AF7" s="47">
        <f t="shared" si="16"/>
        <v>45630</v>
      </c>
      <c r="AG7" s="49"/>
      <c r="AH7" s="49">
        <v>500</v>
      </c>
      <c r="AI7" s="607">
        <v>88.99</v>
      </c>
      <c r="AJ7" s="49">
        <f t="shared" ref="AJ7" si="25">+AH7*AI7</f>
        <v>44495</v>
      </c>
      <c r="AL7" s="47">
        <f t="shared" si="17"/>
        <v>45630</v>
      </c>
      <c r="AM7" s="49"/>
      <c r="AN7" s="49">
        <v>700</v>
      </c>
      <c r="AO7" s="607">
        <v>88.5</v>
      </c>
      <c r="AP7" s="49">
        <f t="shared" ref="AP7" si="26">+AN7*AO7</f>
        <v>61950</v>
      </c>
      <c r="AR7" s="47">
        <f t="shared" si="18"/>
        <v>45630</v>
      </c>
      <c r="AS7" s="49"/>
      <c r="AT7" s="49">
        <v>250</v>
      </c>
      <c r="AU7" s="607">
        <v>89.97</v>
      </c>
      <c r="AV7" s="49">
        <f t="shared" ref="AV7" si="27">+AT7*AU7</f>
        <v>22492.5</v>
      </c>
      <c r="AX7" s="47">
        <f t="shared" si="19"/>
        <v>45630</v>
      </c>
      <c r="AY7" s="49"/>
      <c r="AZ7" s="49">
        <f t="shared" si="8"/>
        <v>3950</v>
      </c>
      <c r="BA7" s="607">
        <f t="shared" si="9"/>
        <v>84.856329113924048</v>
      </c>
      <c r="BB7" s="49">
        <f t="shared" si="10"/>
        <v>335182.5</v>
      </c>
    </row>
    <row r="8" spans="2:57" x14ac:dyDescent="0.25">
      <c r="B8" s="47">
        <f t="shared" si="11"/>
        <v>45631</v>
      </c>
      <c r="C8" s="49"/>
      <c r="D8" s="49">
        <v>500</v>
      </c>
      <c r="E8" s="607">
        <v>82.14</v>
      </c>
      <c r="F8" s="49">
        <f t="shared" ref="F8" si="28">+D8*E8</f>
        <v>41070</v>
      </c>
      <c r="H8" s="47">
        <f t="shared" si="12"/>
        <v>45631</v>
      </c>
      <c r="I8" s="49"/>
      <c r="J8" s="49">
        <v>500</v>
      </c>
      <c r="K8" s="607">
        <v>78.72</v>
      </c>
      <c r="L8" s="49">
        <f t="shared" ref="L8" si="29">+J8*K8</f>
        <v>39360</v>
      </c>
      <c r="N8" s="47">
        <f t="shared" si="13"/>
        <v>45631</v>
      </c>
      <c r="O8" s="49"/>
      <c r="P8" s="49">
        <v>400</v>
      </c>
      <c r="Q8" s="607">
        <v>82.63</v>
      </c>
      <c r="R8" s="49">
        <f t="shared" ref="R8" si="30">+P8*Q8</f>
        <v>33052</v>
      </c>
      <c r="T8" s="47">
        <f t="shared" si="14"/>
        <v>45631</v>
      </c>
      <c r="U8" s="49"/>
      <c r="V8" s="49">
        <v>600</v>
      </c>
      <c r="W8" s="607">
        <v>82.73</v>
      </c>
      <c r="X8" s="49">
        <f t="shared" ref="X8" si="31">+V8*W8</f>
        <v>49638</v>
      </c>
      <c r="Z8" s="47">
        <f t="shared" si="15"/>
        <v>45631</v>
      </c>
      <c r="AA8" s="49"/>
      <c r="AB8" s="49">
        <v>500</v>
      </c>
      <c r="AC8" s="607">
        <v>86.25</v>
      </c>
      <c r="AD8" s="49">
        <f t="shared" ref="AD8" si="32">+AB8*AC8</f>
        <v>43125</v>
      </c>
      <c r="AF8" s="47">
        <f t="shared" si="16"/>
        <v>45631</v>
      </c>
      <c r="AG8" s="49"/>
      <c r="AH8" s="49">
        <v>500</v>
      </c>
      <c r="AI8" s="607">
        <v>88.99</v>
      </c>
      <c r="AJ8" s="49">
        <f t="shared" ref="AJ8" si="33">+AH8*AI8</f>
        <v>44495</v>
      </c>
      <c r="AL8" s="47">
        <f t="shared" si="17"/>
        <v>45631</v>
      </c>
      <c r="AM8" s="49"/>
      <c r="AN8" s="49">
        <v>700</v>
      </c>
      <c r="AO8" s="607">
        <v>88.5</v>
      </c>
      <c r="AP8" s="49">
        <f t="shared" ref="AP8" si="34">+AN8*AO8</f>
        <v>61950</v>
      </c>
      <c r="AR8" s="47">
        <f t="shared" si="18"/>
        <v>45631</v>
      </c>
      <c r="AS8" s="49"/>
      <c r="AT8" s="49">
        <v>250</v>
      </c>
      <c r="AU8" s="607">
        <v>89.97</v>
      </c>
      <c r="AV8" s="49">
        <f t="shared" ref="AV8" si="35">+AT8*AU8</f>
        <v>22492.5</v>
      </c>
      <c r="AX8" s="47">
        <f t="shared" si="19"/>
        <v>45631</v>
      </c>
      <c r="AY8" s="49"/>
      <c r="AZ8" s="49">
        <f t="shared" si="8"/>
        <v>3950</v>
      </c>
      <c r="BA8" s="607">
        <f t="shared" si="9"/>
        <v>84.856329113924048</v>
      </c>
      <c r="BB8" s="49">
        <f t="shared" si="10"/>
        <v>335182.5</v>
      </c>
    </row>
    <row r="9" spans="2:57" x14ac:dyDescent="0.25">
      <c r="B9" s="47">
        <f t="shared" si="11"/>
        <v>45632</v>
      </c>
      <c r="C9" s="49"/>
      <c r="D9" s="49">
        <v>500</v>
      </c>
      <c r="E9" s="607">
        <v>82.14</v>
      </c>
      <c r="F9" s="49">
        <f t="shared" ref="F9" si="36">+D9*E9</f>
        <v>41070</v>
      </c>
      <c r="H9" s="47">
        <f t="shared" si="12"/>
        <v>45632</v>
      </c>
      <c r="I9" s="49"/>
      <c r="J9" s="49">
        <v>500</v>
      </c>
      <c r="K9" s="607">
        <v>78.72</v>
      </c>
      <c r="L9" s="49">
        <f t="shared" ref="L9" si="37">+J9*K9</f>
        <v>39360</v>
      </c>
      <c r="N9" s="47">
        <f t="shared" si="13"/>
        <v>45632</v>
      </c>
      <c r="O9" s="49"/>
      <c r="P9" s="49">
        <v>400</v>
      </c>
      <c r="Q9" s="607">
        <v>82.63</v>
      </c>
      <c r="R9" s="49">
        <f t="shared" ref="R9" si="38">+P9*Q9</f>
        <v>33052</v>
      </c>
      <c r="T9" s="47">
        <f t="shared" si="14"/>
        <v>45632</v>
      </c>
      <c r="U9" s="49"/>
      <c r="V9" s="49">
        <v>600</v>
      </c>
      <c r="W9" s="607">
        <v>82.73</v>
      </c>
      <c r="X9" s="49">
        <f t="shared" ref="X9" si="39">+V9*W9</f>
        <v>49638</v>
      </c>
      <c r="Z9" s="47">
        <f t="shared" si="15"/>
        <v>45632</v>
      </c>
      <c r="AA9" s="49"/>
      <c r="AB9" s="49">
        <v>500</v>
      </c>
      <c r="AC9" s="607">
        <v>86.25</v>
      </c>
      <c r="AD9" s="49">
        <f t="shared" ref="AD9" si="40">+AB9*AC9</f>
        <v>43125</v>
      </c>
      <c r="AF9" s="47">
        <f t="shared" si="16"/>
        <v>45632</v>
      </c>
      <c r="AG9" s="49"/>
      <c r="AH9" s="49">
        <v>500</v>
      </c>
      <c r="AI9" s="607">
        <v>88.99</v>
      </c>
      <c r="AJ9" s="49">
        <f t="shared" ref="AJ9" si="41">+AH9*AI9</f>
        <v>44495</v>
      </c>
      <c r="AL9" s="47">
        <f t="shared" si="17"/>
        <v>45632</v>
      </c>
      <c r="AM9" s="49"/>
      <c r="AN9" s="49">
        <v>700</v>
      </c>
      <c r="AO9" s="607">
        <v>88.5</v>
      </c>
      <c r="AP9" s="49">
        <f t="shared" ref="AP9" si="42">+AN9*AO9</f>
        <v>61950</v>
      </c>
      <c r="AR9" s="47">
        <f t="shared" si="18"/>
        <v>45632</v>
      </c>
      <c r="AS9" s="49"/>
      <c r="AT9" s="49">
        <v>250</v>
      </c>
      <c r="AU9" s="607">
        <v>89.97</v>
      </c>
      <c r="AV9" s="49">
        <f t="shared" ref="AV9" si="43">+AT9*AU9</f>
        <v>22492.5</v>
      </c>
      <c r="AX9" s="47">
        <f t="shared" si="19"/>
        <v>45632</v>
      </c>
      <c r="AY9" s="49"/>
      <c r="AZ9" s="49">
        <f t="shared" si="8"/>
        <v>3950</v>
      </c>
      <c r="BA9" s="607">
        <f t="shared" si="9"/>
        <v>84.856329113924048</v>
      </c>
      <c r="BB9" s="49">
        <f t="shared" si="10"/>
        <v>335182.5</v>
      </c>
    </row>
    <row r="10" spans="2:57" ht="17.25" customHeight="1" x14ac:dyDescent="0.25">
      <c r="B10" s="47">
        <f t="shared" si="11"/>
        <v>45633</v>
      </c>
      <c r="C10" s="49"/>
      <c r="D10" s="49">
        <v>500</v>
      </c>
      <c r="E10" s="607">
        <v>82.14</v>
      </c>
      <c r="F10" s="49">
        <f t="shared" ref="F10" si="44">+D10*E10</f>
        <v>41070</v>
      </c>
      <c r="H10" s="47">
        <f t="shared" si="12"/>
        <v>45633</v>
      </c>
      <c r="I10" s="49"/>
      <c r="J10" s="49">
        <v>500</v>
      </c>
      <c r="K10" s="607">
        <v>78.72</v>
      </c>
      <c r="L10" s="49">
        <f t="shared" ref="L10" si="45">+J10*K10</f>
        <v>39360</v>
      </c>
      <c r="N10" s="47">
        <f t="shared" si="13"/>
        <v>45633</v>
      </c>
      <c r="O10" s="49"/>
      <c r="P10" s="49">
        <v>400</v>
      </c>
      <c r="Q10" s="607">
        <v>82.63</v>
      </c>
      <c r="R10" s="49">
        <f t="shared" ref="R10" si="46">+P10*Q10</f>
        <v>33052</v>
      </c>
      <c r="T10" s="47">
        <f t="shared" si="14"/>
        <v>45633</v>
      </c>
      <c r="U10" s="49"/>
      <c r="V10" s="49">
        <v>600</v>
      </c>
      <c r="W10" s="607">
        <v>82.73</v>
      </c>
      <c r="X10" s="49">
        <f t="shared" ref="X10" si="47">+V10*W10</f>
        <v>49638</v>
      </c>
      <c r="Z10" s="47">
        <f t="shared" si="15"/>
        <v>45633</v>
      </c>
      <c r="AA10" s="49"/>
      <c r="AB10" s="49">
        <v>500</v>
      </c>
      <c r="AC10" s="607">
        <v>86.25</v>
      </c>
      <c r="AD10" s="49">
        <f t="shared" ref="AD10" si="48">+AB10*AC10</f>
        <v>43125</v>
      </c>
      <c r="AF10" s="47">
        <f t="shared" si="16"/>
        <v>45633</v>
      </c>
      <c r="AG10" s="49"/>
      <c r="AH10" s="49">
        <v>500</v>
      </c>
      <c r="AI10" s="607">
        <v>88.99</v>
      </c>
      <c r="AJ10" s="49">
        <f t="shared" ref="AJ10" si="49">+AH10*AI10</f>
        <v>44495</v>
      </c>
      <c r="AL10" s="47">
        <f t="shared" si="17"/>
        <v>45633</v>
      </c>
      <c r="AM10" s="49"/>
      <c r="AN10" s="49">
        <v>700</v>
      </c>
      <c r="AO10" s="607">
        <v>88.5</v>
      </c>
      <c r="AP10" s="49">
        <f t="shared" ref="AP10" si="50">+AN10*AO10</f>
        <v>61950</v>
      </c>
      <c r="AR10" s="47">
        <f t="shared" si="18"/>
        <v>45633</v>
      </c>
      <c r="AS10" s="49"/>
      <c r="AT10" s="49">
        <v>250</v>
      </c>
      <c r="AU10" s="607">
        <v>89.97</v>
      </c>
      <c r="AV10" s="49">
        <f t="shared" ref="AV10" si="51">+AT10*AU10</f>
        <v>22492.5</v>
      </c>
      <c r="AX10" s="47">
        <f t="shared" si="19"/>
        <v>45633</v>
      </c>
      <c r="AY10" s="49"/>
      <c r="AZ10" s="49">
        <f t="shared" si="8"/>
        <v>3950</v>
      </c>
      <c r="BA10" s="607">
        <f t="shared" si="9"/>
        <v>84.856329113924048</v>
      </c>
      <c r="BB10" s="49">
        <f t="shared" si="10"/>
        <v>335182.5</v>
      </c>
    </row>
    <row r="11" spans="2:57" ht="17.25" customHeight="1" x14ac:dyDescent="0.25">
      <c r="B11" s="47">
        <f t="shared" si="11"/>
        <v>45634</v>
      </c>
      <c r="C11" s="49"/>
      <c r="D11" s="49">
        <v>500</v>
      </c>
      <c r="E11" s="607">
        <v>82.14</v>
      </c>
      <c r="F11" s="49">
        <f t="shared" ref="F11:F13" si="52">+D11*E11</f>
        <v>41070</v>
      </c>
      <c r="H11" s="47">
        <f t="shared" si="12"/>
        <v>45634</v>
      </c>
      <c r="I11" s="49"/>
      <c r="J11" s="49">
        <v>500</v>
      </c>
      <c r="K11" s="607">
        <v>78.72</v>
      </c>
      <c r="L11" s="49">
        <f t="shared" ref="L11:L13" si="53">+J11*K11</f>
        <v>39360</v>
      </c>
      <c r="N11" s="47">
        <f t="shared" si="13"/>
        <v>45634</v>
      </c>
      <c r="O11" s="49"/>
      <c r="P11" s="49">
        <v>400</v>
      </c>
      <c r="Q11" s="607">
        <v>82.63</v>
      </c>
      <c r="R11" s="49">
        <f t="shared" ref="R11:R13" si="54">+P11*Q11</f>
        <v>33052</v>
      </c>
      <c r="T11" s="47">
        <f t="shared" si="14"/>
        <v>45634</v>
      </c>
      <c r="U11" s="49"/>
      <c r="V11" s="49">
        <v>600</v>
      </c>
      <c r="W11" s="607">
        <v>82.73</v>
      </c>
      <c r="X11" s="49">
        <f t="shared" ref="X11:X13" si="55">+V11*W11</f>
        <v>49638</v>
      </c>
      <c r="Z11" s="47">
        <f t="shared" si="15"/>
        <v>45634</v>
      </c>
      <c r="AA11" s="49"/>
      <c r="AB11" s="49">
        <v>500</v>
      </c>
      <c r="AC11" s="607">
        <v>86.25</v>
      </c>
      <c r="AD11" s="49">
        <f t="shared" ref="AD11:AD13" si="56">+AB11*AC11</f>
        <v>43125</v>
      </c>
      <c r="AF11" s="47">
        <f t="shared" si="16"/>
        <v>45634</v>
      </c>
      <c r="AG11" s="49"/>
      <c r="AH11" s="49">
        <v>500</v>
      </c>
      <c r="AI11" s="607">
        <v>88.99</v>
      </c>
      <c r="AJ11" s="49">
        <f t="shared" ref="AJ11:AJ13" si="57">+AH11*AI11</f>
        <v>44495</v>
      </c>
      <c r="AL11" s="47">
        <f t="shared" si="17"/>
        <v>45634</v>
      </c>
      <c r="AM11" s="49"/>
      <c r="AN11" s="49">
        <v>700</v>
      </c>
      <c r="AO11" s="607">
        <v>88.5</v>
      </c>
      <c r="AP11" s="49">
        <f t="shared" ref="AP11:AP13" si="58">+AN11*AO11</f>
        <v>61950</v>
      </c>
      <c r="AR11" s="47">
        <f t="shared" si="18"/>
        <v>45634</v>
      </c>
      <c r="AS11" s="49"/>
      <c r="AT11" s="49">
        <v>250</v>
      </c>
      <c r="AU11" s="607">
        <v>89.97</v>
      </c>
      <c r="AV11" s="49">
        <f t="shared" ref="AV11:AV13" si="59">+AT11*AU11</f>
        <v>22492.5</v>
      </c>
      <c r="AX11" s="47">
        <f t="shared" si="19"/>
        <v>45634</v>
      </c>
      <c r="AY11" s="49"/>
      <c r="AZ11" s="49">
        <f t="shared" si="8"/>
        <v>3950</v>
      </c>
      <c r="BA11" s="607">
        <f t="shared" si="9"/>
        <v>84.856329113924048</v>
      </c>
      <c r="BB11" s="49">
        <f t="shared" si="10"/>
        <v>335182.5</v>
      </c>
    </row>
    <row r="12" spans="2:57" ht="17.25" customHeight="1" x14ac:dyDescent="0.25">
      <c r="B12" s="47">
        <f t="shared" si="11"/>
        <v>45635</v>
      </c>
      <c r="C12" s="49"/>
      <c r="D12" s="49">
        <v>500</v>
      </c>
      <c r="E12" s="607">
        <v>82.14</v>
      </c>
      <c r="F12" s="49">
        <f t="shared" si="52"/>
        <v>41070</v>
      </c>
      <c r="H12" s="47">
        <f t="shared" si="12"/>
        <v>45635</v>
      </c>
      <c r="I12" s="49"/>
      <c r="J12" s="49">
        <v>500</v>
      </c>
      <c r="K12" s="607">
        <v>78.72</v>
      </c>
      <c r="L12" s="49">
        <f t="shared" si="53"/>
        <v>39360</v>
      </c>
      <c r="N12" s="47">
        <f t="shared" si="13"/>
        <v>45635</v>
      </c>
      <c r="O12" s="49"/>
      <c r="P12" s="49">
        <v>400</v>
      </c>
      <c r="Q12" s="607">
        <v>82.63</v>
      </c>
      <c r="R12" s="49">
        <f t="shared" si="54"/>
        <v>33052</v>
      </c>
      <c r="T12" s="47">
        <f t="shared" si="14"/>
        <v>45635</v>
      </c>
      <c r="U12" s="49"/>
      <c r="V12" s="49">
        <v>600</v>
      </c>
      <c r="W12" s="607">
        <v>82.73</v>
      </c>
      <c r="X12" s="49">
        <f t="shared" si="55"/>
        <v>49638</v>
      </c>
      <c r="Z12" s="47">
        <f t="shared" si="15"/>
        <v>45635</v>
      </c>
      <c r="AA12" s="49"/>
      <c r="AB12" s="49">
        <v>500</v>
      </c>
      <c r="AC12" s="607">
        <v>86.25</v>
      </c>
      <c r="AD12" s="49">
        <f t="shared" si="56"/>
        <v>43125</v>
      </c>
      <c r="AF12" s="47">
        <f t="shared" si="16"/>
        <v>45635</v>
      </c>
      <c r="AG12" s="49"/>
      <c r="AH12" s="49">
        <v>500</v>
      </c>
      <c r="AI12" s="607">
        <v>88.99</v>
      </c>
      <c r="AJ12" s="49">
        <f t="shared" si="57"/>
        <v>44495</v>
      </c>
      <c r="AL12" s="47">
        <f t="shared" si="17"/>
        <v>45635</v>
      </c>
      <c r="AM12" s="49"/>
      <c r="AN12" s="49">
        <v>700</v>
      </c>
      <c r="AO12" s="607">
        <v>88.5</v>
      </c>
      <c r="AP12" s="49">
        <f t="shared" si="58"/>
        <v>61950</v>
      </c>
      <c r="AR12" s="47">
        <f t="shared" si="18"/>
        <v>45635</v>
      </c>
      <c r="AS12" s="49"/>
      <c r="AT12" s="49">
        <v>250</v>
      </c>
      <c r="AU12" s="607">
        <v>89.97</v>
      </c>
      <c r="AV12" s="49">
        <f t="shared" si="59"/>
        <v>22492.5</v>
      </c>
      <c r="AX12" s="47">
        <f t="shared" si="19"/>
        <v>45635</v>
      </c>
      <c r="AY12" s="49"/>
      <c r="AZ12" s="49">
        <f t="shared" si="8"/>
        <v>3950</v>
      </c>
      <c r="BA12" s="607">
        <f t="shared" si="9"/>
        <v>84.856329113924048</v>
      </c>
      <c r="BB12" s="49">
        <f t="shared" si="10"/>
        <v>335182.5</v>
      </c>
    </row>
    <row r="13" spans="2:57" ht="18" customHeight="1" x14ac:dyDescent="0.25">
      <c r="B13" s="47">
        <f t="shared" si="11"/>
        <v>45636</v>
      </c>
      <c r="C13" s="49"/>
      <c r="D13" s="49">
        <v>500</v>
      </c>
      <c r="E13" s="607">
        <v>82.14</v>
      </c>
      <c r="F13" s="49">
        <f t="shared" si="52"/>
        <v>41070</v>
      </c>
      <c r="H13" s="47">
        <f t="shared" si="12"/>
        <v>45636</v>
      </c>
      <c r="I13" s="49"/>
      <c r="J13" s="49">
        <v>500</v>
      </c>
      <c r="K13" s="607">
        <v>78.72</v>
      </c>
      <c r="L13" s="49">
        <f t="shared" si="53"/>
        <v>39360</v>
      </c>
      <c r="N13" s="47">
        <f t="shared" si="13"/>
        <v>45636</v>
      </c>
      <c r="O13" s="49"/>
      <c r="P13" s="49">
        <v>400</v>
      </c>
      <c r="Q13" s="607">
        <v>82.63</v>
      </c>
      <c r="R13" s="49">
        <f t="shared" si="54"/>
        <v>33052</v>
      </c>
      <c r="T13" s="47">
        <f t="shared" si="14"/>
        <v>45636</v>
      </c>
      <c r="U13" s="49"/>
      <c r="V13" s="49">
        <v>600</v>
      </c>
      <c r="W13" s="607">
        <v>82.73</v>
      </c>
      <c r="X13" s="49">
        <f t="shared" si="55"/>
        <v>49638</v>
      </c>
      <c r="Z13" s="47">
        <f t="shared" si="15"/>
        <v>45636</v>
      </c>
      <c r="AA13" s="49"/>
      <c r="AB13" s="49">
        <v>500</v>
      </c>
      <c r="AC13" s="607">
        <v>86.25</v>
      </c>
      <c r="AD13" s="49">
        <f t="shared" si="56"/>
        <v>43125</v>
      </c>
      <c r="AF13" s="47">
        <f t="shared" si="16"/>
        <v>45636</v>
      </c>
      <c r="AG13" s="49"/>
      <c r="AH13" s="49">
        <v>500</v>
      </c>
      <c r="AI13" s="607">
        <v>88.99</v>
      </c>
      <c r="AJ13" s="49">
        <f t="shared" si="57"/>
        <v>44495</v>
      </c>
      <c r="AL13" s="47">
        <f t="shared" si="17"/>
        <v>45636</v>
      </c>
      <c r="AM13" s="49"/>
      <c r="AN13" s="49">
        <v>700</v>
      </c>
      <c r="AO13" s="607">
        <v>88.5</v>
      </c>
      <c r="AP13" s="49">
        <f t="shared" si="58"/>
        <v>61950</v>
      </c>
      <c r="AR13" s="47">
        <f t="shared" si="18"/>
        <v>45636</v>
      </c>
      <c r="AS13" s="49"/>
      <c r="AT13" s="49">
        <v>250</v>
      </c>
      <c r="AU13" s="607">
        <v>89.97</v>
      </c>
      <c r="AV13" s="49">
        <f t="shared" si="59"/>
        <v>22492.5</v>
      </c>
      <c r="AX13" s="47">
        <f t="shared" si="19"/>
        <v>45636</v>
      </c>
      <c r="AY13" s="49"/>
      <c r="AZ13" s="49">
        <f t="shared" si="8"/>
        <v>3950</v>
      </c>
      <c r="BA13" s="607">
        <f t="shared" si="9"/>
        <v>84.856329113924048</v>
      </c>
      <c r="BB13" s="49">
        <f t="shared" si="10"/>
        <v>335182.5</v>
      </c>
    </row>
    <row r="14" spans="2:57" ht="18" customHeight="1" x14ac:dyDescent="0.25">
      <c r="B14" s="47">
        <f t="shared" si="11"/>
        <v>45637</v>
      </c>
      <c r="C14" s="49"/>
      <c r="D14" s="49">
        <v>500</v>
      </c>
      <c r="E14" s="607">
        <v>82.14</v>
      </c>
      <c r="F14" s="49">
        <f t="shared" ref="F14:F17" si="60">+D14*E14</f>
        <v>41070</v>
      </c>
      <c r="H14" s="47">
        <f t="shared" si="12"/>
        <v>45637</v>
      </c>
      <c r="I14" s="49"/>
      <c r="J14" s="49">
        <v>500</v>
      </c>
      <c r="K14" s="607">
        <v>78.72</v>
      </c>
      <c r="L14" s="49">
        <f t="shared" ref="L14:L17" si="61">+J14*K14</f>
        <v>39360</v>
      </c>
      <c r="N14" s="47">
        <f t="shared" si="13"/>
        <v>45637</v>
      </c>
      <c r="O14" s="49"/>
      <c r="P14" s="49">
        <v>400</v>
      </c>
      <c r="Q14" s="607">
        <v>82.63</v>
      </c>
      <c r="R14" s="49">
        <f t="shared" ref="R14:R17" si="62">+P14*Q14</f>
        <v>33052</v>
      </c>
      <c r="T14" s="47">
        <f t="shared" si="14"/>
        <v>45637</v>
      </c>
      <c r="U14" s="49"/>
      <c r="V14" s="49">
        <v>600</v>
      </c>
      <c r="W14" s="607">
        <v>82.73</v>
      </c>
      <c r="X14" s="49">
        <f t="shared" ref="X14:X17" si="63">+V14*W14</f>
        <v>49638</v>
      </c>
      <c r="Z14" s="47">
        <f t="shared" si="15"/>
        <v>45637</v>
      </c>
      <c r="AA14" s="49"/>
      <c r="AB14" s="49">
        <v>500</v>
      </c>
      <c r="AC14" s="607">
        <v>86.25</v>
      </c>
      <c r="AD14" s="49">
        <f t="shared" ref="AD14:AD17" si="64">+AB14*AC14</f>
        <v>43125</v>
      </c>
      <c r="AF14" s="47">
        <f t="shared" si="16"/>
        <v>45637</v>
      </c>
      <c r="AG14" s="49"/>
      <c r="AH14" s="49">
        <v>500</v>
      </c>
      <c r="AI14" s="607">
        <v>88.99</v>
      </c>
      <c r="AJ14" s="49">
        <f t="shared" ref="AJ14:AJ17" si="65">+AH14*AI14</f>
        <v>44495</v>
      </c>
      <c r="AL14" s="47">
        <f t="shared" si="17"/>
        <v>45637</v>
      </c>
      <c r="AM14" s="49"/>
      <c r="AN14" s="49">
        <v>700</v>
      </c>
      <c r="AO14" s="607">
        <v>88.5</v>
      </c>
      <c r="AP14" s="49">
        <f t="shared" ref="AP14:AP17" si="66">+AN14*AO14</f>
        <v>61950</v>
      </c>
      <c r="AR14" s="47">
        <f t="shared" si="18"/>
        <v>45637</v>
      </c>
      <c r="AS14" s="49"/>
      <c r="AT14" s="49">
        <v>250</v>
      </c>
      <c r="AU14" s="607">
        <v>89.97</v>
      </c>
      <c r="AV14" s="49">
        <f t="shared" ref="AV14:AV17" si="67">+AT14*AU14</f>
        <v>22492.5</v>
      </c>
      <c r="AX14" s="47">
        <f t="shared" si="19"/>
        <v>45637</v>
      </c>
      <c r="AY14" s="49"/>
      <c r="AZ14" s="49">
        <f t="shared" si="8"/>
        <v>3950</v>
      </c>
      <c r="BA14" s="607">
        <f t="shared" si="9"/>
        <v>84.856329113924048</v>
      </c>
      <c r="BB14" s="49">
        <f t="shared" si="10"/>
        <v>335182.5</v>
      </c>
    </row>
    <row r="15" spans="2:57" ht="18" customHeight="1" x14ac:dyDescent="0.25">
      <c r="B15" s="47">
        <f t="shared" si="11"/>
        <v>45638</v>
      </c>
      <c r="C15" s="49"/>
      <c r="D15" s="49">
        <v>500</v>
      </c>
      <c r="E15" s="607">
        <v>82.14</v>
      </c>
      <c r="F15" s="49">
        <f t="shared" si="60"/>
        <v>41070</v>
      </c>
      <c r="H15" s="47">
        <f t="shared" si="12"/>
        <v>45638</v>
      </c>
      <c r="I15" s="49"/>
      <c r="J15" s="49">
        <v>500</v>
      </c>
      <c r="K15" s="607">
        <v>78.72</v>
      </c>
      <c r="L15" s="49">
        <f t="shared" si="61"/>
        <v>39360</v>
      </c>
      <c r="N15" s="47">
        <f t="shared" si="13"/>
        <v>45638</v>
      </c>
      <c r="O15" s="49"/>
      <c r="P15" s="49">
        <v>400</v>
      </c>
      <c r="Q15" s="607">
        <v>82.63</v>
      </c>
      <c r="R15" s="49">
        <f t="shared" si="62"/>
        <v>33052</v>
      </c>
      <c r="T15" s="47">
        <f t="shared" si="14"/>
        <v>45638</v>
      </c>
      <c r="U15" s="49"/>
      <c r="V15" s="49">
        <v>600</v>
      </c>
      <c r="W15" s="607">
        <v>82.73</v>
      </c>
      <c r="X15" s="49">
        <f t="shared" si="63"/>
        <v>49638</v>
      </c>
      <c r="Z15" s="47">
        <f t="shared" si="15"/>
        <v>45638</v>
      </c>
      <c r="AA15" s="49"/>
      <c r="AB15" s="49">
        <v>500</v>
      </c>
      <c r="AC15" s="607">
        <v>86.25</v>
      </c>
      <c r="AD15" s="49">
        <f t="shared" si="64"/>
        <v>43125</v>
      </c>
      <c r="AF15" s="47">
        <f t="shared" si="16"/>
        <v>45638</v>
      </c>
      <c r="AG15" s="49"/>
      <c r="AH15" s="49">
        <v>500</v>
      </c>
      <c r="AI15" s="607">
        <v>88.99</v>
      </c>
      <c r="AJ15" s="49">
        <f t="shared" si="65"/>
        <v>44495</v>
      </c>
      <c r="AL15" s="47">
        <f t="shared" si="17"/>
        <v>45638</v>
      </c>
      <c r="AM15" s="49"/>
      <c r="AN15" s="49">
        <v>700</v>
      </c>
      <c r="AO15" s="607">
        <v>88.5</v>
      </c>
      <c r="AP15" s="49">
        <f t="shared" si="66"/>
        <v>61950</v>
      </c>
      <c r="AR15" s="47">
        <f t="shared" si="18"/>
        <v>45638</v>
      </c>
      <c r="AS15" s="49"/>
      <c r="AT15" s="49">
        <v>250</v>
      </c>
      <c r="AU15" s="607">
        <v>89.97</v>
      </c>
      <c r="AV15" s="49">
        <f t="shared" si="67"/>
        <v>22492.5</v>
      </c>
      <c r="AX15" s="47">
        <f t="shared" si="19"/>
        <v>45638</v>
      </c>
      <c r="AY15" s="49"/>
      <c r="AZ15" s="49">
        <f t="shared" si="8"/>
        <v>3950</v>
      </c>
      <c r="BA15" s="607">
        <f t="shared" si="9"/>
        <v>84.856329113924048</v>
      </c>
      <c r="BB15" s="49">
        <f t="shared" si="10"/>
        <v>335182.5</v>
      </c>
    </row>
    <row r="16" spans="2:57" ht="18" customHeight="1" x14ac:dyDescent="0.25">
      <c r="B16" s="47">
        <f t="shared" si="11"/>
        <v>45639</v>
      </c>
      <c r="C16" s="49"/>
      <c r="D16" s="49">
        <v>500</v>
      </c>
      <c r="E16" s="607">
        <v>82.14</v>
      </c>
      <c r="F16" s="49">
        <f t="shared" si="60"/>
        <v>41070</v>
      </c>
      <c r="H16" s="47">
        <f t="shared" si="12"/>
        <v>45639</v>
      </c>
      <c r="I16" s="49"/>
      <c r="J16" s="49">
        <v>500</v>
      </c>
      <c r="K16" s="607">
        <v>78.72</v>
      </c>
      <c r="L16" s="49">
        <f t="shared" si="61"/>
        <v>39360</v>
      </c>
      <c r="N16" s="47">
        <f t="shared" si="13"/>
        <v>45639</v>
      </c>
      <c r="O16" s="49"/>
      <c r="P16" s="49">
        <v>400</v>
      </c>
      <c r="Q16" s="607">
        <v>82.63</v>
      </c>
      <c r="R16" s="49">
        <f t="shared" si="62"/>
        <v>33052</v>
      </c>
      <c r="T16" s="47">
        <f t="shared" si="14"/>
        <v>45639</v>
      </c>
      <c r="U16" s="49"/>
      <c r="V16" s="49">
        <v>600</v>
      </c>
      <c r="W16" s="607">
        <v>82.73</v>
      </c>
      <c r="X16" s="49">
        <f t="shared" si="63"/>
        <v>49638</v>
      </c>
      <c r="Z16" s="47">
        <f t="shared" si="15"/>
        <v>45639</v>
      </c>
      <c r="AA16" s="49"/>
      <c r="AB16" s="49">
        <v>500</v>
      </c>
      <c r="AC16" s="607">
        <v>86.25</v>
      </c>
      <c r="AD16" s="49">
        <f t="shared" si="64"/>
        <v>43125</v>
      </c>
      <c r="AF16" s="47">
        <f t="shared" si="16"/>
        <v>45639</v>
      </c>
      <c r="AG16" s="49"/>
      <c r="AH16" s="49">
        <v>500</v>
      </c>
      <c r="AI16" s="607">
        <v>88.99</v>
      </c>
      <c r="AJ16" s="49">
        <f t="shared" si="65"/>
        <v>44495</v>
      </c>
      <c r="AL16" s="47">
        <f t="shared" si="17"/>
        <v>45639</v>
      </c>
      <c r="AM16" s="49"/>
      <c r="AN16" s="49">
        <v>700</v>
      </c>
      <c r="AO16" s="607">
        <v>88.5</v>
      </c>
      <c r="AP16" s="49">
        <f t="shared" si="66"/>
        <v>61950</v>
      </c>
      <c r="AR16" s="47">
        <f t="shared" si="18"/>
        <v>45639</v>
      </c>
      <c r="AS16" s="49"/>
      <c r="AT16" s="49">
        <v>250</v>
      </c>
      <c r="AU16" s="607">
        <v>89.97</v>
      </c>
      <c r="AV16" s="49">
        <f t="shared" si="67"/>
        <v>22492.5</v>
      </c>
      <c r="AX16" s="47">
        <f t="shared" si="19"/>
        <v>45639</v>
      </c>
      <c r="AY16" s="49"/>
      <c r="AZ16" s="49">
        <f t="shared" si="8"/>
        <v>3950</v>
      </c>
      <c r="BA16" s="607">
        <f t="shared" si="9"/>
        <v>84.856329113924048</v>
      </c>
      <c r="BB16" s="49">
        <f t="shared" si="10"/>
        <v>335182.5</v>
      </c>
    </row>
    <row r="17" spans="2:54" ht="18" customHeight="1" x14ac:dyDescent="0.25">
      <c r="B17" s="47">
        <f t="shared" si="11"/>
        <v>45640</v>
      </c>
      <c r="C17" s="49"/>
      <c r="D17" s="49">
        <v>500</v>
      </c>
      <c r="E17" s="607">
        <v>82.14</v>
      </c>
      <c r="F17" s="49">
        <f t="shared" si="60"/>
        <v>41070</v>
      </c>
      <c r="H17" s="47">
        <f t="shared" si="12"/>
        <v>45640</v>
      </c>
      <c r="I17" s="49"/>
      <c r="J17" s="49">
        <v>500</v>
      </c>
      <c r="K17" s="607">
        <v>78.72</v>
      </c>
      <c r="L17" s="49">
        <f t="shared" si="61"/>
        <v>39360</v>
      </c>
      <c r="N17" s="47">
        <f t="shared" si="13"/>
        <v>45640</v>
      </c>
      <c r="O17" s="49"/>
      <c r="P17" s="49">
        <v>400</v>
      </c>
      <c r="Q17" s="607">
        <v>82.63</v>
      </c>
      <c r="R17" s="49">
        <f t="shared" si="62"/>
        <v>33052</v>
      </c>
      <c r="T17" s="47">
        <f t="shared" si="14"/>
        <v>45640</v>
      </c>
      <c r="U17" s="49"/>
      <c r="V17" s="49">
        <v>600</v>
      </c>
      <c r="W17" s="607">
        <v>82.73</v>
      </c>
      <c r="X17" s="49">
        <f t="shared" si="63"/>
        <v>49638</v>
      </c>
      <c r="Z17" s="47">
        <f t="shared" si="15"/>
        <v>45640</v>
      </c>
      <c r="AA17" s="49"/>
      <c r="AB17" s="49">
        <v>500</v>
      </c>
      <c r="AC17" s="607">
        <v>86.25</v>
      </c>
      <c r="AD17" s="49">
        <f t="shared" si="64"/>
        <v>43125</v>
      </c>
      <c r="AF17" s="47">
        <f t="shared" si="16"/>
        <v>45640</v>
      </c>
      <c r="AG17" s="49"/>
      <c r="AH17" s="49">
        <v>500</v>
      </c>
      <c r="AI17" s="607">
        <v>88.99</v>
      </c>
      <c r="AJ17" s="49">
        <f t="shared" si="65"/>
        <v>44495</v>
      </c>
      <c r="AL17" s="47">
        <f t="shared" si="17"/>
        <v>45640</v>
      </c>
      <c r="AM17" s="49"/>
      <c r="AN17" s="49">
        <v>700</v>
      </c>
      <c r="AO17" s="607">
        <v>88.5</v>
      </c>
      <c r="AP17" s="49">
        <f t="shared" si="66"/>
        <v>61950</v>
      </c>
      <c r="AR17" s="47">
        <f t="shared" si="18"/>
        <v>45640</v>
      </c>
      <c r="AS17" s="49"/>
      <c r="AT17" s="49">
        <v>250</v>
      </c>
      <c r="AU17" s="607">
        <v>89.97</v>
      </c>
      <c r="AV17" s="49">
        <f t="shared" si="67"/>
        <v>22492.5</v>
      </c>
      <c r="AX17" s="47">
        <f t="shared" si="19"/>
        <v>45640</v>
      </c>
      <c r="AY17" s="49"/>
      <c r="AZ17" s="49">
        <f t="shared" si="8"/>
        <v>3950</v>
      </c>
      <c r="BA17" s="607">
        <f t="shared" si="9"/>
        <v>84.856329113924048</v>
      </c>
      <c r="BB17" s="49">
        <f t="shared" si="10"/>
        <v>335182.5</v>
      </c>
    </row>
    <row r="18" spans="2:54" ht="18" customHeight="1" x14ac:dyDescent="0.25">
      <c r="B18" s="47">
        <f t="shared" si="11"/>
        <v>45641</v>
      </c>
      <c r="C18" s="49"/>
      <c r="D18" s="49">
        <v>500</v>
      </c>
      <c r="E18" s="607">
        <v>82.14</v>
      </c>
      <c r="F18" s="49">
        <f t="shared" ref="F18" si="68">+D18*E18</f>
        <v>41070</v>
      </c>
      <c r="H18" s="47">
        <f t="shared" si="12"/>
        <v>45641</v>
      </c>
      <c r="I18" s="49"/>
      <c r="J18" s="49">
        <v>500</v>
      </c>
      <c r="K18" s="607">
        <v>78.72</v>
      </c>
      <c r="L18" s="49">
        <f t="shared" ref="L18" si="69">+J18*K18</f>
        <v>39360</v>
      </c>
      <c r="N18" s="47">
        <f t="shared" si="13"/>
        <v>45641</v>
      </c>
      <c r="O18" s="49"/>
      <c r="P18" s="49">
        <v>400</v>
      </c>
      <c r="Q18" s="607">
        <v>82.63</v>
      </c>
      <c r="R18" s="49">
        <f t="shared" ref="R18" si="70">+P18*Q18</f>
        <v>33052</v>
      </c>
      <c r="T18" s="47">
        <f t="shared" si="14"/>
        <v>45641</v>
      </c>
      <c r="U18" s="49"/>
      <c r="V18" s="49">
        <v>600</v>
      </c>
      <c r="W18" s="607">
        <v>82.73</v>
      </c>
      <c r="X18" s="49">
        <f t="shared" ref="X18" si="71">+V18*W18</f>
        <v>49638</v>
      </c>
      <c r="Z18" s="47">
        <f t="shared" si="15"/>
        <v>45641</v>
      </c>
      <c r="AA18" s="49"/>
      <c r="AB18" s="49">
        <v>500</v>
      </c>
      <c r="AC18" s="607">
        <v>86.25</v>
      </c>
      <c r="AD18" s="49">
        <f t="shared" ref="AD18" si="72">+AB18*AC18</f>
        <v>43125</v>
      </c>
      <c r="AF18" s="47">
        <f t="shared" si="16"/>
        <v>45641</v>
      </c>
      <c r="AG18" s="49"/>
      <c r="AH18" s="49">
        <v>500</v>
      </c>
      <c r="AI18" s="607">
        <v>88.99</v>
      </c>
      <c r="AJ18" s="49">
        <f t="shared" ref="AJ18" si="73">+AH18*AI18</f>
        <v>44495</v>
      </c>
      <c r="AL18" s="47">
        <f t="shared" si="17"/>
        <v>45641</v>
      </c>
      <c r="AM18" s="49"/>
      <c r="AN18" s="49">
        <v>700</v>
      </c>
      <c r="AO18" s="607">
        <v>88.5</v>
      </c>
      <c r="AP18" s="49">
        <f t="shared" ref="AP18" si="74">+AN18*AO18</f>
        <v>61950</v>
      </c>
      <c r="AR18" s="47">
        <f t="shared" si="18"/>
        <v>45641</v>
      </c>
      <c r="AS18" s="49"/>
      <c r="AT18" s="49">
        <v>250</v>
      </c>
      <c r="AU18" s="607">
        <v>89.97</v>
      </c>
      <c r="AV18" s="49">
        <f t="shared" ref="AV18" si="75">+AT18*AU18</f>
        <v>22492.5</v>
      </c>
      <c r="AX18" s="47">
        <f t="shared" si="19"/>
        <v>45641</v>
      </c>
      <c r="AY18" s="49"/>
      <c r="AZ18" s="49">
        <f t="shared" ref="AZ18" si="76">SUM(D18,J18,P18,V18,AB18,AH18,AN18,AT18)</f>
        <v>3950</v>
      </c>
      <c r="BA18" s="607">
        <f t="shared" si="9"/>
        <v>84.856329113924048</v>
      </c>
      <c r="BB18" s="49">
        <f t="shared" ref="BB18" si="77">SUM(F18,L18,R18,X18,AD18,AJ18,AP18,AV18)</f>
        <v>335182.5</v>
      </c>
    </row>
    <row r="19" spans="2:54" ht="18" customHeight="1" x14ac:dyDescent="0.25">
      <c r="B19" s="47">
        <f t="shared" si="11"/>
        <v>45642</v>
      </c>
      <c r="C19" s="49"/>
      <c r="D19" s="49">
        <v>500</v>
      </c>
      <c r="E19" s="607">
        <v>82.14</v>
      </c>
      <c r="F19" s="49">
        <f t="shared" ref="F19" si="78">+D19*E19</f>
        <v>41070</v>
      </c>
      <c r="H19" s="47">
        <f t="shared" si="12"/>
        <v>45642</v>
      </c>
      <c r="I19" s="49"/>
      <c r="J19" s="49">
        <v>500</v>
      </c>
      <c r="K19" s="607">
        <v>78.72</v>
      </c>
      <c r="L19" s="49">
        <f t="shared" ref="L19" si="79">+J19*K19</f>
        <v>39360</v>
      </c>
      <c r="N19" s="47">
        <f t="shared" si="13"/>
        <v>45642</v>
      </c>
      <c r="O19" s="49"/>
      <c r="P19" s="49">
        <v>400</v>
      </c>
      <c r="Q19" s="607">
        <v>82.63</v>
      </c>
      <c r="R19" s="49">
        <f t="shared" ref="R19" si="80">+P19*Q19</f>
        <v>33052</v>
      </c>
      <c r="T19" s="47">
        <f t="shared" si="14"/>
        <v>45642</v>
      </c>
      <c r="U19" s="49"/>
      <c r="V19" s="49">
        <v>600</v>
      </c>
      <c r="W19" s="607">
        <v>82.73</v>
      </c>
      <c r="X19" s="49">
        <f t="shared" ref="X19" si="81">+V19*W19</f>
        <v>49638</v>
      </c>
      <c r="Z19" s="47">
        <f t="shared" si="15"/>
        <v>45642</v>
      </c>
      <c r="AA19" s="49"/>
      <c r="AB19" s="49">
        <v>500</v>
      </c>
      <c r="AC19" s="607">
        <v>86.25</v>
      </c>
      <c r="AD19" s="49">
        <f t="shared" ref="AD19" si="82">+AB19*AC19</f>
        <v>43125</v>
      </c>
      <c r="AF19" s="47">
        <f t="shared" si="16"/>
        <v>45642</v>
      </c>
      <c r="AG19" s="49"/>
      <c r="AH19" s="49">
        <v>500</v>
      </c>
      <c r="AI19" s="607">
        <v>88.99</v>
      </c>
      <c r="AJ19" s="49">
        <f t="shared" ref="AJ19" si="83">+AH19*AI19</f>
        <v>44495</v>
      </c>
      <c r="AL19" s="47">
        <f t="shared" si="17"/>
        <v>45642</v>
      </c>
      <c r="AM19" s="49"/>
      <c r="AN19" s="49">
        <v>700</v>
      </c>
      <c r="AO19" s="607">
        <v>88.5</v>
      </c>
      <c r="AP19" s="49">
        <f t="shared" ref="AP19" si="84">+AN19*AO19</f>
        <v>61950</v>
      </c>
      <c r="AR19" s="47">
        <f t="shared" si="18"/>
        <v>45642</v>
      </c>
      <c r="AS19" s="49"/>
      <c r="AT19" s="49">
        <v>250</v>
      </c>
      <c r="AU19" s="607">
        <v>89.97</v>
      </c>
      <c r="AV19" s="49">
        <f t="shared" ref="AV19" si="85">+AT19*AU19</f>
        <v>22492.5</v>
      </c>
      <c r="AX19" s="47">
        <f t="shared" si="19"/>
        <v>45642</v>
      </c>
      <c r="AY19" s="49"/>
      <c r="AZ19" s="49">
        <f t="shared" ref="AZ19" si="86">SUM(D19,J19,P19,V19,AB19,AH19,AN19,AT19)</f>
        <v>3950</v>
      </c>
      <c r="BA19" s="607">
        <f t="shared" ref="BA19" si="87">+IFERROR(BB19/AZ19,0)</f>
        <v>84.856329113924048</v>
      </c>
      <c r="BB19" s="49">
        <f t="shared" ref="BB19" si="88">SUM(F19,L19,R19,X19,AD19,AJ19,AP19,AV19)</f>
        <v>335182.5</v>
      </c>
    </row>
    <row r="20" spans="2:54" x14ac:dyDescent="0.25">
      <c r="B20" s="47">
        <f t="shared" si="11"/>
        <v>45643</v>
      </c>
      <c r="C20" s="49"/>
      <c r="D20" s="49"/>
      <c r="E20" s="607">
        <v>82.14</v>
      </c>
      <c r="F20" s="49">
        <f t="shared" si="0"/>
        <v>0</v>
      </c>
      <c r="H20" s="47">
        <f t="shared" si="12"/>
        <v>45643</v>
      </c>
      <c r="I20" s="49"/>
      <c r="J20" s="49"/>
      <c r="K20" s="607">
        <v>78.72</v>
      </c>
      <c r="L20" s="49">
        <f t="shared" si="1"/>
        <v>0</v>
      </c>
      <c r="N20" s="47">
        <f t="shared" si="13"/>
        <v>45643</v>
      </c>
      <c r="O20" s="49"/>
      <c r="P20" s="49"/>
      <c r="Q20" s="607">
        <v>82.63</v>
      </c>
      <c r="R20" s="49">
        <f t="shared" si="2"/>
        <v>0</v>
      </c>
      <c r="T20" s="47">
        <f t="shared" si="14"/>
        <v>45643</v>
      </c>
      <c r="U20" s="49"/>
      <c r="V20" s="49"/>
      <c r="W20" s="607">
        <v>82.73</v>
      </c>
      <c r="X20" s="49">
        <f t="shared" si="3"/>
        <v>0</v>
      </c>
      <c r="Z20" s="47">
        <f t="shared" si="15"/>
        <v>45643</v>
      </c>
      <c r="AA20" s="49"/>
      <c r="AB20" s="49"/>
      <c r="AC20" s="607">
        <v>86.25</v>
      </c>
      <c r="AD20" s="49">
        <f t="shared" si="4"/>
        <v>0</v>
      </c>
      <c r="AF20" s="47">
        <f t="shared" si="16"/>
        <v>45643</v>
      </c>
      <c r="AG20" s="49"/>
      <c r="AH20" s="49"/>
      <c r="AI20" s="607">
        <v>88.99</v>
      </c>
      <c r="AJ20" s="49">
        <f t="shared" si="5"/>
        <v>0</v>
      </c>
      <c r="AL20" s="47">
        <f t="shared" si="17"/>
        <v>45643</v>
      </c>
      <c r="AM20" s="49"/>
      <c r="AN20" s="49"/>
      <c r="AO20" s="607">
        <v>88.5</v>
      </c>
      <c r="AP20" s="49">
        <f t="shared" si="6"/>
        <v>0</v>
      </c>
      <c r="AR20" s="47">
        <f t="shared" si="18"/>
        <v>45643</v>
      </c>
      <c r="AS20" s="49"/>
      <c r="AT20" s="49"/>
      <c r="AU20" s="607">
        <v>89.97</v>
      </c>
      <c r="AV20" s="49">
        <f t="shared" si="7"/>
        <v>0</v>
      </c>
      <c r="AX20" s="47">
        <f t="shared" si="19"/>
        <v>45643</v>
      </c>
      <c r="AY20" s="49"/>
      <c r="AZ20" s="49">
        <f t="shared" si="8"/>
        <v>0</v>
      </c>
      <c r="BA20" s="607">
        <f t="shared" si="9"/>
        <v>0</v>
      </c>
      <c r="BB20" s="49">
        <f t="shared" si="10"/>
        <v>0</v>
      </c>
    </row>
    <row r="21" spans="2:54" x14ac:dyDescent="0.25">
      <c r="B21" s="47">
        <f t="shared" si="11"/>
        <v>45644</v>
      </c>
      <c r="C21" s="49"/>
      <c r="D21" s="49"/>
      <c r="E21" s="607">
        <v>82.14</v>
      </c>
      <c r="F21" s="49">
        <f t="shared" si="0"/>
        <v>0</v>
      </c>
      <c r="H21" s="47">
        <f t="shared" si="12"/>
        <v>45644</v>
      </c>
      <c r="I21" s="49"/>
      <c r="J21" s="49"/>
      <c r="K21" s="607">
        <v>78.72</v>
      </c>
      <c r="L21" s="49">
        <f t="shared" si="1"/>
        <v>0</v>
      </c>
      <c r="N21" s="47">
        <f t="shared" si="13"/>
        <v>45644</v>
      </c>
      <c r="O21" s="49"/>
      <c r="P21" s="49"/>
      <c r="Q21" s="607">
        <v>82.63</v>
      </c>
      <c r="R21" s="49">
        <f t="shared" si="2"/>
        <v>0</v>
      </c>
      <c r="T21" s="47">
        <f t="shared" si="14"/>
        <v>45644</v>
      </c>
      <c r="U21" s="49"/>
      <c r="V21" s="49"/>
      <c r="W21" s="607">
        <v>82.73</v>
      </c>
      <c r="X21" s="49">
        <f t="shared" si="3"/>
        <v>0</v>
      </c>
      <c r="Z21" s="47">
        <f t="shared" si="15"/>
        <v>45644</v>
      </c>
      <c r="AA21" s="49"/>
      <c r="AB21" s="49"/>
      <c r="AC21" s="607">
        <v>86.25</v>
      </c>
      <c r="AD21" s="49">
        <f t="shared" si="4"/>
        <v>0</v>
      </c>
      <c r="AF21" s="47">
        <f t="shared" si="16"/>
        <v>45644</v>
      </c>
      <c r="AG21" s="49"/>
      <c r="AH21" s="49"/>
      <c r="AI21" s="607">
        <v>88.99</v>
      </c>
      <c r="AJ21" s="49">
        <f t="shared" si="5"/>
        <v>0</v>
      </c>
      <c r="AL21" s="47">
        <f t="shared" si="17"/>
        <v>45644</v>
      </c>
      <c r="AM21" s="49"/>
      <c r="AN21" s="49"/>
      <c r="AO21" s="607">
        <v>88.5</v>
      </c>
      <c r="AP21" s="49">
        <f t="shared" si="6"/>
        <v>0</v>
      </c>
      <c r="AR21" s="47">
        <f t="shared" si="18"/>
        <v>45644</v>
      </c>
      <c r="AS21" s="49"/>
      <c r="AT21" s="49"/>
      <c r="AU21" s="607">
        <v>89.97</v>
      </c>
      <c r="AV21" s="49">
        <f t="shared" si="7"/>
        <v>0</v>
      </c>
      <c r="AX21" s="47">
        <f t="shared" si="19"/>
        <v>45644</v>
      </c>
      <c r="AY21" s="49"/>
      <c r="AZ21" s="49">
        <f t="shared" si="8"/>
        <v>0</v>
      </c>
      <c r="BA21" s="607">
        <f t="shared" si="9"/>
        <v>0</v>
      </c>
      <c r="BB21" s="49">
        <f t="shared" si="10"/>
        <v>0</v>
      </c>
    </row>
    <row r="22" spans="2:54" x14ac:dyDescent="0.25">
      <c r="B22" s="47">
        <f t="shared" si="11"/>
        <v>45645</v>
      </c>
      <c r="C22" s="49"/>
      <c r="D22" s="49"/>
      <c r="E22" s="607">
        <v>82.14</v>
      </c>
      <c r="F22" s="49">
        <f t="shared" si="0"/>
        <v>0</v>
      </c>
      <c r="H22" s="47">
        <f t="shared" si="12"/>
        <v>45645</v>
      </c>
      <c r="I22" s="49"/>
      <c r="J22" s="49"/>
      <c r="K22" s="607">
        <v>78.72</v>
      </c>
      <c r="L22" s="49">
        <f t="shared" si="1"/>
        <v>0</v>
      </c>
      <c r="N22" s="47">
        <f t="shared" si="13"/>
        <v>45645</v>
      </c>
      <c r="O22" s="49"/>
      <c r="P22" s="49"/>
      <c r="Q22" s="607">
        <v>82.63</v>
      </c>
      <c r="R22" s="49">
        <f t="shared" si="2"/>
        <v>0</v>
      </c>
      <c r="T22" s="47">
        <f t="shared" si="14"/>
        <v>45645</v>
      </c>
      <c r="U22" s="49"/>
      <c r="V22" s="49"/>
      <c r="W22" s="607">
        <v>82.73</v>
      </c>
      <c r="X22" s="49">
        <f t="shared" si="3"/>
        <v>0</v>
      </c>
      <c r="Z22" s="47">
        <f t="shared" si="15"/>
        <v>45645</v>
      </c>
      <c r="AA22" s="49"/>
      <c r="AB22" s="49"/>
      <c r="AC22" s="607">
        <v>86.25</v>
      </c>
      <c r="AD22" s="49">
        <f t="shared" si="4"/>
        <v>0</v>
      </c>
      <c r="AF22" s="47">
        <f t="shared" si="16"/>
        <v>45645</v>
      </c>
      <c r="AG22" s="49"/>
      <c r="AH22" s="49"/>
      <c r="AI22" s="607">
        <v>88.99</v>
      </c>
      <c r="AJ22" s="49">
        <f t="shared" si="5"/>
        <v>0</v>
      </c>
      <c r="AL22" s="47">
        <f t="shared" si="17"/>
        <v>45645</v>
      </c>
      <c r="AM22" s="49"/>
      <c r="AN22" s="49"/>
      <c r="AO22" s="607">
        <v>88.5</v>
      </c>
      <c r="AP22" s="49">
        <f t="shared" si="6"/>
        <v>0</v>
      </c>
      <c r="AR22" s="47">
        <f t="shared" si="18"/>
        <v>45645</v>
      </c>
      <c r="AS22" s="49"/>
      <c r="AT22" s="49"/>
      <c r="AU22" s="607">
        <v>89.97</v>
      </c>
      <c r="AV22" s="49">
        <f t="shared" si="7"/>
        <v>0</v>
      </c>
      <c r="AX22" s="47">
        <f t="shared" si="19"/>
        <v>45645</v>
      </c>
      <c r="AY22" s="49"/>
      <c r="AZ22" s="49">
        <f t="shared" si="8"/>
        <v>0</v>
      </c>
      <c r="BA22" s="607">
        <f t="shared" si="9"/>
        <v>0</v>
      </c>
      <c r="BB22" s="49">
        <f t="shared" si="10"/>
        <v>0</v>
      </c>
    </row>
    <row r="23" spans="2:54" x14ac:dyDescent="0.25">
      <c r="B23" s="47">
        <f t="shared" si="11"/>
        <v>45646</v>
      </c>
      <c r="C23" s="49"/>
      <c r="D23" s="49"/>
      <c r="E23" s="607">
        <v>82.14</v>
      </c>
      <c r="F23" s="49">
        <f t="shared" si="0"/>
        <v>0</v>
      </c>
      <c r="H23" s="47">
        <f t="shared" si="12"/>
        <v>45646</v>
      </c>
      <c r="I23" s="49"/>
      <c r="J23" s="49"/>
      <c r="K23" s="607">
        <v>78.72</v>
      </c>
      <c r="L23" s="49">
        <f t="shared" si="1"/>
        <v>0</v>
      </c>
      <c r="N23" s="47">
        <f t="shared" si="13"/>
        <v>45646</v>
      </c>
      <c r="O23" s="49"/>
      <c r="P23" s="49"/>
      <c r="Q23" s="607">
        <v>82.63</v>
      </c>
      <c r="R23" s="49">
        <f t="shared" si="2"/>
        <v>0</v>
      </c>
      <c r="T23" s="47">
        <f t="shared" si="14"/>
        <v>45646</v>
      </c>
      <c r="U23" s="49"/>
      <c r="V23" s="49"/>
      <c r="W23" s="607">
        <v>82.73</v>
      </c>
      <c r="X23" s="49">
        <f t="shared" si="3"/>
        <v>0</v>
      </c>
      <c r="Z23" s="47">
        <f t="shared" si="15"/>
        <v>45646</v>
      </c>
      <c r="AA23" s="49"/>
      <c r="AB23" s="49"/>
      <c r="AC23" s="607">
        <v>86.25</v>
      </c>
      <c r="AD23" s="49">
        <f t="shared" si="4"/>
        <v>0</v>
      </c>
      <c r="AF23" s="47">
        <f t="shared" si="16"/>
        <v>45646</v>
      </c>
      <c r="AG23" s="49"/>
      <c r="AH23" s="49"/>
      <c r="AI23" s="607">
        <v>88.99</v>
      </c>
      <c r="AJ23" s="49">
        <f t="shared" si="5"/>
        <v>0</v>
      </c>
      <c r="AL23" s="47">
        <f t="shared" si="17"/>
        <v>45646</v>
      </c>
      <c r="AM23" s="49"/>
      <c r="AN23" s="49"/>
      <c r="AO23" s="607">
        <v>88.5</v>
      </c>
      <c r="AP23" s="49">
        <f t="shared" si="6"/>
        <v>0</v>
      </c>
      <c r="AR23" s="47">
        <f t="shared" si="18"/>
        <v>45646</v>
      </c>
      <c r="AS23" s="49"/>
      <c r="AT23" s="49"/>
      <c r="AU23" s="607">
        <v>89.97</v>
      </c>
      <c r="AV23" s="49">
        <f t="shared" si="7"/>
        <v>0</v>
      </c>
      <c r="AX23" s="47">
        <f t="shared" si="19"/>
        <v>45646</v>
      </c>
      <c r="AY23" s="49"/>
      <c r="AZ23" s="49">
        <f t="shared" si="8"/>
        <v>0</v>
      </c>
      <c r="BA23" s="607">
        <f t="shared" si="9"/>
        <v>0</v>
      </c>
      <c r="BB23" s="49">
        <f t="shared" si="10"/>
        <v>0</v>
      </c>
    </row>
    <row r="24" spans="2:54" x14ac:dyDescent="0.25">
      <c r="B24" s="47">
        <f t="shared" si="11"/>
        <v>45647</v>
      </c>
      <c r="C24" s="49"/>
      <c r="D24" s="49"/>
      <c r="E24" s="607">
        <v>82.14</v>
      </c>
      <c r="F24" s="49">
        <f t="shared" si="0"/>
        <v>0</v>
      </c>
      <c r="H24" s="47">
        <f t="shared" si="12"/>
        <v>45647</v>
      </c>
      <c r="I24" s="49"/>
      <c r="J24" s="49"/>
      <c r="K24" s="607">
        <v>78.72</v>
      </c>
      <c r="L24" s="49">
        <f t="shared" si="1"/>
        <v>0</v>
      </c>
      <c r="N24" s="47">
        <f t="shared" si="13"/>
        <v>45647</v>
      </c>
      <c r="O24" s="49"/>
      <c r="P24" s="49"/>
      <c r="Q24" s="607">
        <v>82.63</v>
      </c>
      <c r="R24" s="49">
        <f t="shared" si="2"/>
        <v>0</v>
      </c>
      <c r="T24" s="47">
        <f t="shared" si="14"/>
        <v>45647</v>
      </c>
      <c r="U24" s="49"/>
      <c r="V24" s="49"/>
      <c r="W24" s="607">
        <v>82.73</v>
      </c>
      <c r="X24" s="49">
        <f t="shared" si="3"/>
        <v>0</v>
      </c>
      <c r="Z24" s="47">
        <f t="shared" si="15"/>
        <v>45647</v>
      </c>
      <c r="AA24" s="49"/>
      <c r="AB24" s="49"/>
      <c r="AC24" s="607">
        <v>86.25</v>
      </c>
      <c r="AD24" s="49">
        <f t="shared" si="4"/>
        <v>0</v>
      </c>
      <c r="AF24" s="47">
        <f t="shared" si="16"/>
        <v>45647</v>
      </c>
      <c r="AG24" s="49"/>
      <c r="AH24" s="49"/>
      <c r="AI24" s="607">
        <v>88.99</v>
      </c>
      <c r="AJ24" s="49">
        <f t="shared" si="5"/>
        <v>0</v>
      </c>
      <c r="AL24" s="47">
        <f t="shared" si="17"/>
        <v>45647</v>
      </c>
      <c r="AM24" s="49"/>
      <c r="AN24" s="49"/>
      <c r="AO24" s="607">
        <v>88.5</v>
      </c>
      <c r="AP24" s="49">
        <f t="shared" si="6"/>
        <v>0</v>
      </c>
      <c r="AR24" s="47">
        <f t="shared" si="18"/>
        <v>45647</v>
      </c>
      <c r="AS24" s="49"/>
      <c r="AT24" s="49"/>
      <c r="AU24" s="607">
        <v>89.97</v>
      </c>
      <c r="AV24" s="49">
        <f t="shared" si="7"/>
        <v>0</v>
      </c>
      <c r="AX24" s="47">
        <f t="shared" si="19"/>
        <v>45647</v>
      </c>
      <c r="AY24" s="49"/>
      <c r="AZ24" s="49">
        <f t="shared" si="8"/>
        <v>0</v>
      </c>
      <c r="BA24" s="607">
        <f t="shared" si="9"/>
        <v>0</v>
      </c>
      <c r="BB24" s="49">
        <f t="shared" si="10"/>
        <v>0</v>
      </c>
    </row>
    <row r="25" spans="2:54" x14ac:dyDescent="0.25">
      <c r="B25" s="47">
        <f t="shared" si="11"/>
        <v>45648</v>
      </c>
      <c r="C25" s="49"/>
      <c r="D25" s="49"/>
      <c r="E25" s="607">
        <v>82.14</v>
      </c>
      <c r="F25" s="49">
        <f t="shared" si="0"/>
        <v>0</v>
      </c>
      <c r="H25" s="47">
        <f t="shared" si="12"/>
        <v>45648</v>
      </c>
      <c r="I25" s="49"/>
      <c r="J25" s="49"/>
      <c r="K25" s="607">
        <v>78.72</v>
      </c>
      <c r="L25" s="49">
        <f t="shared" si="1"/>
        <v>0</v>
      </c>
      <c r="N25" s="47">
        <f t="shared" si="13"/>
        <v>45648</v>
      </c>
      <c r="O25" s="49"/>
      <c r="P25" s="49"/>
      <c r="Q25" s="607">
        <v>82.63</v>
      </c>
      <c r="R25" s="49">
        <f t="shared" si="2"/>
        <v>0</v>
      </c>
      <c r="T25" s="47">
        <f t="shared" si="14"/>
        <v>45648</v>
      </c>
      <c r="U25" s="49"/>
      <c r="V25" s="49"/>
      <c r="W25" s="607">
        <v>82.73</v>
      </c>
      <c r="X25" s="49">
        <f t="shared" si="3"/>
        <v>0</v>
      </c>
      <c r="Z25" s="47">
        <f t="shared" si="15"/>
        <v>45648</v>
      </c>
      <c r="AA25" s="49"/>
      <c r="AB25" s="49"/>
      <c r="AC25" s="607">
        <v>86.25</v>
      </c>
      <c r="AD25" s="49">
        <f t="shared" si="4"/>
        <v>0</v>
      </c>
      <c r="AF25" s="47">
        <f t="shared" si="16"/>
        <v>45648</v>
      </c>
      <c r="AG25" s="49"/>
      <c r="AH25" s="49"/>
      <c r="AI25" s="607">
        <v>88.99</v>
      </c>
      <c r="AJ25" s="49">
        <f t="shared" si="5"/>
        <v>0</v>
      </c>
      <c r="AL25" s="47">
        <f t="shared" si="17"/>
        <v>45648</v>
      </c>
      <c r="AM25" s="49"/>
      <c r="AN25" s="49"/>
      <c r="AO25" s="607">
        <v>88.5</v>
      </c>
      <c r="AP25" s="49">
        <f t="shared" si="6"/>
        <v>0</v>
      </c>
      <c r="AR25" s="47">
        <f t="shared" si="18"/>
        <v>45648</v>
      </c>
      <c r="AS25" s="49"/>
      <c r="AT25" s="49"/>
      <c r="AU25" s="607">
        <v>89.97</v>
      </c>
      <c r="AV25" s="49">
        <f t="shared" si="7"/>
        <v>0</v>
      </c>
      <c r="AX25" s="47">
        <f t="shared" si="19"/>
        <v>45648</v>
      </c>
      <c r="AY25" s="49"/>
      <c r="AZ25" s="49">
        <f t="shared" si="8"/>
        <v>0</v>
      </c>
      <c r="BA25" s="607">
        <f t="shared" si="9"/>
        <v>0</v>
      </c>
      <c r="BB25" s="49">
        <f t="shared" si="10"/>
        <v>0</v>
      </c>
    </row>
    <row r="26" spans="2:54" x14ac:dyDescent="0.25">
      <c r="B26" s="47">
        <f t="shared" si="11"/>
        <v>45649</v>
      </c>
      <c r="C26" s="49"/>
      <c r="D26" s="49"/>
      <c r="E26" s="607">
        <v>82.14</v>
      </c>
      <c r="F26" s="49">
        <f t="shared" si="0"/>
        <v>0</v>
      </c>
      <c r="H26" s="47">
        <f t="shared" si="12"/>
        <v>45649</v>
      </c>
      <c r="I26" s="49"/>
      <c r="J26" s="49"/>
      <c r="K26" s="607">
        <v>78.72</v>
      </c>
      <c r="L26" s="49">
        <f t="shared" si="1"/>
        <v>0</v>
      </c>
      <c r="N26" s="47">
        <f t="shared" si="13"/>
        <v>45649</v>
      </c>
      <c r="O26" s="49"/>
      <c r="P26" s="49"/>
      <c r="Q26" s="607">
        <v>82.63</v>
      </c>
      <c r="R26" s="49">
        <f t="shared" si="2"/>
        <v>0</v>
      </c>
      <c r="T26" s="47">
        <f t="shared" si="14"/>
        <v>45649</v>
      </c>
      <c r="U26" s="49"/>
      <c r="V26" s="49"/>
      <c r="W26" s="607">
        <v>82.73</v>
      </c>
      <c r="X26" s="49">
        <f t="shared" si="3"/>
        <v>0</v>
      </c>
      <c r="Z26" s="47">
        <f t="shared" si="15"/>
        <v>45649</v>
      </c>
      <c r="AA26" s="49"/>
      <c r="AB26" s="49"/>
      <c r="AC26" s="607">
        <v>86.25</v>
      </c>
      <c r="AD26" s="49">
        <f t="shared" si="4"/>
        <v>0</v>
      </c>
      <c r="AF26" s="47">
        <f t="shared" si="16"/>
        <v>45649</v>
      </c>
      <c r="AG26" s="49"/>
      <c r="AH26" s="49"/>
      <c r="AI26" s="607">
        <v>88.99</v>
      </c>
      <c r="AJ26" s="49">
        <f t="shared" si="5"/>
        <v>0</v>
      </c>
      <c r="AL26" s="47">
        <f t="shared" si="17"/>
        <v>45649</v>
      </c>
      <c r="AM26" s="49"/>
      <c r="AN26" s="49"/>
      <c r="AO26" s="607">
        <v>88.5</v>
      </c>
      <c r="AP26" s="49">
        <f t="shared" si="6"/>
        <v>0</v>
      </c>
      <c r="AR26" s="47">
        <f t="shared" si="18"/>
        <v>45649</v>
      </c>
      <c r="AS26" s="49"/>
      <c r="AT26" s="49"/>
      <c r="AU26" s="607">
        <v>89.97</v>
      </c>
      <c r="AV26" s="49">
        <f t="shared" si="7"/>
        <v>0</v>
      </c>
      <c r="AX26" s="47">
        <f t="shared" si="19"/>
        <v>45649</v>
      </c>
      <c r="AY26" s="49"/>
      <c r="AZ26" s="49">
        <f t="shared" si="8"/>
        <v>0</v>
      </c>
      <c r="BA26" s="607">
        <f t="shared" si="9"/>
        <v>0</v>
      </c>
      <c r="BB26" s="49">
        <f t="shared" si="10"/>
        <v>0</v>
      </c>
    </row>
    <row r="27" spans="2:54" x14ac:dyDescent="0.25">
      <c r="B27" s="47">
        <f t="shared" si="11"/>
        <v>45650</v>
      </c>
      <c r="C27" s="49"/>
      <c r="D27" s="49"/>
      <c r="E27" s="607">
        <v>82.14</v>
      </c>
      <c r="F27" s="49">
        <f t="shared" si="0"/>
        <v>0</v>
      </c>
      <c r="H27" s="47">
        <f t="shared" si="12"/>
        <v>45650</v>
      </c>
      <c r="I27" s="49"/>
      <c r="J27" s="49"/>
      <c r="K27" s="607">
        <v>78.72</v>
      </c>
      <c r="L27" s="49">
        <f t="shared" si="1"/>
        <v>0</v>
      </c>
      <c r="N27" s="47">
        <f t="shared" si="13"/>
        <v>45650</v>
      </c>
      <c r="O27" s="49"/>
      <c r="P27" s="49"/>
      <c r="Q27" s="607">
        <v>82.63</v>
      </c>
      <c r="R27" s="49">
        <f t="shared" si="2"/>
        <v>0</v>
      </c>
      <c r="T27" s="47">
        <f t="shared" si="14"/>
        <v>45650</v>
      </c>
      <c r="U27" s="49"/>
      <c r="V27" s="49"/>
      <c r="W27" s="607">
        <v>82.73</v>
      </c>
      <c r="X27" s="49">
        <f t="shared" si="3"/>
        <v>0</v>
      </c>
      <c r="Z27" s="47">
        <f t="shared" si="15"/>
        <v>45650</v>
      </c>
      <c r="AA27" s="49"/>
      <c r="AB27" s="49"/>
      <c r="AC27" s="607">
        <v>86.25</v>
      </c>
      <c r="AD27" s="49">
        <f t="shared" si="4"/>
        <v>0</v>
      </c>
      <c r="AF27" s="47">
        <f t="shared" si="16"/>
        <v>45650</v>
      </c>
      <c r="AG27" s="49"/>
      <c r="AH27" s="49"/>
      <c r="AI27" s="607">
        <v>88.99</v>
      </c>
      <c r="AJ27" s="49">
        <f t="shared" si="5"/>
        <v>0</v>
      </c>
      <c r="AL27" s="47">
        <f t="shared" si="17"/>
        <v>45650</v>
      </c>
      <c r="AM27" s="49"/>
      <c r="AN27" s="49"/>
      <c r="AO27" s="607">
        <v>88.5</v>
      </c>
      <c r="AP27" s="49">
        <f t="shared" si="6"/>
        <v>0</v>
      </c>
      <c r="AR27" s="47">
        <f t="shared" si="18"/>
        <v>45650</v>
      </c>
      <c r="AS27" s="49"/>
      <c r="AT27" s="49"/>
      <c r="AU27" s="607">
        <v>89.97</v>
      </c>
      <c r="AV27" s="49">
        <f t="shared" si="7"/>
        <v>0</v>
      </c>
      <c r="AX27" s="47">
        <f t="shared" si="19"/>
        <v>45650</v>
      </c>
      <c r="AY27" s="49"/>
      <c r="AZ27" s="49">
        <f t="shared" si="8"/>
        <v>0</v>
      </c>
      <c r="BA27" s="607">
        <f t="shared" si="9"/>
        <v>0</v>
      </c>
      <c r="BB27" s="49">
        <f t="shared" si="10"/>
        <v>0</v>
      </c>
    </row>
    <row r="28" spans="2:54" x14ac:dyDescent="0.25">
      <c r="B28" s="47">
        <f t="shared" si="11"/>
        <v>45651</v>
      </c>
      <c r="C28" s="49"/>
      <c r="D28" s="49"/>
      <c r="E28" s="607">
        <v>82.14</v>
      </c>
      <c r="F28" s="49">
        <f t="shared" si="0"/>
        <v>0</v>
      </c>
      <c r="H28" s="47">
        <f t="shared" si="12"/>
        <v>45651</v>
      </c>
      <c r="I28" s="49"/>
      <c r="J28" s="49"/>
      <c r="K28" s="607">
        <v>78.72</v>
      </c>
      <c r="L28" s="49">
        <f t="shared" si="1"/>
        <v>0</v>
      </c>
      <c r="N28" s="47">
        <f t="shared" si="13"/>
        <v>45651</v>
      </c>
      <c r="O28" s="49"/>
      <c r="P28" s="49"/>
      <c r="Q28" s="607">
        <v>82.63</v>
      </c>
      <c r="R28" s="49">
        <f t="shared" si="2"/>
        <v>0</v>
      </c>
      <c r="T28" s="47">
        <f t="shared" si="14"/>
        <v>45651</v>
      </c>
      <c r="U28" s="49"/>
      <c r="V28" s="49"/>
      <c r="W28" s="607">
        <v>82.73</v>
      </c>
      <c r="X28" s="49">
        <f t="shared" si="3"/>
        <v>0</v>
      </c>
      <c r="Z28" s="47">
        <f t="shared" si="15"/>
        <v>45651</v>
      </c>
      <c r="AA28" s="49"/>
      <c r="AB28" s="49"/>
      <c r="AC28" s="607">
        <v>86.25</v>
      </c>
      <c r="AD28" s="49">
        <f t="shared" si="4"/>
        <v>0</v>
      </c>
      <c r="AF28" s="47">
        <f t="shared" si="16"/>
        <v>45651</v>
      </c>
      <c r="AG28" s="49"/>
      <c r="AH28" s="49"/>
      <c r="AI28" s="607">
        <v>88.99</v>
      </c>
      <c r="AJ28" s="49">
        <f t="shared" si="5"/>
        <v>0</v>
      </c>
      <c r="AL28" s="47">
        <f t="shared" si="17"/>
        <v>45651</v>
      </c>
      <c r="AM28" s="49"/>
      <c r="AN28" s="49"/>
      <c r="AO28" s="607">
        <v>88.5</v>
      </c>
      <c r="AP28" s="49">
        <f t="shared" si="6"/>
        <v>0</v>
      </c>
      <c r="AR28" s="47">
        <f t="shared" si="18"/>
        <v>45651</v>
      </c>
      <c r="AS28" s="49"/>
      <c r="AT28" s="49"/>
      <c r="AU28" s="607">
        <v>89.97</v>
      </c>
      <c r="AV28" s="49">
        <f t="shared" si="7"/>
        <v>0</v>
      </c>
      <c r="AX28" s="47">
        <f t="shared" si="19"/>
        <v>45651</v>
      </c>
      <c r="AY28" s="49"/>
      <c r="AZ28" s="49">
        <f t="shared" si="8"/>
        <v>0</v>
      </c>
      <c r="BA28" s="607">
        <f t="shared" si="9"/>
        <v>0</v>
      </c>
      <c r="BB28" s="49">
        <f t="shared" si="10"/>
        <v>0</v>
      </c>
    </row>
    <row r="29" spans="2:54" x14ac:dyDescent="0.25">
      <c r="B29" s="47">
        <f t="shared" si="11"/>
        <v>45652</v>
      </c>
      <c r="C29" s="49"/>
      <c r="D29" s="49"/>
      <c r="E29" s="607">
        <v>82.14</v>
      </c>
      <c r="F29" s="49">
        <f t="shared" si="0"/>
        <v>0</v>
      </c>
      <c r="H29" s="47">
        <f t="shared" si="12"/>
        <v>45652</v>
      </c>
      <c r="I29" s="49"/>
      <c r="J29" s="49"/>
      <c r="K29" s="607">
        <v>78.72</v>
      </c>
      <c r="L29" s="49">
        <f t="shared" si="1"/>
        <v>0</v>
      </c>
      <c r="N29" s="47">
        <f t="shared" si="13"/>
        <v>45652</v>
      </c>
      <c r="O29" s="49"/>
      <c r="P29" s="49"/>
      <c r="Q29" s="607">
        <v>82.63</v>
      </c>
      <c r="R29" s="49">
        <f t="shared" si="2"/>
        <v>0</v>
      </c>
      <c r="T29" s="47">
        <f t="shared" si="14"/>
        <v>45652</v>
      </c>
      <c r="U29" s="49"/>
      <c r="V29" s="49"/>
      <c r="W29" s="607">
        <v>82.73</v>
      </c>
      <c r="X29" s="49">
        <f t="shared" si="3"/>
        <v>0</v>
      </c>
      <c r="Z29" s="47">
        <f t="shared" si="15"/>
        <v>45652</v>
      </c>
      <c r="AA29" s="49"/>
      <c r="AB29" s="49"/>
      <c r="AC29" s="607">
        <v>86.25</v>
      </c>
      <c r="AD29" s="49">
        <f t="shared" si="4"/>
        <v>0</v>
      </c>
      <c r="AF29" s="47">
        <f t="shared" si="16"/>
        <v>45652</v>
      </c>
      <c r="AG29" s="49"/>
      <c r="AH29" s="49"/>
      <c r="AI29" s="607">
        <v>88.99</v>
      </c>
      <c r="AJ29" s="49">
        <f t="shared" si="5"/>
        <v>0</v>
      </c>
      <c r="AL29" s="47">
        <f t="shared" si="17"/>
        <v>45652</v>
      </c>
      <c r="AM29" s="49"/>
      <c r="AN29" s="49"/>
      <c r="AO29" s="607">
        <v>88.5</v>
      </c>
      <c r="AP29" s="49">
        <f t="shared" si="6"/>
        <v>0</v>
      </c>
      <c r="AR29" s="47">
        <f t="shared" si="18"/>
        <v>45652</v>
      </c>
      <c r="AS29" s="49"/>
      <c r="AT29" s="49"/>
      <c r="AU29" s="607">
        <v>89.97</v>
      </c>
      <c r="AV29" s="49">
        <f t="shared" si="7"/>
        <v>0</v>
      </c>
      <c r="AX29" s="47">
        <f t="shared" si="19"/>
        <v>45652</v>
      </c>
      <c r="AY29" s="49"/>
      <c r="AZ29" s="49">
        <f t="shared" si="8"/>
        <v>0</v>
      </c>
      <c r="BA29" s="607">
        <f t="shared" si="9"/>
        <v>0</v>
      </c>
      <c r="BB29" s="49">
        <f t="shared" si="10"/>
        <v>0</v>
      </c>
    </row>
    <row r="30" spans="2:54" x14ac:dyDescent="0.25">
      <c r="B30" s="47">
        <f t="shared" si="11"/>
        <v>45653</v>
      </c>
      <c r="C30" s="49"/>
      <c r="D30" s="49"/>
      <c r="E30" s="607">
        <v>82.14</v>
      </c>
      <c r="F30" s="49">
        <f t="shared" si="0"/>
        <v>0</v>
      </c>
      <c r="H30" s="47">
        <f t="shared" si="12"/>
        <v>45653</v>
      </c>
      <c r="I30" s="49"/>
      <c r="J30" s="49"/>
      <c r="K30" s="607">
        <v>78.72</v>
      </c>
      <c r="L30" s="49">
        <f t="shared" si="1"/>
        <v>0</v>
      </c>
      <c r="N30" s="47">
        <f t="shared" si="13"/>
        <v>45653</v>
      </c>
      <c r="O30" s="49"/>
      <c r="P30" s="49"/>
      <c r="Q30" s="607">
        <v>82.63</v>
      </c>
      <c r="R30" s="49">
        <f t="shared" si="2"/>
        <v>0</v>
      </c>
      <c r="T30" s="47">
        <f t="shared" si="14"/>
        <v>45653</v>
      </c>
      <c r="U30" s="49"/>
      <c r="V30" s="49"/>
      <c r="W30" s="607">
        <v>82.73</v>
      </c>
      <c r="X30" s="49">
        <f t="shared" si="3"/>
        <v>0</v>
      </c>
      <c r="Z30" s="47">
        <f t="shared" si="15"/>
        <v>45653</v>
      </c>
      <c r="AA30" s="49"/>
      <c r="AB30" s="49"/>
      <c r="AC30" s="607">
        <v>86.25</v>
      </c>
      <c r="AD30" s="49">
        <f t="shared" si="4"/>
        <v>0</v>
      </c>
      <c r="AF30" s="47">
        <f t="shared" si="16"/>
        <v>45653</v>
      </c>
      <c r="AG30" s="49"/>
      <c r="AH30" s="49"/>
      <c r="AI30" s="607">
        <v>88.99</v>
      </c>
      <c r="AJ30" s="49">
        <f t="shared" si="5"/>
        <v>0</v>
      </c>
      <c r="AL30" s="47">
        <f t="shared" si="17"/>
        <v>45653</v>
      </c>
      <c r="AM30" s="49"/>
      <c r="AN30" s="49"/>
      <c r="AO30" s="607">
        <v>88.5</v>
      </c>
      <c r="AP30" s="49">
        <f t="shared" si="6"/>
        <v>0</v>
      </c>
      <c r="AR30" s="47">
        <f t="shared" si="18"/>
        <v>45653</v>
      </c>
      <c r="AS30" s="49"/>
      <c r="AT30" s="49"/>
      <c r="AU30" s="607">
        <v>89.97</v>
      </c>
      <c r="AV30" s="49">
        <f t="shared" si="7"/>
        <v>0</v>
      </c>
      <c r="AX30" s="47">
        <f t="shared" si="19"/>
        <v>45653</v>
      </c>
      <c r="AY30" s="49"/>
      <c r="AZ30" s="49">
        <f t="shared" si="8"/>
        <v>0</v>
      </c>
      <c r="BA30" s="607">
        <f t="shared" si="9"/>
        <v>0</v>
      </c>
      <c r="BB30" s="49">
        <f t="shared" si="10"/>
        <v>0</v>
      </c>
    </row>
    <row r="31" spans="2:54" x14ac:dyDescent="0.25">
      <c r="B31" s="47">
        <f t="shared" si="11"/>
        <v>45654</v>
      </c>
      <c r="C31" s="49"/>
      <c r="D31" s="49"/>
      <c r="E31" s="607">
        <v>82.14</v>
      </c>
      <c r="F31" s="49">
        <f t="shared" si="0"/>
        <v>0</v>
      </c>
      <c r="H31" s="47">
        <f t="shared" si="12"/>
        <v>45654</v>
      </c>
      <c r="I31" s="49"/>
      <c r="J31" s="49"/>
      <c r="K31" s="607">
        <v>78.72</v>
      </c>
      <c r="L31" s="49">
        <f t="shared" si="1"/>
        <v>0</v>
      </c>
      <c r="N31" s="47">
        <f t="shared" si="13"/>
        <v>45654</v>
      </c>
      <c r="O31" s="49"/>
      <c r="P31" s="49"/>
      <c r="Q31" s="607">
        <v>82.63</v>
      </c>
      <c r="R31" s="49">
        <f t="shared" si="2"/>
        <v>0</v>
      </c>
      <c r="T31" s="47">
        <f t="shared" si="14"/>
        <v>45654</v>
      </c>
      <c r="U31" s="49"/>
      <c r="V31" s="49"/>
      <c r="W31" s="607">
        <v>82.73</v>
      </c>
      <c r="X31" s="49">
        <f t="shared" si="3"/>
        <v>0</v>
      </c>
      <c r="Z31" s="47">
        <f t="shared" si="15"/>
        <v>45654</v>
      </c>
      <c r="AA31" s="49"/>
      <c r="AB31" s="49"/>
      <c r="AC31" s="607">
        <v>86.25</v>
      </c>
      <c r="AD31" s="49">
        <f t="shared" si="4"/>
        <v>0</v>
      </c>
      <c r="AF31" s="47">
        <f t="shared" si="16"/>
        <v>45654</v>
      </c>
      <c r="AG31" s="49"/>
      <c r="AH31" s="49"/>
      <c r="AI31" s="607">
        <v>88.99</v>
      </c>
      <c r="AJ31" s="49">
        <f t="shared" si="5"/>
        <v>0</v>
      </c>
      <c r="AL31" s="47">
        <f t="shared" si="17"/>
        <v>45654</v>
      </c>
      <c r="AM31" s="49"/>
      <c r="AN31" s="49"/>
      <c r="AO31" s="607">
        <v>88.5</v>
      </c>
      <c r="AP31" s="49">
        <f t="shared" si="6"/>
        <v>0</v>
      </c>
      <c r="AR31" s="47">
        <f t="shared" si="18"/>
        <v>45654</v>
      </c>
      <c r="AS31" s="49"/>
      <c r="AT31" s="49"/>
      <c r="AU31" s="607">
        <v>89.97</v>
      </c>
      <c r="AV31" s="49">
        <f t="shared" si="7"/>
        <v>0</v>
      </c>
      <c r="AX31" s="47">
        <f t="shared" si="19"/>
        <v>45654</v>
      </c>
      <c r="AY31" s="49"/>
      <c r="AZ31" s="49">
        <f t="shared" si="8"/>
        <v>0</v>
      </c>
      <c r="BA31" s="607">
        <f t="shared" si="9"/>
        <v>0</v>
      </c>
      <c r="BB31" s="49">
        <f t="shared" si="10"/>
        <v>0</v>
      </c>
    </row>
    <row r="32" spans="2:54" x14ac:dyDescent="0.25">
      <c r="B32" s="47">
        <f t="shared" si="11"/>
        <v>45655</v>
      </c>
      <c r="C32" s="49"/>
      <c r="D32" s="49"/>
      <c r="E32" s="607">
        <v>82.14</v>
      </c>
      <c r="F32" s="49">
        <f t="shared" si="0"/>
        <v>0</v>
      </c>
      <c r="H32" s="47">
        <f t="shared" si="12"/>
        <v>45655</v>
      </c>
      <c r="I32" s="49"/>
      <c r="J32" s="49"/>
      <c r="K32" s="607">
        <v>78.72</v>
      </c>
      <c r="L32" s="49">
        <f t="shared" si="1"/>
        <v>0</v>
      </c>
      <c r="N32" s="47">
        <f t="shared" si="13"/>
        <v>45655</v>
      </c>
      <c r="O32" s="49"/>
      <c r="P32" s="49"/>
      <c r="Q32" s="607">
        <v>82.63</v>
      </c>
      <c r="R32" s="49">
        <f t="shared" si="2"/>
        <v>0</v>
      </c>
      <c r="T32" s="47">
        <f t="shared" si="14"/>
        <v>45655</v>
      </c>
      <c r="U32" s="49"/>
      <c r="V32" s="49"/>
      <c r="W32" s="607">
        <v>82.73</v>
      </c>
      <c r="X32" s="49">
        <f t="shared" si="3"/>
        <v>0</v>
      </c>
      <c r="Z32" s="47">
        <f t="shared" si="15"/>
        <v>45655</v>
      </c>
      <c r="AA32" s="49"/>
      <c r="AB32" s="49"/>
      <c r="AC32" s="607">
        <v>86.25</v>
      </c>
      <c r="AD32" s="49">
        <f t="shared" si="4"/>
        <v>0</v>
      </c>
      <c r="AF32" s="47">
        <f t="shared" si="16"/>
        <v>45655</v>
      </c>
      <c r="AG32" s="49"/>
      <c r="AH32" s="49"/>
      <c r="AI32" s="607">
        <v>88.99</v>
      </c>
      <c r="AJ32" s="49">
        <f t="shared" si="5"/>
        <v>0</v>
      </c>
      <c r="AL32" s="47">
        <f t="shared" si="17"/>
        <v>45655</v>
      </c>
      <c r="AM32" s="49"/>
      <c r="AN32" s="49"/>
      <c r="AO32" s="607">
        <v>88.5</v>
      </c>
      <c r="AP32" s="49">
        <f t="shared" si="6"/>
        <v>0</v>
      </c>
      <c r="AR32" s="47">
        <f t="shared" si="18"/>
        <v>45655</v>
      </c>
      <c r="AS32" s="49"/>
      <c r="AT32" s="49"/>
      <c r="AU32" s="607">
        <v>89.97</v>
      </c>
      <c r="AV32" s="49">
        <f t="shared" si="7"/>
        <v>0</v>
      </c>
      <c r="AX32" s="47">
        <f t="shared" si="19"/>
        <v>45655</v>
      </c>
      <c r="AY32" s="49"/>
      <c r="AZ32" s="49">
        <f t="shared" si="8"/>
        <v>0</v>
      </c>
      <c r="BA32" s="607">
        <f t="shared" si="9"/>
        <v>0</v>
      </c>
      <c r="BB32" s="49">
        <f t="shared" si="10"/>
        <v>0</v>
      </c>
    </row>
    <row r="33" spans="2:54" x14ac:dyDescent="0.25">
      <c r="B33" s="47">
        <f t="shared" si="11"/>
        <v>45656</v>
      </c>
      <c r="C33" s="49"/>
      <c r="D33" s="49"/>
      <c r="E33" s="607">
        <v>82.14</v>
      </c>
      <c r="F33" s="49">
        <f t="shared" si="0"/>
        <v>0</v>
      </c>
      <c r="H33" s="47">
        <f t="shared" si="12"/>
        <v>45656</v>
      </c>
      <c r="I33" s="49"/>
      <c r="J33" s="49"/>
      <c r="K33" s="607">
        <v>78.72</v>
      </c>
      <c r="L33" s="49">
        <f t="shared" si="1"/>
        <v>0</v>
      </c>
      <c r="N33" s="47">
        <f t="shared" si="13"/>
        <v>45656</v>
      </c>
      <c r="O33" s="49"/>
      <c r="P33" s="49"/>
      <c r="Q33" s="607">
        <v>82.63</v>
      </c>
      <c r="R33" s="49">
        <f t="shared" si="2"/>
        <v>0</v>
      </c>
      <c r="T33" s="47">
        <f t="shared" si="14"/>
        <v>45656</v>
      </c>
      <c r="U33" s="49"/>
      <c r="V33" s="49"/>
      <c r="W33" s="607">
        <v>82.73</v>
      </c>
      <c r="X33" s="49">
        <f t="shared" si="3"/>
        <v>0</v>
      </c>
      <c r="Z33" s="47">
        <f t="shared" si="15"/>
        <v>45656</v>
      </c>
      <c r="AA33" s="49"/>
      <c r="AB33" s="49"/>
      <c r="AC33" s="607">
        <v>86.25</v>
      </c>
      <c r="AD33" s="49">
        <f t="shared" si="4"/>
        <v>0</v>
      </c>
      <c r="AF33" s="47">
        <f t="shared" si="16"/>
        <v>45656</v>
      </c>
      <c r="AG33" s="49"/>
      <c r="AH33" s="49"/>
      <c r="AI33" s="607">
        <v>88.99</v>
      </c>
      <c r="AJ33" s="49">
        <f t="shared" si="5"/>
        <v>0</v>
      </c>
      <c r="AL33" s="47">
        <f t="shared" si="17"/>
        <v>45656</v>
      </c>
      <c r="AM33" s="49"/>
      <c r="AN33" s="49"/>
      <c r="AO33" s="607">
        <v>88.5</v>
      </c>
      <c r="AP33" s="49">
        <f t="shared" si="6"/>
        <v>0</v>
      </c>
      <c r="AR33" s="47">
        <f t="shared" si="18"/>
        <v>45656</v>
      </c>
      <c r="AS33" s="49"/>
      <c r="AT33" s="49"/>
      <c r="AU33" s="607">
        <v>89.97</v>
      </c>
      <c r="AV33" s="49">
        <f t="shared" si="7"/>
        <v>0</v>
      </c>
      <c r="AX33" s="47">
        <f t="shared" si="19"/>
        <v>45656</v>
      </c>
      <c r="AY33" s="49"/>
      <c r="AZ33" s="49">
        <f t="shared" si="8"/>
        <v>0</v>
      </c>
      <c r="BA33" s="607">
        <f t="shared" si="9"/>
        <v>0</v>
      </c>
      <c r="BB33" s="49">
        <f t="shared" si="10"/>
        <v>0</v>
      </c>
    </row>
    <row r="34" spans="2:54" x14ac:dyDescent="0.25">
      <c r="B34" s="47">
        <f t="shared" si="11"/>
        <v>45657</v>
      </c>
      <c r="C34" s="49"/>
      <c r="D34" s="49"/>
      <c r="E34" s="607">
        <v>82.14</v>
      </c>
      <c r="F34" s="49">
        <f t="shared" si="0"/>
        <v>0</v>
      </c>
      <c r="H34" s="47">
        <f t="shared" si="12"/>
        <v>45657</v>
      </c>
      <c r="I34" s="49"/>
      <c r="J34" s="49"/>
      <c r="K34" s="607">
        <v>78.72</v>
      </c>
      <c r="L34" s="49">
        <f t="shared" si="1"/>
        <v>0</v>
      </c>
      <c r="N34" s="47">
        <f t="shared" si="13"/>
        <v>45657</v>
      </c>
      <c r="O34" s="49"/>
      <c r="P34" s="49"/>
      <c r="Q34" s="607">
        <v>82.63</v>
      </c>
      <c r="R34" s="49">
        <f t="shared" si="2"/>
        <v>0</v>
      </c>
      <c r="T34" s="47">
        <f t="shared" si="14"/>
        <v>45657</v>
      </c>
      <c r="U34" s="49"/>
      <c r="V34" s="49"/>
      <c r="W34" s="607">
        <v>82.73</v>
      </c>
      <c r="X34" s="49">
        <f t="shared" si="3"/>
        <v>0</v>
      </c>
      <c r="Z34" s="47">
        <f t="shared" si="15"/>
        <v>45657</v>
      </c>
      <c r="AA34" s="49"/>
      <c r="AB34" s="49"/>
      <c r="AC34" s="607">
        <v>86.25</v>
      </c>
      <c r="AD34" s="49">
        <f t="shared" si="4"/>
        <v>0</v>
      </c>
      <c r="AF34" s="47">
        <f t="shared" si="16"/>
        <v>45657</v>
      </c>
      <c r="AG34" s="49"/>
      <c r="AH34" s="49"/>
      <c r="AI34" s="607">
        <v>88.99</v>
      </c>
      <c r="AJ34" s="49">
        <f t="shared" si="5"/>
        <v>0</v>
      </c>
      <c r="AL34" s="47">
        <f t="shared" si="17"/>
        <v>45657</v>
      </c>
      <c r="AM34" s="49"/>
      <c r="AN34" s="49"/>
      <c r="AO34" s="607">
        <v>88.5</v>
      </c>
      <c r="AP34" s="49">
        <f t="shared" si="6"/>
        <v>0</v>
      </c>
      <c r="AR34" s="47">
        <f t="shared" si="18"/>
        <v>45657</v>
      </c>
      <c r="AS34" s="49"/>
      <c r="AT34" s="49"/>
      <c r="AU34" s="607">
        <v>89.97</v>
      </c>
      <c r="AV34" s="49">
        <f t="shared" si="7"/>
        <v>0</v>
      </c>
      <c r="AX34" s="47">
        <f t="shared" si="19"/>
        <v>45657</v>
      </c>
      <c r="AY34" s="49"/>
      <c r="AZ34" s="49">
        <f t="shared" si="8"/>
        <v>0</v>
      </c>
      <c r="BA34" s="607">
        <f t="shared" si="9"/>
        <v>0</v>
      </c>
      <c r="BB34" s="49">
        <f t="shared" si="10"/>
        <v>0</v>
      </c>
    </row>
    <row r="35" spans="2:54" x14ac:dyDescent="0.25">
      <c r="C35" s="16">
        <f>SUM(C4:C34)</f>
        <v>0</v>
      </c>
      <c r="D35" s="16">
        <f>SUM(D4:D34)</f>
        <v>8000</v>
      </c>
      <c r="E35" s="180">
        <f>+F35/D35</f>
        <v>82.14</v>
      </c>
      <c r="F35" s="16">
        <f>SUM(F4:F34)</f>
        <v>657120</v>
      </c>
      <c r="I35" s="16">
        <f>SUM(I4:I34)</f>
        <v>0</v>
      </c>
      <c r="J35" s="16">
        <f>SUM(J4:J34)</f>
        <v>8000</v>
      </c>
      <c r="K35" s="180">
        <f>+L35/J35</f>
        <v>78.72</v>
      </c>
      <c r="L35" s="16">
        <f>SUM(L4:L34)</f>
        <v>629760</v>
      </c>
      <c r="O35" s="16">
        <f>SUM(O4:O34)</f>
        <v>0</v>
      </c>
      <c r="P35" s="16">
        <f>SUM(P4:P34)</f>
        <v>6400</v>
      </c>
      <c r="Q35" s="180">
        <f>+R35/P35</f>
        <v>82.63</v>
      </c>
      <c r="R35" s="16">
        <f>SUM(R4:R34)</f>
        <v>528832</v>
      </c>
      <c r="U35" s="16">
        <f>SUM(U4:U34)</f>
        <v>0</v>
      </c>
      <c r="V35" s="16">
        <f>SUM(V4:V34)</f>
        <v>9600</v>
      </c>
      <c r="W35" s="180">
        <f>+X35/V35</f>
        <v>82.73</v>
      </c>
      <c r="X35" s="16">
        <f>SUM(X4:X34)</f>
        <v>794208</v>
      </c>
      <c r="AA35" s="16">
        <f>SUM(AA4:AA34)</f>
        <v>0</v>
      </c>
      <c r="AB35" s="16">
        <f>SUM(AB4:AB34)</f>
        <v>8000</v>
      </c>
      <c r="AC35" s="180">
        <f>+AD35/AB35</f>
        <v>86.25</v>
      </c>
      <c r="AD35" s="16">
        <f>SUM(AD4:AD34)</f>
        <v>690000</v>
      </c>
      <c r="AG35" s="16">
        <f>SUM(AG4:AG34)</f>
        <v>0</v>
      </c>
      <c r="AH35" s="16">
        <f>SUM(AH4:AH34)</f>
        <v>8000</v>
      </c>
      <c r="AI35" s="180">
        <f>+AJ35/AH35</f>
        <v>88.99</v>
      </c>
      <c r="AJ35" s="16">
        <f>SUM(AJ4:AJ34)</f>
        <v>711920</v>
      </c>
      <c r="AM35" s="16">
        <f>SUM(AM4:AM34)</f>
        <v>0</v>
      </c>
      <c r="AN35" s="16">
        <f>SUM(AN4:AN34)</f>
        <v>11200</v>
      </c>
      <c r="AO35" s="180">
        <f>+AP35/AN35</f>
        <v>88.5</v>
      </c>
      <c r="AP35" s="16">
        <f>SUM(AP4:AP34)</f>
        <v>991200</v>
      </c>
      <c r="AS35" s="16">
        <f>SUM(AS4:AS34)</f>
        <v>0</v>
      </c>
      <c r="AT35" s="16">
        <f>SUM(AT4:AT34)</f>
        <v>4000</v>
      </c>
      <c r="AU35" s="180">
        <f>+AV35/AT35</f>
        <v>89.97</v>
      </c>
      <c r="AV35" s="16">
        <f>SUM(AV4:AV34)</f>
        <v>359880</v>
      </c>
      <c r="AY35" s="16">
        <f>SUM(AY4:AY34)</f>
        <v>0</v>
      </c>
      <c r="AZ35" s="16">
        <f>SUM(AZ4:AZ34)</f>
        <v>63200</v>
      </c>
      <c r="BA35" s="180">
        <f>+BB35/AZ35</f>
        <v>84.856329113924048</v>
      </c>
      <c r="BB35" s="16">
        <f>SUM(BB4:BB34)</f>
        <v>5362920</v>
      </c>
    </row>
    <row r="37" spans="2:54" x14ac:dyDescent="0.25">
      <c r="D37" s="16">
        <f>+D4*15.5</f>
        <v>7750</v>
      </c>
      <c r="E37" s="18">
        <f>+E34</f>
        <v>82.14</v>
      </c>
      <c r="F37" s="16">
        <f>+D37*E37</f>
        <v>636585</v>
      </c>
      <c r="J37" s="16">
        <f>+J4*15.5</f>
        <v>7750</v>
      </c>
      <c r="K37" s="18">
        <f>+K34</f>
        <v>78.72</v>
      </c>
      <c r="L37" s="16">
        <f>+J37*K37</f>
        <v>610080</v>
      </c>
      <c r="P37" s="16">
        <f>+P4*15.5</f>
        <v>6200</v>
      </c>
      <c r="Q37" s="18">
        <f>+Q34</f>
        <v>82.63</v>
      </c>
      <c r="R37" s="16">
        <f>+P37*Q37</f>
        <v>512306</v>
      </c>
      <c r="V37" s="16">
        <f>+V4*15.5</f>
        <v>9300</v>
      </c>
      <c r="W37" s="18">
        <f>+W34</f>
        <v>82.73</v>
      </c>
      <c r="X37" s="16">
        <f>+V37*W37</f>
        <v>769389</v>
      </c>
      <c r="AB37" s="16">
        <f>+AB4*15.5</f>
        <v>7750</v>
      </c>
      <c r="AC37" s="18">
        <f>+AC34</f>
        <v>86.25</v>
      </c>
      <c r="AD37" s="16">
        <f>+AB37*AC37</f>
        <v>668437.5</v>
      </c>
      <c r="AH37" s="16">
        <f>+AH4*15.5</f>
        <v>7750</v>
      </c>
      <c r="AI37" s="18">
        <f>+AI34</f>
        <v>88.99</v>
      </c>
      <c r="AJ37" s="16">
        <f>+AH37*AI37</f>
        <v>689672.5</v>
      </c>
      <c r="AN37" s="16">
        <f>+AN4*15.5</f>
        <v>10850</v>
      </c>
      <c r="AO37" s="18">
        <f>+AO34</f>
        <v>88.5</v>
      </c>
      <c r="AP37" s="16">
        <f>+AN37*AO37</f>
        <v>960225</v>
      </c>
      <c r="AT37" s="16">
        <f>+AT4*15.5</f>
        <v>3875</v>
      </c>
      <c r="AU37" s="18">
        <f>+AU34</f>
        <v>89.97</v>
      </c>
      <c r="AV37" s="16">
        <f>+AT37*AU37</f>
        <v>348633.75</v>
      </c>
      <c r="AZ37" s="16">
        <f>+AZ4*15.5</f>
        <v>61225</v>
      </c>
      <c r="BA37" s="18">
        <f>+BA34</f>
        <v>0</v>
      </c>
      <c r="BB37" s="16">
        <f>+AZ37*BA37</f>
        <v>0</v>
      </c>
    </row>
    <row r="38" spans="2:54" x14ac:dyDescent="0.25">
      <c r="R38" s="1">
        <f>+R37*1.2</f>
        <v>614767.19999999995</v>
      </c>
      <c r="X38" s="1">
        <f>+X37*1.2</f>
        <v>923266.79999999993</v>
      </c>
    </row>
    <row r="39" spans="2:54" x14ac:dyDescent="0.25">
      <c r="F39" s="16"/>
    </row>
  </sheetData>
  <mergeCells count="9">
    <mergeCell ref="AX2:BB2"/>
    <mergeCell ref="AL2:AP2"/>
    <mergeCell ref="AR2:AV2"/>
    <mergeCell ref="AF2:AJ2"/>
    <mergeCell ref="B2:F2"/>
    <mergeCell ref="H2:L2"/>
    <mergeCell ref="N2:R2"/>
    <mergeCell ref="T2:X2"/>
    <mergeCell ref="Z2:A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S39"/>
  <sheetViews>
    <sheetView topLeftCell="G2" zoomScale="85" zoomScaleNormal="85" workbookViewId="0">
      <selection activeCell="L17" sqref="L17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0.7109375" style="1" bestFit="1" customWidth="1"/>
    <col min="4" max="4" width="8.85546875" style="1" customWidth="1"/>
    <col min="5" max="5" width="14" style="1" customWidth="1"/>
    <col min="6" max="6" width="10.140625" style="1" customWidth="1"/>
    <col min="7" max="7" width="9.5703125" style="1" customWidth="1"/>
    <col min="8" max="8" width="14.7109375" style="1" customWidth="1"/>
    <col min="9" max="9" width="13.28515625" style="1" bestFit="1" customWidth="1"/>
    <col min="10" max="10" width="14.7109375" style="1" customWidth="1"/>
    <col min="11" max="11" width="15" style="150" customWidth="1"/>
    <col min="12" max="12" width="14" style="150" bestFit="1" customWidth="1"/>
    <col min="13" max="13" width="13.7109375" style="150" bestFit="1" customWidth="1"/>
    <col min="14" max="14" width="18.28515625" style="1" bestFit="1" customWidth="1"/>
    <col min="15" max="15" width="18" style="1" bestFit="1" customWidth="1"/>
    <col min="16" max="16" width="10.28515625" style="1" bestFit="1" customWidth="1"/>
    <col min="17" max="17" width="11.85546875" style="1" bestFit="1" customWidth="1"/>
    <col min="18" max="18" width="10.28515625" style="1" bestFit="1" customWidth="1"/>
    <col min="19" max="19" width="11" style="1" bestFit="1" customWidth="1"/>
    <col min="20" max="16384" width="8.85546875" style="1"/>
  </cols>
  <sheetData>
    <row r="1" spans="1:19" ht="15.75" thickBot="1" x14ac:dyDescent="0.3">
      <c r="J1" s="16"/>
    </row>
    <row r="2" spans="1:19" ht="15" customHeight="1" thickBot="1" x14ac:dyDescent="0.3">
      <c r="B2" s="37"/>
      <c r="C2" s="674" t="s">
        <v>47</v>
      </c>
      <c r="D2" s="675"/>
      <c r="E2" s="676"/>
      <c r="F2" s="674" t="s">
        <v>48</v>
      </c>
      <c r="G2" s="675"/>
      <c r="H2" s="676"/>
      <c r="J2" s="677" t="s">
        <v>38</v>
      </c>
      <c r="K2" s="678"/>
      <c r="L2" s="678"/>
      <c r="M2" s="678"/>
      <c r="N2" s="678"/>
      <c r="O2" s="679"/>
    </row>
    <row r="3" spans="1:19" x14ac:dyDescent="0.25">
      <c r="B3" s="38" t="s">
        <v>8</v>
      </c>
      <c r="C3" s="26" t="s">
        <v>39</v>
      </c>
      <c r="D3" s="52" t="s">
        <v>40</v>
      </c>
      <c r="E3" s="35" t="s">
        <v>41</v>
      </c>
      <c r="F3" s="26" t="s">
        <v>39</v>
      </c>
      <c r="G3" s="52" t="s">
        <v>40</v>
      </c>
      <c r="H3" s="35" t="s">
        <v>41</v>
      </c>
      <c r="J3" s="83" t="s">
        <v>42</v>
      </c>
      <c r="K3" s="173" t="s">
        <v>68</v>
      </c>
      <c r="L3" s="175" t="s">
        <v>43</v>
      </c>
      <c r="M3" s="173" t="s">
        <v>44</v>
      </c>
      <c r="N3" s="83" t="s">
        <v>45</v>
      </c>
      <c r="O3" s="301" t="s">
        <v>46</v>
      </c>
    </row>
    <row r="4" spans="1:19" x14ac:dyDescent="0.25">
      <c r="A4" s="16"/>
      <c r="B4" s="47">
        <v>45627</v>
      </c>
      <c r="C4" s="50">
        <f>+'Цени борса'!F20</f>
        <v>0</v>
      </c>
      <c r="D4" s="68">
        <f t="shared" ref="D4:D30" si="0">+IFERROR(E4/C4,0)</f>
        <v>0</v>
      </c>
      <c r="E4" s="34">
        <f>+'Цени борса'!H20</f>
        <v>0</v>
      </c>
      <c r="F4" s="50">
        <f>+'Цени борса'!J20</f>
        <v>0</v>
      </c>
      <c r="G4" s="24">
        <f>+IFERROR(H4/F4,0)</f>
        <v>0</v>
      </c>
      <c r="H4" s="34">
        <f>+'Цени борса'!L20</f>
        <v>0</v>
      </c>
      <c r="I4" s="16"/>
      <c r="J4" s="27">
        <f>Общо!AA4</f>
        <v>23.967999999999847</v>
      </c>
      <c r="K4" s="174">
        <f>Общо!AB4</f>
        <v>0</v>
      </c>
      <c r="L4" s="177">
        <v>81.200460000000007</v>
      </c>
      <c r="M4" s="176"/>
      <c r="N4" s="39">
        <f>ROUND(L4*J4,2)</f>
        <v>1946.21</v>
      </c>
      <c r="O4" s="34">
        <f>+ROUND(K4*M4,2)</f>
        <v>0</v>
      </c>
      <c r="P4" s="4"/>
      <c r="Q4" s="4"/>
      <c r="R4" s="4"/>
      <c r="S4" s="4"/>
    </row>
    <row r="5" spans="1:19" x14ac:dyDescent="0.25">
      <c r="A5" s="16"/>
      <c r="B5" s="47">
        <f>+B4+1</f>
        <v>45628</v>
      </c>
      <c r="C5" s="50">
        <f>+'Цени борса'!F38</f>
        <v>1500</v>
      </c>
      <c r="D5" s="68">
        <f t="shared" si="0"/>
        <v>87</v>
      </c>
      <c r="E5" s="34">
        <f>+'Цени борса'!H38</f>
        <v>130500</v>
      </c>
      <c r="F5" s="50">
        <f>+'Цени борса'!J38</f>
        <v>500</v>
      </c>
      <c r="G5" s="24">
        <f t="shared" ref="G5:G30" si="1">+IFERROR(H5/F5,0)</f>
        <v>87</v>
      </c>
      <c r="H5" s="34">
        <f>+'Цени борса'!L38</f>
        <v>43500</v>
      </c>
      <c r="I5" s="16"/>
      <c r="J5" s="27">
        <f>Общо!AA5</f>
        <v>0</v>
      </c>
      <c r="K5" s="174">
        <f>Общо!AB5</f>
        <v>0</v>
      </c>
      <c r="L5" s="177"/>
      <c r="M5" s="177"/>
      <c r="N5" s="39">
        <f t="shared" ref="N5:N32" si="2">ROUND(L5*J5,2)</f>
        <v>0</v>
      </c>
      <c r="O5" s="34">
        <f t="shared" ref="O5:O32" si="3">+ROUND(K5*M5,2)</f>
        <v>0</v>
      </c>
      <c r="P5" s="4"/>
      <c r="Q5" s="4"/>
      <c r="R5" s="4"/>
      <c r="S5" s="4"/>
    </row>
    <row r="6" spans="1:19" x14ac:dyDescent="0.25">
      <c r="A6" s="16"/>
      <c r="B6" s="47">
        <f t="shared" ref="B6:B34" si="4">+B5+1</f>
        <v>45629</v>
      </c>
      <c r="C6" s="50">
        <f>+'Цени борса'!F57</f>
        <v>1000</v>
      </c>
      <c r="D6" s="68">
        <f t="shared" si="0"/>
        <v>85.93</v>
      </c>
      <c r="E6" s="34">
        <f>+'Цени борса'!H57</f>
        <v>85930</v>
      </c>
      <c r="F6" s="50">
        <f>+'Цени борса'!J57</f>
        <v>200</v>
      </c>
      <c r="G6" s="24">
        <f t="shared" si="1"/>
        <v>92.025000000000006</v>
      </c>
      <c r="H6" s="34">
        <f>+'Цени борса'!L57</f>
        <v>18405</v>
      </c>
      <c r="I6" s="16"/>
      <c r="J6" s="27">
        <f>Общо!AA6</f>
        <v>9.1019999999998618</v>
      </c>
      <c r="K6" s="174">
        <f>Общо!AB6</f>
        <v>0</v>
      </c>
      <c r="L6" s="177">
        <v>79.628330000000005</v>
      </c>
      <c r="M6" s="176"/>
      <c r="N6" s="39">
        <f t="shared" si="2"/>
        <v>724.78</v>
      </c>
      <c r="O6" s="34">
        <f t="shared" si="3"/>
        <v>0</v>
      </c>
      <c r="P6" s="4"/>
      <c r="Q6" s="4"/>
      <c r="R6" s="4"/>
      <c r="S6" s="4"/>
    </row>
    <row r="7" spans="1:19" x14ac:dyDescent="0.25">
      <c r="A7" s="16"/>
      <c r="B7" s="47">
        <f t="shared" si="4"/>
        <v>45630</v>
      </c>
      <c r="C7" s="50">
        <f>+'Цени борса'!F81</f>
        <v>1000</v>
      </c>
      <c r="D7" s="68">
        <f t="shared" si="0"/>
        <v>87.814999999999998</v>
      </c>
      <c r="E7" s="34">
        <f>+'Цени борса'!H81</f>
        <v>87815</v>
      </c>
      <c r="F7" s="50">
        <f>+'Цени борса'!J81</f>
        <v>100</v>
      </c>
      <c r="G7" s="24">
        <f t="shared" si="1"/>
        <v>97.4</v>
      </c>
      <c r="H7" s="34">
        <f>+'Цени борса'!L81</f>
        <v>9740</v>
      </c>
      <c r="I7" s="16"/>
      <c r="J7" s="27">
        <f>Общо!AA7</f>
        <v>0.19899999999961437</v>
      </c>
      <c r="K7" s="174">
        <f>Общо!AB7</f>
        <v>0</v>
      </c>
      <c r="L7" s="177">
        <v>80.781300000000002</v>
      </c>
      <c r="M7" s="176"/>
      <c r="N7" s="39">
        <f t="shared" si="2"/>
        <v>16.079999999999998</v>
      </c>
      <c r="O7" s="34">
        <f>+ROUND(K7*M7,2)</f>
        <v>0</v>
      </c>
      <c r="P7" s="4"/>
      <c r="Q7" s="4"/>
      <c r="R7" s="4"/>
      <c r="S7" s="4"/>
    </row>
    <row r="8" spans="1:19" x14ac:dyDescent="0.25">
      <c r="A8" s="16"/>
      <c r="B8" s="47">
        <f t="shared" si="4"/>
        <v>45631</v>
      </c>
      <c r="C8" s="50">
        <f>+'Цени борса'!F101</f>
        <v>1100</v>
      </c>
      <c r="D8" s="68">
        <f t="shared" si="0"/>
        <v>90.908181818181816</v>
      </c>
      <c r="E8" s="34">
        <f>+'Цени борса'!H101</f>
        <v>99999</v>
      </c>
      <c r="F8" s="50">
        <f>+'Цени борса'!J101</f>
        <v>0</v>
      </c>
      <c r="G8" s="24">
        <f t="shared" si="1"/>
        <v>0</v>
      </c>
      <c r="H8" s="34">
        <f>+'Цени борса'!L101</f>
        <v>0</v>
      </c>
      <c r="I8" s="16"/>
      <c r="J8" s="27">
        <f>Общо!AA8</f>
        <v>19.606000000000677</v>
      </c>
      <c r="K8" s="174">
        <f>Общо!AB8</f>
        <v>0</v>
      </c>
      <c r="L8" s="177">
        <v>83.952730000000003</v>
      </c>
      <c r="M8" s="176"/>
      <c r="N8" s="39">
        <f t="shared" si="2"/>
        <v>1645.98</v>
      </c>
      <c r="O8" s="34">
        <f t="shared" si="3"/>
        <v>0</v>
      </c>
      <c r="P8" s="4"/>
      <c r="Q8" s="4"/>
      <c r="R8" s="4"/>
      <c r="S8" s="4"/>
    </row>
    <row r="9" spans="1:19" x14ac:dyDescent="0.25">
      <c r="A9" s="16"/>
      <c r="B9" s="47">
        <f t="shared" si="4"/>
        <v>45632</v>
      </c>
      <c r="C9" s="50">
        <f>+'Цени борса'!F123</f>
        <v>1500</v>
      </c>
      <c r="D9" s="68">
        <f t="shared" si="0"/>
        <v>89.6</v>
      </c>
      <c r="E9" s="34">
        <f>+'Цени борса'!H123</f>
        <v>134400</v>
      </c>
      <c r="F9" s="50">
        <f>+'Цени борса'!J123</f>
        <v>0</v>
      </c>
      <c r="G9" s="24">
        <f t="shared" si="1"/>
        <v>0</v>
      </c>
      <c r="H9" s="34">
        <f>+'Цени борса'!L123</f>
        <v>0</v>
      </c>
      <c r="I9" s="16"/>
      <c r="J9" s="27">
        <f>Общо!AA9</f>
        <v>0</v>
      </c>
      <c r="K9" s="174">
        <f>Общо!AB9</f>
        <v>-5.0000000001091394E-3</v>
      </c>
      <c r="L9" s="177"/>
      <c r="M9" s="176">
        <v>98.288579999999996</v>
      </c>
      <c r="N9" s="39">
        <f t="shared" si="2"/>
        <v>0</v>
      </c>
      <c r="O9" s="34">
        <f t="shared" si="3"/>
        <v>-0.49</v>
      </c>
      <c r="P9" s="4"/>
      <c r="Q9" s="4"/>
      <c r="R9" s="4"/>
      <c r="S9" s="4"/>
    </row>
    <row r="10" spans="1:19" x14ac:dyDescent="0.25">
      <c r="A10" s="16"/>
      <c r="B10" s="47">
        <f t="shared" si="4"/>
        <v>45633</v>
      </c>
      <c r="C10" s="50">
        <f>+'Цени борса'!F143</f>
        <v>550</v>
      </c>
      <c r="D10" s="68">
        <f t="shared" si="0"/>
        <v>80.454545454545453</v>
      </c>
      <c r="E10" s="34">
        <f>+'Цени борса'!H143</f>
        <v>44250</v>
      </c>
      <c r="F10" s="50">
        <f>+'Цени борса'!J143</f>
        <v>0</v>
      </c>
      <c r="G10" s="24">
        <f t="shared" si="1"/>
        <v>0</v>
      </c>
      <c r="H10" s="34">
        <f>+'Цени борса'!L143</f>
        <v>0</v>
      </c>
      <c r="I10" s="16"/>
      <c r="J10" s="27">
        <f>Общо!AA10</f>
        <v>1.0749999999998181</v>
      </c>
      <c r="K10" s="174">
        <f>Общо!AB10</f>
        <v>0</v>
      </c>
      <c r="L10" s="177">
        <v>76.875420000000005</v>
      </c>
      <c r="M10" s="176"/>
      <c r="N10" s="39">
        <f t="shared" si="2"/>
        <v>82.64</v>
      </c>
      <c r="O10" s="34">
        <f t="shared" si="3"/>
        <v>0</v>
      </c>
      <c r="P10" s="4"/>
      <c r="Q10" s="4"/>
      <c r="R10" s="4"/>
      <c r="S10" s="4"/>
    </row>
    <row r="11" spans="1:19" x14ac:dyDescent="0.25">
      <c r="A11" s="16"/>
      <c r="B11" s="47">
        <f t="shared" si="4"/>
        <v>45634</v>
      </c>
      <c r="C11" s="50">
        <f>+'Цени борса'!F162</f>
        <v>587</v>
      </c>
      <c r="D11" s="68">
        <f t="shared" si="0"/>
        <v>81.107325383304939</v>
      </c>
      <c r="E11" s="34">
        <f>+'Цени борса'!H162</f>
        <v>47610</v>
      </c>
      <c r="F11" s="50">
        <f>+'Цени борса'!J162</f>
        <v>0</v>
      </c>
      <c r="G11" s="24">
        <f t="shared" si="1"/>
        <v>0</v>
      </c>
      <c r="H11" s="34">
        <f>+'Цени борса'!L162</f>
        <v>0</v>
      </c>
      <c r="I11" s="16"/>
      <c r="J11" s="27">
        <f>Общо!AA11</f>
        <v>0</v>
      </c>
      <c r="K11" s="174">
        <f>Общо!AB11</f>
        <v>0</v>
      </c>
      <c r="L11" s="177"/>
      <c r="M11" s="176"/>
      <c r="N11" s="39">
        <f t="shared" si="2"/>
        <v>0</v>
      </c>
      <c r="O11" s="34">
        <f t="shared" si="3"/>
        <v>0</v>
      </c>
      <c r="P11" s="4"/>
      <c r="Q11" s="4"/>
      <c r="R11" s="4"/>
      <c r="S11" s="4"/>
    </row>
    <row r="12" spans="1:19" x14ac:dyDescent="0.25">
      <c r="A12" s="16"/>
      <c r="B12" s="47">
        <f t="shared" si="4"/>
        <v>45635</v>
      </c>
      <c r="C12" s="50">
        <f>+'Цени борса'!F179</f>
        <v>1000</v>
      </c>
      <c r="D12" s="68">
        <f t="shared" si="0"/>
        <v>84.5</v>
      </c>
      <c r="E12" s="34">
        <f>+'Цени борса'!H179</f>
        <v>84500</v>
      </c>
      <c r="F12" s="50">
        <f>+'Цени борса'!J179</f>
        <v>0</v>
      </c>
      <c r="G12" s="24">
        <f t="shared" si="1"/>
        <v>0</v>
      </c>
      <c r="H12" s="34">
        <f>+'Цени борса'!L179</f>
        <v>0</v>
      </c>
      <c r="I12" s="16"/>
      <c r="J12" s="27">
        <f>Общо!AA12</f>
        <v>9.0949470177292824E-13</v>
      </c>
      <c r="K12" s="174">
        <f>Общо!AB12</f>
        <v>0</v>
      </c>
      <c r="L12" s="177"/>
      <c r="M12" s="176"/>
      <c r="N12" s="39">
        <f t="shared" si="2"/>
        <v>0</v>
      </c>
      <c r="O12" s="34">
        <f t="shared" si="3"/>
        <v>0</v>
      </c>
      <c r="P12" s="4"/>
      <c r="Q12" s="4"/>
      <c r="R12" s="4"/>
      <c r="S12" s="4"/>
    </row>
    <row r="13" spans="1:19" x14ac:dyDescent="0.25">
      <c r="A13" s="16"/>
      <c r="B13" s="47">
        <f t="shared" si="4"/>
        <v>45636</v>
      </c>
      <c r="C13" s="50">
        <f>+'Цени борса'!F197</f>
        <v>1500</v>
      </c>
      <c r="D13" s="68">
        <f t="shared" si="0"/>
        <v>83.583333333333329</v>
      </c>
      <c r="E13" s="34">
        <f>+'Цени борса'!H197</f>
        <v>125375</v>
      </c>
      <c r="F13" s="50">
        <f>+'Цени борса'!J197</f>
        <v>0</v>
      </c>
      <c r="G13" s="24">
        <f t="shared" si="1"/>
        <v>0</v>
      </c>
      <c r="H13" s="34">
        <f>+'Цени борса'!L197</f>
        <v>0</v>
      </c>
      <c r="I13" s="16"/>
      <c r="J13" s="27">
        <f>Общо!AA13</f>
        <v>0.32899999999972351</v>
      </c>
      <c r="K13" s="174">
        <f>Общо!AB13</f>
        <v>0</v>
      </c>
      <c r="L13" s="177">
        <v>77.096410000000006</v>
      </c>
      <c r="M13" s="176"/>
      <c r="N13" s="39">
        <f t="shared" si="2"/>
        <v>25.36</v>
      </c>
      <c r="O13" s="34">
        <f t="shared" si="3"/>
        <v>0</v>
      </c>
      <c r="P13" s="4"/>
      <c r="Q13" s="4"/>
      <c r="R13" s="4"/>
      <c r="S13" s="4"/>
    </row>
    <row r="14" spans="1:19" x14ac:dyDescent="0.25">
      <c r="A14" s="16"/>
      <c r="B14" s="47">
        <f t="shared" si="4"/>
        <v>45637</v>
      </c>
      <c r="C14" s="50">
        <f>+'Цени борса'!F213</f>
        <v>1900</v>
      </c>
      <c r="D14" s="68">
        <f t="shared" si="0"/>
        <v>82.763157894736835</v>
      </c>
      <c r="E14" s="34">
        <f>+'Цени борса'!H213</f>
        <v>157250</v>
      </c>
      <c r="F14" s="50">
        <f>+'Цени борса'!J213</f>
        <v>400</v>
      </c>
      <c r="G14" s="24">
        <f t="shared" si="1"/>
        <v>83.45</v>
      </c>
      <c r="H14" s="34">
        <f>+'Цени борса'!L213</f>
        <v>33380</v>
      </c>
      <c r="I14" s="16"/>
      <c r="J14" s="27">
        <f>Общо!AA14</f>
        <v>0</v>
      </c>
      <c r="K14" s="174">
        <f>Общо!AB14</f>
        <v>0</v>
      </c>
      <c r="L14" s="177"/>
      <c r="M14" s="176"/>
      <c r="N14" s="39">
        <f t="shared" si="2"/>
        <v>0</v>
      </c>
      <c r="O14" s="34">
        <f t="shared" si="3"/>
        <v>0</v>
      </c>
      <c r="P14" s="4"/>
      <c r="Q14" s="4"/>
      <c r="R14" s="4"/>
      <c r="S14" s="4"/>
    </row>
    <row r="15" spans="1:19" x14ac:dyDescent="0.25">
      <c r="A15" s="16"/>
      <c r="B15" s="47">
        <f t="shared" si="4"/>
        <v>45638</v>
      </c>
      <c r="C15" s="50">
        <f>+'Цени борса'!F232</f>
        <v>1500</v>
      </c>
      <c r="D15" s="68">
        <f t="shared" si="0"/>
        <v>83.13666666666667</v>
      </c>
      <c r="E15" s="34">
        <f>+'Цени борса'!H232</f>
        <v>124705</v>
      </c>
      <c r="F15" s="50">
        <f>+'Цени борса'!J232</f>
        <v>0</v>
      </c>
      <c r="G15" s="24">
        <f t="shared" si="1"/>
        <v>0</v>
      </c>
      <c r="H15" s="34">
        <f>+'Цени борса'!L232</f>
        <v>0</v>
      </c>
      <c r="I15" s="16"/>
      <c r="J15" s="27">
        <f>Общо!AA15</f>
        <v>0</v>
      </c>
      <c r="K15" s="174">
        <f>Общо!AB15</f>
        <v>0</v>
      </c>
      <c r="L15" s="177"/>
      <c r="M15" s="176"/>
      <c r="N15" s="39">
        <f t="shared" si="2"/>
        <v>0</v>
      </c>
      <c r="O15" s="34">
        <f t="shared" si="3"/>
        <v>0</v>
      </c>
      <c r="P15" s="4"/>
      <c r="Q15" s="4"/>
      <c r="R15" s="4"/>
      <c r="S15" s="4"/>
    </row>
    <row r="16" spans="1:19" x14ac:dyDescent="0.25">
      <c r="A16" s="16"/>
      <c r="B16" s="47">
        <f t="shared" si="4"/>
        <v>45639</v>
      </c>
      <c r="C16" s="50">
        <f>+'Цени борса'!F249</f>
        <v>1880</v>
      </c>
      <c r="D16" s="68">
        <f t="shared" si="0"/>
        <v>82.303191489361708</v>
      </c>
      <c r="E16" s="34">
        <f>+'Цени борса'!H249</f>
        <v>154730</v>
      </c>
      <c r="F16" s="50">
        <f>+'Цени борса'!J249</f>
        <v>0</v>
      </c>
      <c r="G16" s="24">
        <f t="shared" si="1"/>
        <v>0</v>
      </c>
      <c r="H16" s="34">
        <f>+'Цени борса'!L249</f>
        <v>0</v>
      </c>
      <c r="I16" s="16"/>
      <c r="J16" s="27">
        <f>Общо!AA16</f>
        <v>0</v>
      </c>
      <c r="K16" s="174">
        <f>Общо!AB16</f>
        <v>-0.73599999999987631</v>
      </c>
      <c r="L16" s="177"/>
      <c r="M16" s="176">
        <v>89.562920000000005</v>
      </c>
      <c r="N16" s="39">
        <f t="shared" si="2"/>
        <v>0</v>
      </c>
      <c r="O16" s="34">
        <f t="shared" si="3"/>
        <v>-65.92</v>
      </c>
      <c r="P16" s="4"/>
      <c r="Q16" s="4"/>
      <c r="R16" s="4"/>
      <c r="S16" s="4"/>
    </row>
    <row r="17" spans="1:19" x14ac:dyDescent="0.25">
      <c r="A17" s="16"/>
      <c r="B17" s="47">
        <f t="shared" si="4"/>
        <v>45640</v>
      </c>
      <c r="C17" s="50">
        <f>+'Цени борса'!F267</f>
        <v>1500</v>
      </c>
      <c r="D17" s="68">
        <f t="shared" si="0"/>
        <v>81.973333333333329</v>
      </c>
      <c r="E17" s="34">
        <f>+'Цени борса'!H267</f>
        <v>122960</v>
      </c>
      <c r="F17" s="50">
        <f>+'Цени борса'!J267</f>
        <v>0</v>
      </c>
      <c r="G17" s="24">
        <f t="shared" si="1"/>
        <v>0</v>
      </c>
      <c r="H17" s="34">
        <f>+'Цени борса'!L267</f>
        <v>0</v>
      </c>
      <c r="I17" s="16"/>
      <c r="J17" s="27">
        <f>Общо!AA17</f>
        <v>0</v>
      </c>
      <c r="K17" s="174">
        <f>Общо!AB17</f>
        <v>-0.36700000000018917</v>
      </c>
      <c r="L17" s="177"/>
      <c r="M17" s="176">
        <v>88.854140000000001</v>
      </c>
      <c r="N17" s="39">
        <f t="shared" si="2"/>
        <v>0</v>
      </c>
      <c r="O17" s="34">
        <f t="shared" si="3"/>
        <v>-32.61</v>
      </c>
      <c r="P17" s="4"/>
      <c r="Q17" s="4"/>
      <c r="R17" s="4"/>
      <c r="S17" s="4"/>
    </row>
    <row r="18" spans="1:19" x14ac:dyDescent="0.25">
      <c r="A18" s="16"/>
      <c r="B18" s="47">
        <f t="shared" si="4"/>
        <v>45641</v>
      </c>
      <c r="C18" s="50">
        <f>+'Цени борса'!F285</f>
        <v>1500</v>
      </c>
      <c r="D18" s="68">
        <f t="shared" ref="D18" si="5">+IFERROR(E18/C18,0)</f>
        <v>81.973333333333329</v>
      </c>
      <c r="E18" s="34">
        <f>+'Цени борса'!H285</f>
        <v>122960</v>
      </c>
      <c r="F18" s="50">
        <f>+'Цени борса'!J285</f>
        <v>0</v>
      </c>
      <c r="G18" s="24">
        <f t="shared" ref="G18" si="6">+IFERROR(H18/F18,0)</f>
        <v>0</v>
      </c>
      <c r="H18" s="34">
        <f>+'Цени борса'!L285</f>
        <v>0</v>
      </c>
      <c r="I18" s="16"/>
      <c r="J18" s="27">
        <f>Общо!AA18</f>
        <v>0</v>
      </c>
      <c r="K18" s="174">
        <f>Общо!AB18</f>
        <v>0</v>
      </c>
      <c r="L18" s="177"/>
      <c r="M18" s="176"/>
      <c r="N18" s="39">
        <f t="shared" si="2"/>
        <v>0</v>
      </c>
      <c r="O18" s="34">
        <f t="shared" si="3"/>
        <v>0</v>
      </c>
      <c r="P18" s="4"/>
      <c r="Q18" s="4"/>
      <c r="R18" s="4"/>
      <c r="S18" s="4"/>
    </row>
    <row r="19" spans="1:19" x14ac:dyDescent="0.25">
      <c r="A19" s="16"/>
      <c r="B19" s="47">
        <f t="shared" si="4"/>
        <v>45642</v>
      </c>
      <c r="C19" s="50">
        <f>+'Цени борса'!F299</f>
        <v>1630</v>
      </c>
      <c r="D19" s="68">
        <f t="shared" si="0"/>
        <v>81.325153374233125</v>
      </c>
      <c r="E19" s="34">
        <f>+'Цени борса'!H299</f>
        <v>132560</v>
      </c>
      <c r="F19" s="50">
        <f>+'Цени борса'!J299</f>
        <v>0</v>
      </c>
      <c r="G19" s="24">
        <f t="shared" si="1"/>
        <v>0</v>
      </c>
      <c r="H19" s="34">
        <f>+'Цени борса'!L299</f>
        <v>0</v>
      </c>
      <c r="I19" s="16"/>
      <c r="J19" s="27">
        <f>Общо!AA19</f>
        <v>0</v>
      </c>
      <c r="K19" s="174">
        <f>Общо!AB19</f>
        <v>0</v>
      </c>
      <c r="L19" s="177"/>
      <c r="M19" s="176"/>
      <c r="N19" s="39">
        <f t="shared" si="2"/>
        <v>0</v>
      </c>
      <c r="O19" s="34">
        <f t="shared" si="3"/>
        <v>0</v>
      </c>
      <c r="P19" s="4"/>
      <c r="Q19" s="4"/>
      <c r="R19" s="4"/>
      <c r="S19" s="4"/>
    </row>
    <row r="20" spans="1:19" x14ac:dyDescent="0.25">
      <c r="A20" s="16"/>
      <c r="B20" s="47">
        <f t="shared" si="4"/>
        <v>45643</v>
      </c>
      <c r="C20" s="50">
        <f>+'Цени борса'!F317</f>
        <v>0</v>
      </c>
      <c r="D20" s="68">
        <f t="shared" si="0"/>
        <v>0</v>
      </c>
      <c r="E20" s="34">
        <f>+'Цени борса'!H317</f>
        <v>0</v>
      </c>
      <c r="F20" s="50">
        <f>+'Цени борса'!J317</f>
        <v>0</v>
      </c>
      <c r="G20" s="24">
        <f t="shared" si="1"/>
        <v>0</v>
      </c>
      <c r="H20" s="34">
        <f>+'Цени борса'!L317</f>
        <v>0</v>
      </c>
      <c r="I20" s="16"/>
      <c r="J20" s="27">
        <f>Общо!AA20</f>
        <v>0</v>
      </c>
      <c r="K20" s="174">
        <f>Общо!AB20</f>
        <v>0</v>
      </c>
      <c r="L20" s="177"/>
      <c r="M20" s="176"/>
      <c r="N20" s="39">
        <f t="shared" si="2"/>
        <v>0</v>
      </c>
      <c r="O20" s="34">
        <f t="shared" si="3"/>
        <v>0</v>
      </c>
      <c r="P20" s="4"/>
      <c r="Q20" s="4"/>
      <c r="R20" s="4"/>
      <c r="S20" s="4"/>
    </row>
    <row r="21" spans="1:19" x14ac:dyDescent="0.25">
      <c r="A21" s="16"/>
      <c r="B21" s="47">
        <f t="shared" si="4"/>
        <v>45644</v>
      </c>
      <c r="C21" s="50">
        <f>+'Цени борса'!F330</f>
        <v>0</v>
      </c>
      <c r="D21" s="68">
        <f t="shared" si="0"/>
        <v>0</v>
      </c>
      <c r="E21" s="34">
        <f>+'Цени борса'!H330</f>
        <v>0</v>
      </c>
      <c r="F21" s="50">
        <f>+'Цени борса'!J330</f>
        <v>0</v>
      </c>
      <c r="G21" s="24">
        <f t="shared" si="1"/>
        <v>0</v>
      </c>
      <c r="H21" s="34">
        <f>+'Цени борса'!L330</f>
        <v>0</v>
      </c>
      <c r="I21" s="16"/>
      <c r="J21" s="27">
        <f>Общо!AA21</f>
        <v>0</v>
      </c>
      <c r="K21" s="174">
        <f>Общо!AB21</f>
        <v>0</v>
      </c>
      <c r="L21" s="177"/>
      <c r="M21" s="176"/>
      <c r="N21" s="39">
        <f t="shared" si="2"/>
        <v>0</v>
      </c>
      <c r="O21" s="34">
        <f t="shared" si="3"/>
        <v>0</v>
      </c>
      <c r="P21" s="4"/>
      <c r="Q21" s="4"/>
      <c r="R21" s="4"/>
      <c r="S21" s="4"/>
    </row>
    <row r="22" spans="1:19" x14ac:dyDescent="0.25">
      <c r="A22" s="16"/>
      <c r="B22" s="47">
        <f t="shared" si="4"/>
        <v>45645</v>
      </c>
      <c r="C22" s="50">
        <f>+'Цени борса'!F339</f>
        <v>0</v>
      </c>
      <c r="D22" s="68">
        <f t="shared" si="0"/>
        <v>0</v>
      </c>
      <c r="E22" s="34">
        <f>+'Цени борса'!H339</f>
        <v>0</v>
      </c>
      <c r="F22" s="50">
        <f>+'Цени борса'!J339</f>
        <v>0</v>
      </c>
      <c r="G22" s="24">
        <f t="shared" si="1"/>
        <v>0</v>
      </c>
      <c r="H22" s="34">
        <f>+'Цени борса'!L339</f>
        <v>0</v>
      </c>
      <c r="I22" s="16"/>
      <c r="J22" s="27">
        <f>Общо!AA22</f>
        <v>0</v>
      </c>
      <c r="K22" s="174">
        <f>Общо!AB22</f>
        <v>0</v>
      </c>
      <c r="L22" s="177"/>
      <c r="M22" s="176"/>
      <c r="N22" s="39">
        <f t="shared" si="2"/>
        <v>0</v>
      </c>
      <c r="O22" s="34">
        <f t="shared" si="3"/>
        <v>0</v>
      </c>
      <c r="P22" s="4"/>
      <c r="Q22" s="4"/>
      <c r="R22" s="4"/>
      <c r="S22" s="4"/>
    </row>
    <row r="23" spans="1:19" x14ac:dyDescent="0.25">
      <c r="A23" s="16"/>
      <c r="B23" s="47">
        <f t="shared" si="4"/>
        <v>45646</v>
      </c>
      <c r="C23" s="50">
        <f>+'Цени борса'!F355</f>
        <v>0</v>
      </c>
      <c r="D23" s="68">
        <f t="shared" si="0"/>
        <v>0</v>
      </c>
      <c r="E23" s="34">
        <f>+'Цени борса'!H355</f>
        <v>0</v>
      </c>
      <c r="F23" s="50">
        <f>+'Цени борса'!J355</f>
        <v>0</v>
      </c>
      <c r="G23" s="24">
        <f t="shared" si="1"/>
        <v>0</v>
      </c>
      <c r="H23" s="34">
        <f>+'Цени борса'!L355</f>
        <v>0</v>
      </c>
      <c r="I23" s="16"/>
      <c r="J23" s="27">
        <f>Общо!AA23</f>
        <v>0</v>
      </c>
      <c r="K23" s="174">
        <f>Общо!AB23</f>
        <v>0</v>
      </c>
      <c r="L23" s="177"/>
      <c r="M23" s="176"/>
      <c r="N23" s="39">
        <f t="shared" si="2"/>
        <v>0</v>
      </c>
      <c r="O23" s="34">
        <f t="shared" si="3"/>
        <v>0</v>
      </c>
      <c r="P23" s="4"/>
      <c r="Q23" s="4"/>
      <c r="R23" s="4"/>
      <c r="S23" s="4"/>
    </row>
    <row r="24" spans="1:19" x14ac:dyDescent="0.25">
      <c r="A24" s="16"/>
      <c r="B24" s="47">
        <f t="shared" si="4"/>
        <v>45647</v>
      </c>
      <c r="C24" s="50">
        <f>+'Цени борса'!F370</f>
        <v>0</v>
      </c>
      <c r="D24" s="68">
        <f t="shared" si="0"/>
        <v>0</v>
      </c>
      <c r="E24" s="34">
        <f>+'Цени борса'!H370</f>
        <v>0</v>
      </c>
      <c r="F24" s="50">
        <f>+'Цени борса'!J370</f>
        <v>0</v>
      </c>
      <c r="G24" s="24">
        <f t="shared" si="1"/>
        <v>0</v>
      </c>
      <c r="H24" s="34">
        <f>+'Цени борса'!L370</f>
        <v>0</v>
      </c>
      <c r="I24" s="16"/>
      <c r="J24" s="27">
        <f>Общо!AA24</f>
        <v>0</v>
      </c>
      <c r="K24" s="174">
        <f>Общо!AB24</f>
        <v>0</v>
      </c>
      <c r="L24" s="177"/>
      <c r="M24" s="176"/>
      <c r="N24" s="39">
        <f t="shared" si="2"/>
        <v>0</v>
      </c>
      <c r="O24" s="34">
        <f t="shared" si="3"/>
        <v>0</v>
      </c>
      <c r="P24" s="4"/>
      <c r="Q24" s="4"/>
      <c r="R24" s="4"/>
      <c r="S24" s="4"/>
    </row>
    <row r="25" spans="1:19" x14ac:dyDescent="0.25">
      <c r="A25" s="16"/>
      <c r="B25" s="47">
        <f t="shared" si="4"/>
        <v>45648</v>
      </c>
      <c r="C25" s="50">
        <f>+'Цени борса'!F385</f>
        <v>0</v>
      </c>
      <c r="D25" s="68">
        <f t="shared" si="0"/>
        <v>0</v>
      </c>
      <c r="E25" s="34">
        <f>+'Цени борса'!H385</f>
        <v>0</v>
      </c>
      <c r="F25" s="50">
        <f>+'Цени борса'!J385</f>
        <v>0</v>
      </c>
      <c r="G25" s="24">
        <f t="shared" si="1"/>
        <v>0</v>
      </c>
      <c r="H25" s="34">
        <f>+'Цени борса'!L385</f>
        <v>0</v>
      </c>
      <c r="I25" s="16"/>
      <c r="J25" s="27">
        <f>Общо!AA25</f>
        <v>0</v>
      </c>
      <c r="K25" s="174">
        <f>Общо!AB25</f>
        <v>0</v>
      </c>
      <c r="L25" s="177"/>
      <c r="M25" s="176"/>
      <c r="N25" s="39">
        <f t="shared" si="2"/>
        <v>0</v>
      </c>
      <c r="O25" s="34">
        <f t="shared" si="3"/>
        <v>0</v>
      </c>
      <c r="P25" s="4"/>
      <c r="Q25" s="4"/>
      <c r="R25" s="4"/>
      <c r="S25" s="4"/>
    </row>
    <row r="26" spans="1:19" x14ac:dyDescent="0.25">
      <c r="A26" s="16"/>
      <c r="B26" s="47">
        <f t="shared" si="4"/>
        <v>45649</v>
      </c>
      <c r="C26" s="50">
        <f>+'Цени борса'!F401</f>
        <v>0</v>
      </c>
      <c r="D26" s="68">
        <f t="shared" si="0"/>
        <v>0</v>
      </c>
      <c r="E26" s="34">
        <f>+'Цени борса'!H401</f>
        <v>0</v>
      </c>
      <c r="F26" s="50">
        <f>+'Цени борса'!J401</f>
        <v>0</v>
      </c>
      <c r="G26" s="24">
        <f t="shared" si="1"/>
        <v>0</v>
      </c>
      <c r="H26" s="34">
        <f>+'Цени борса'!L401</f>
        <v>0</v>
      </c>
      <c r="I26" s="16"/>
      <c r="J26" s="27">
        <f>Общо!AA26</f>
        <v>0</v>
      </c>
      <c r="K26" s="174">
        <f>Общо!AB26</f>
        <v>0</v>
      </c>
      <c r="L26" s="177"/>
      <c r="M26" s="176"/>
      <c r="N26" s="39">
        <f t="shared" si="2"/>
        <v>0</v>
      </c>
      <c r="O26" s="34">
        <f t="shared" si="3"/>
        <v>0</v>
      </c>
      <c r="P26" s="4"/>
      <c r="Q26" s="4"/>
      <c r="R26" s="4"/>
      <c r="S26" s="4"/>
    </row>
    <row r="27" spans="1:19" x14ac:dyDescent="0.25">
      <c r="A27" s="16"/>
      <c r="B27" s="47">
        <f t="shared" si="4"/>
        <v>45650</v>
      </c>
      <c r="C27" s="50">
        <f>+'Цени борса'!F415</f>
        <v>0</v>
      </c>
      <c r="D27" s="68">
        <f t="shared" si="0"/>
        <v>0</v>
      </c>
      <c r="E27" s="34">
        <f>+'Цени борса'!H415</f>
        <v>0</v>
      </c>
      <c r="F27" s="50">
        <f>+'Цени борса'!J415</f>
        <v>0</v>
      </c>
      <c r="G27" s="24">
        <f t="shared" si="1"/>
        <v>0</v>
      </c>
      <c r="H27" s="34">
        <f>+'Цени борса'!L415</f>
        <v>0</v>
      </c>
      <c r="I27" s="16"/>
      <c r="J27" s="27">
        <f>Общо!AA27</f>
        <v>0</v>
      </c>
      <c r="K27" s="174">
        <f>Общо!AB27</f>
        <v>0</v>
      </c>
      <c r="L27" s="177"/>
      <c r="M27" s="176"/>
      <c r="N27" s="39">
        <f t="shared" si="2"/>
        <v>0</v>
      </c>
      <c r="O27" s="34">
        <f t="shared" si="3"/>
        <v>0</v>
      </c>
      <c r="P27" s="4"/>
      <c r="Q27" s="4"/>
      <c r="R27" s="4"/>
      <c r="S27" s="4"/>
    </row>
    <row r="28" spans="1:19" x14ac:dyDescent="0.25">
      <c r="A28" s="16"/>
      <c r="B28" s="47">
        <f t="shared" si="4"/>
        <v>45651</v>
      </c>
      <c r="C28" s="50">
        <f>+'Цени борса'!F430</f>
        <v>0</v>
      </c>
      <c r="D28" s="68">
        <f t="shared" si="0"/>
        <v>0</v>
      </c>
      <c r="E28" s="34">
        <f>+'Цени борса'!H430</f>
        <v>0</v>
      </c>
      <c r="F28" s="50">
        <f>+'Цени борса'!J430</f>
        <v>0</v>
      </c>
      <c r="G28" s="24">
        <f t="shared" si="1"/>
        <v>0</v>
      </c>
      <c r="H28" s="34">
        <f>+'Цени борса'!L430</f>
        <v>0</v>
      </c>
      <c r="I28" s="16"/>
      <c r="J28" s="27">
        <f>Общо!AA28</f>
        <v>0</v>
      </c>
      <c r="K28" s="174">
        <f>Общо!AB28</f>
        <v>0</v>
      </c>
      <c r="L28" s="177"/>
      <c r="M28" s="176"/>
      <c r="N28" s="39">
        <f t="shared" si="2"/>
        <v>0</v>
      </c>
      <c r="O28" s="34">
        <f t="shared" si="3"/>
        <v>0</v>
      </c>
      <c r="P28" s="4"/>
      <c r="Q28" s="4"/>
      <c r="R28" s="4"/>
      <c r="S28" s="4"/>
    </row>
    <row r="29" spans="1:19" x14ac:dyDescent="0.25">
      <c r="A29" s="16"/>
      <c r="B29" s="47">
        <f t="shared" si="4"/>
        <v>45652</v>
      </c>
      <c r="C29" s="50">
        <f>+'Цени борса'!F447</f>
        <v>0</v>
      </c>
      <c r="D29" s="68">
        <f t="shared" si="0"/>
        <v>0</v>
      </c>
      <c r="E29" s="34">
        <f>+'Цени борса'!H447</f>
        <v>0</v>
      </c>
      <c r="F29" s="50">
        <f>+'Цени борса'!J447</f>
        <v>0</v>
      </c>
      <c r="G29" s="24">
        <f t="shared" si="1"/>
        <v>0</v>
      </c>
      <c r="H29" s="34">
        <f>+'Цени борса'!L447</f>
        <v>0</v>
      </c>
      <c r="I29" s="16"/>
      <c r="J29" s="27">
        <f>Общо!AA29</f>
        <v>0</v>
      </c>
      <c r="K29" s="174">
        <f>Общо!AB29</f>
        <v>0</v>
      </c>
      <c r="L29" s="177"/>
      <c r="M29" s="176"/>
      <c r="N29" s="39">
        <f t="shared" si="2"/>
        <v>0</v>
      </c>
      <c r="O29" s="34">
        <f t="shared" si="3"/>
        <v>0</v>
      </c>
      <c r="P29" s="4"/>
      <c r="Q29" s="4"/>
      <c r="R29" s="4"/>
      <c r="S29" s="4"/>
    </row>
    <row r="30" spans="1:19" x14ac:dyDescent="0.25">
      <c r="A30" s="16"/>
      <c r="B30" s="47">
        <f t="shared" si="4"/>
        <v>45653</v>
      </c>
      <c r="C30" s="50">
        <f>+'Цени борса'!F467</f>
        <v>0</v>
      </c>
      <c r="D30" s="68">
        <f t="shared" si="0"/>
        <v>0</v>
      </c>
      <c r="E30" s="34">
        <f>+'Цени борса'!H467</f>
        <v>0</v>
      </c>
      <c r="F30" s="50">
        <f>+'Цени борса'!J467</f>
        <v>0</v>
      </c>
      <c r="G30" s="24">
        <f t="shared" si="1"/>
        <v>0</v>
      </c>
      <c r="H30" s="34">
        <f>+'Цени борса'!L467</f>
        <v>0</v>
      </c>
      <c r="I30" s="16"/>
      <c r="J30" s="27">
        <f>Общо!AA30</f>
        <v>0</v>
      </c>
      <c r="K30" s="174">
        <f>Общо!AB30</f>
        <v>0</v>
      </c>
      <c r="L30" s="177"/>
      <c r="M30" s="177"/>
      <c r="N30" s="39">
        <f t="shared" si="2"/>
        <v>0</v>
      </c>
      <c r="O30" s="34">
        <f t="shared" si="3"/>
        <v>0</v>
      </c>
      <c r="P30" s="4"/>
      <c r="Q30" s="4"/>
      <c r="R30" s="4"/>
      <c r="S30" s="4"/>
    </row>
    <row r="31" spans="1:19" x14ac:dyDescent="0.25">
      <c r="A31" s="16"/>
      <c r="B31" s="47">
        <f t="shared" si="4"/>
        <v>45654</v>
      </c>
      <c r="C31" s="50">
        <f>+'Цени борса'!F495</f>
        <v>0</v>
      </c>
      <c r="D31" s="68">
        <f t="shared" ref="D31:D32" si="7">+IFERROR(E31/C31,0)</f>
        <v>0</v>
      </c>
      <c r="E31" s="34">
        <f>+'Цени борса'!H495</f>
        <v>0</v>
      </c>
      <c r="F31" s="50">
        <f>+'Цени борса'!J495</f>
        <v>0</v>
      </c>
      <c r="G31" s="24">
        <f t="shared" ref="G31:G32" si="8">+IFERROR(H31/F31,0)</f>
        <v>0</v>
      </c>
      <c r="H31" s="34">
        <f>+'Цени борса'!L495</f>
        <v>0</v>
      </c>
      <c r="I31" s="16"/>
      <c r="J31" s="27">
        <f>Общо!AA31</f>
        <v>0</v>
      </c>
      <c r="K31" s="174">
        <f>Общо!AB31</f>
        <v>0</v>
      </c>
      <c r="L31" s="177"/>
      <c r="M31" s="177"/>
      <c r="N31" s="39">
        <f t="shared" si="2"/>
        <v>0</v>
      </c>
      <c r="O31" s="34">
        <f t="shared" si="3"/>
        <v>0</v>
      </c>
      <c r="P31" s="4"/>
      <c r="Q31" s="4"/>
      <c r="R31" s="4"/>
      <c r="S31" s="4"/>
    </row>
    <row r="32" spans="1:19" x14ac:dyDescent="0.25">
      <c r="A32" s="16"/>
      <c r="B32" s="47">
        <f t="shared" si="4"/>
        <v>45655</v>
      </c>
      <c r="C32" s="50">
        <f>+'Цени борса'!F509</f>
        <v>0</v>
      </c>
      <c r="D32" s="68">
        <f t="shared" si="7"/>
        <v>0</v>
      </c>
      <c r="E32" s="34">
        <f>+'Цени борса'!H509</f>
        <v>0</v>
      </c>
      <c r="F32" s="50">
        <f>+'Цени борса'!J509</f>
        <v>0</v>
      </c>
      <c r="G32" s="24">
        <f t="shared" si="8"/>
        <v>0</v>
      </c>
      <c r="H32" s="34">
        <f>+'Цени борса'!L509</f>
        <v>0</v>
      </c>
      <c r="I32" s="16"/>
      <c r="J32" s="27">
        <f>Общо!AA32</f>
        <v>0</v>
      </c>
      <c r="K32" s="174">
        <f>Общо!AB32</f>
        <v>0</v>
      </c>
      <c r="L32" s="177"/>
      <c r="M32" s="177"/>
      <c r="N32" s="39">
        <f t="shared" si="2"/>
        <v>0</v>
      </c>
      <c r="O32" s="34">
        <f t="shared" si="3"/>
        <v>0</v>
      </c>
      <c r="P32" s="4"/>
      <c r="Q32" s="4"/>
      <c r="R32" s="4"/>
      <c r="S32" s="4"/>
    </row>
    <row r="33" spans="1:19" x14ac:dyDescent="0.25">
      <c r="A33" s="16"/>
      <c r="B33" s="47">
        <f t="shared" si="4"/>
        <v>45656</v>
      </c>
      <c r="C33" s="50">
        <f>+'Цени борса'!F510</f>
        <v>0</v>
      </c>
      <c r="D33" s="68">
        <f t="shared" ref="D33" si="9">+IFERROR(E33/C33,0)</f>
        <v>0</v>
      </c>
      <c r="E33" s="34">
        <f>+'Цени борса'!H510</f>
        <v>0</v>
      </c>
      <c r="F33" s="50">
        <f>+'Цени борса'!J510</f>
        <v>0</v>
      </c>
      <c r="G33" s="24">
        <f t="shared" ref="G33" si="10">+IFERROR(H33/F33,0)</f>
        <v>0</v>
      </c>
      <c r="H33" s="34">
        <f>+'Цени борса'!L510</f>
        <v>0</v>
      </c>
      <c r="I33" s="16"/>
      <c r="J33" s="27">
        <f>Общо!AA33</f>
        <v>0</v>
      </c>
      <c r="K33" s="174">
        <f>Общо!AB33</f>
        <v>0</v>
      </c>
      <c r="L33" s="177"/>
      <c r="M33" s="177"/>
      <c r="N33" s="39">
        <f t="shared" ref="N33:N34" si="11">ROUND(L33*J33,2)</f>
        <v>0</v>
      </c>
      <c r="O33" s="34">
        <f t="shared" ref="O33:O34" si="12">+ROUND(K33*M33,2)</f>
        <v>0</v>
      </c>
      <c r="P33" s="4"/>
      <c r="Q33" s="4"/>
      <c r="R33" s="4"/>
      <c r="S33" s="4"/>
    </row>
    <row r="34" spans="1:19" x14ac:dyDescent="0.25">
      <c r="A34" s="16"/>
      <c r="B34" s="47">
        <f t="shared" si="4"/>
        <v>45657</v>
      </c>
      <c r="C34" s="50">
        <f>+'Цени борса'!F511</f>
        <v>0</v>
      </c>
      <c r="D34" s="68">
        <f t="shared" ref="D34" si="13">+IFERROR(E34/C34,0)</f>
        <v>0</v>
      </c>
      <c r="E34" s="34">
        <f>+'Цени борса'!H511</f>
        <v>0</v>
      </c>
      <c r="F34" s="50">
        <f>+'Цени борса'!J511</f>
        <v>0</v>
      </c>
      <c r="G34" s="24">
        <f t="shared" ref="G34" si="14">+IFERROR(H34/F34,0)</f>
        <v>0</v>
      </c>
      <c r="H34" s="34">
        <f>+'Цени борса'!L511</f>
        <v>0</v>
      </c>
      <c r="I34" s="16"/>
      <c r="J34" s="27">
        <f>Общо!AA34</f>
        <v>0</v>
      </c>
      <c r="K34" s="174">
        <f>Общо!AB34</f>
        <v>0</v>
      </c>
      <c r="L34" s="177"/>
      <c r="M34" s="177"/>
      <c r="N34" s="39">
        <f t="shared" si="11"/>
        <v>0</v>
      </c>
      <c r="O34" s="34">
        <f t="shared" si="12"/>
        <v>0</v>
      </c>
      <c r="P34" s="4"/>
      <c r="Q34" s="4"/>
      <c r="R34" s="4"/>
      <c r="S34" s="4"/>
    </row>
    <row r="35" spans="1:19" x14ac:dyDescent="0.25">
      <c r="C35" s="16">
        <f>SUM(C4:C34)</f>
        <v>19647</v>
      </c>
      <c r="D35" s="3">
        <f>+E35/C35</f>
        <v>84.264467857688203</v>
      </c>
      <c r="E35" s="16">
        <f>SUM(E4:E34)</f>
        <v>1655544</v>
      </c>
      <c r="F35" s="16">
        <f>SUM(F4:F34)</f>
        <v>1200</v>
      </c>
      <c r="G35" s="3">
        <f>+H35/F35</f>
        <v>87.520833333333329</v>
      </c>
      <c r="H35" s="16">
        <f>SUM(H4:H34)</f>
        <v>105025</v>
      </c>
      <c r="J35" s="16">
        <f>SUM(J4:J34)</f>
        <v>54.279000000000451</v>
      </c>
      <c r="K35" s="16">
        <f>SUM(K4:K34)</f>
        <v>-1.1080000000001746</v>
      </c>
      <c r="N35" s="16">
        <f>SUM(N4:N34)</f>
        <v>4441.0499999999993</v>
      </c>
      <c r="O35" s="16">
        <f>SUM(O4:O34)</f>
        <v>-99.02</v>
      </c>
    </row>
    <row r="36" spans="1:19" x14ac:dyDescent="0.25">
      <c r="C36" s="16"/>
      <c r="G36" s="3"/>
      <c r="H36" s="602"/>
      <c r="K36" s="152"/>
      <c r="L36" s="179"/>
    </row>
    <row r="37" spans="1:19" x14ac:dyDescent="0.25">
      <c r="C37" s="16"/>
      <c r="E37" s="16"/>
      <c r="F37" s="16"/>
      <c r="G37" s="3"/>
      <c r="H37" s="16"/>
      <c r="N37" s="3"/>
    </row>
    <row r="38" spans="1:19" x14ac:dyDescent="0.25">
      <c r="E38" s="16"/>
      <c r="N38" s="3"/>
    </row>
    <row r="39" spans="1:19" x14ac:dyDescent="0.25">
      <c r="E39" s="16"/>
      <c r="H39" s="3"/>
    </row>
  </sheetData>
  <mergeCells count="3">
    <mergeCell ref="C2:E2"/>
    <mergeCell ref="F2:H2"/>
    <mergeCell ref="J2:O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DK628"/>
  <sheetViews>
    <sheetView zoomScale="85" zoomScaleNormal="85" workbookViewId="0">
      <pane ySplit="8" topLeftCell="A271" activePane="bottomLeft" state="frozen"/>
      <selection pane="bottomLeft" activeCell="E288" sqref="E288:E293"/>
    </sheetView>
  </sheetViews>
  <sheetFormatPr defaultColWidth="8.85546875" defaultRowHeight="15" x14ac:dyDescent="0.25"/>
  <cols>
    <col min="1" max="1" width="12.85546875" style="150" customWidth="1"/>
    <col min="2" max="2" width="14.7109375" style="150" customWidth="1"/>
    <col min="3" max="3" width="36.85546875" style="582" bestFit="1" customWidth="1"/>
    <col min="4" max="4" width="17.28515625" style="557" customWidth="1"/>
    <col min="5" max="5" width="18.5703125" style="254" customWidth="1"/>
    <col min="6" max="6" width="13.140625" style="227" customWidth="1"/>
    <col min="7" max="7" width="14" style="150" customWidth="1"/>
    <col min="8" max="8" width="13.140625" style="150" customWidth="1"/>
    <col min="9" max="9" width="20.85546875" style="254" customWidth="1"/>
    <col min="10" max="10" width="12.140625" style="150" customWidth="1"/>
    <col min="11" max="11" width="12.42578125" style="150" customWidth="1"/>
    <col min="12" max="12" width="15.28515625" style="150" customWidth="1"/>
    <col min="13" max="13" width="10.28515625" style="150" bestFit="1" customWidth="1"/>
    <col min="14" max="115" width="9" style="150" bestFit="1" customWidth="1"/>
    <col min="116" max="16384" width="8.85546875" style="150"/>
  </cols>
  <sheetData>
    <row r="1" spans="1:115" x14ac:dyDescent="0.25">
      <c r="E1" s="150"/>
      <c r="F1" s="150"/>
    </row>
    <row r="2" spans="1:115" x14ac:dyDescent="0.25">
      <c r="E2" s="150"/>
      <c r="F2" s="150"/>
    </row>
    <row r="3" spans="1:115" x14ac:dyDescent="0.25">
      <c r="E3" s="150"/>
      <c r="F3" s="150"/>
    </row>
    <row r="4" spans="1:115" x14ac:dyDescent="0.25">
      <c r="E4" s="150"/>
      <c r="F4" s="150"/>
      <c r="AY4" s="150">
        <v>4714000.2</v>
      </c>
      <c r="AZ4" s="150">
        <v>1735236.8</v>
      </c>
      <c r="BA4" s="150">
        <v>704782.9</v>
      </c>
      <c r="BB4" s="150">
        <v>266039.33</v>
      </c>
      <c r="BC4" s="150">
        <v>2793735</v>
      </c>
      <c r="BD4" s="150">
        <v>201540.85</v>
      </c>
      <c r="BE4" s="150">
        <v>0</v>
      </c>
      <c r="BF4" s="150">
        <f>SUM(AY4:BE4)</f>
        <v>10415335.08</v>
      </c>
      <c r="BS4" s="150">
        <v>7218000</v>
      </c>
      <c r="BT4" s="150">
        <v>1735236.8</v>
      </c>
      <c r="BU4" s="150">
        <v>704782.9</v>
      </c>
      <c r="BV4" s="150">
        <v>266039.33</v>
      </c>
      <c r="BW4" s="150">
        <v>2793735</v>
      </c>
      <c r="BX4" s="150">
        <v>201540.85</v>
      </c>
      <c r="BY4" s="150">
        <v>0</v>
      </c>
      <c r="BZ4" s="150">
        <f>SUM(BS4:BY4)</f>
        <v>12919334.880000001</v>
      </c>
    </row>
    <row r="5" spans="1:115" x14ac:dyDescent="0.25">
      <c r="E5" s="150"/>
      <c r="F5" s="150"/>
    </row>
    <row r="6" spans="1:115" ht="11.25" customHeight="1" x14ac:dyDescent="0.25">
      <c r="A6" s="668" t="s">
        <v>31</v>
      </c>
      <c r="B6" s="668"/>
      <c r="C6" s="668"/>
      <c r="D6" s="668"/>
      <c r="E6" s="668"/>
      <c r="F6" s="668"/>
      <c r="G6" s="668"/>
      <c r="H6" s="668"/>
      <c r="I6" s="668"/>
      <c r="J6" s="668"/>
      <c r="K6" s="668"/>
      <c r="L6" s="668"/>
    </row>
    <row r="7" spans="1:115" ht="15" customHeight="1" x14ac:dyDescent="0.25">
      <c r="A7" s="562"/>
      <c r="B7" s="562"/>
      <c r="C7" s="583"/>
      <c r="D7" s="563"/>
      <c r="E7" s="668" t="s">
        <v>168</v>
      </c>
      <c r="F7" s="668"/>
      <c r="G7" s="668"/>
      <c r="H7" s="669" t="s">
        <v>32</v>
      </c>
      <c r="I7" s="668" t="s">
        <v>169</v>
      </c>
      <c r="J7" s="668"/>
      <c r="K7" s="668"/>
      <c r="L7" s="669" t="s">
        <v>32</v>
      </c>
    </row>
    <row r="8" spans="1:115" ht="57" x14ac:dyDescent="0.25">
      <c r="A8" s="564" t="s">
        <v>63</v>
      </c>
      <c r="B8" s="564" t="s">
        <v>61</v>
      </c>
      <c r="C8" s="564" t="s">
        <v>62</v>
      </c>
      <c r="D8" s="565" t="s">
        <v>33</v>
      </c>
      <c r="E8" s="564" t="s">
        <v>34</v>
      </c>
      <c r="F8" s="564" t="s">
        <v>35</v>
      </c>
      <c r="G8" s="564" t="s">
        <v>36</v>
      </c>
      <c r="H8" s="670"/>
      <c r="I8" s="564" t="s">
        <v>34</v>
      </c>
      <c r="J8" s="564" t="s">
        <v>35</v>
      </c>
      <c r="K8" s="564" t="s">
        <v>36</v>
      </c>
      <c r="L8" s="670"/>
    </row>
    <row r="9" spans="1:115" x14ac:dyDescent="0.25">
      <c r="A9" s="258"/>
      <c r="B9" s="258"/>
      <c r="C9" s="584"/>
      <c r="D9" s="558"/>
      <c r="E9" s="534"/>
      <c r="F9" s="253"/>
      <c r="G9" s="535"/>
      <c r="H9" s="536">
        <f>F9*G9</f>
        <v>0</v>
      </c>
      <c r="I9" s="534"/>
      <c r="J9" s="253"/>
      <c r="K9" s="535"/>
      <c r="L9" s="536">
        <f>J9*K9</f>
        <v>0</v>
      </c>
    </row>
    <row r="10" spans="1:115" s="227" customFormat="1" x14ac:dyDescent="0.25">
      <c r="A10" s="258"/>
      <c r="B10" s="258"/>
      <c r="C10" s="584"/>
      <c r="D10" s="47">
        <v>45627</v>
      </c>
      <c r="E10" s="537"/>
      <c r="F10" s="538"/>
      <c r="G10" s="539"/>
      <c r="H10" s="540">
        <f>F10*G10</f>
        <v>0</v>
      </c>
      <c r="I10" s="537"/>
      <c r="J10" s="538"/>
      <c r="K10" s="539"/>
      <c r="L10" s="540">
        <f>J10*K10</f>
        <v>0</v>
      </c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0"/>
      <c r="BN10" s="150"/>
      <c r="BO10" s="150"/>
      <c r="BP10" s="150"/>
      <c r="BQ10" s="150"/>
      <c r="BR10" s="150"/>
      <c r="BS10" s="150"/>
      <c r="BT10" s="150"/>
      <c r="BU10" s="150"/>
      <c r="BV10" s="150"/>
      <c r="BW10" s="150"/>
      <c r="BX10" s="150"/>
      <c r="BY10" s="150"/>
      <c r="BZ10" s="150"/>
      <c r="CA10" s="150"/>
      <c r="CB10" s="150"/>
      <c r="CC10" s="150"/>
      <c r="CD10" s="150"/>
      <c r="CE10" s="150"/>
      <c r="CF10" s="150"/>
      <c r="CG10" s="150"/>
      <c r="CH10" s="150"/>
      <c r="CI10" s="150"/>
      <c r="CJ10" s="150"/>
      <c r="CK10" s="150"/>
      <c r="CL10" s="150"/>
      <c r="CM10" s="150"/>
      <c r="CN10" s="150"/>
      <c r="CO10" s="150"/>
      <c r="CP10" s="150"/>
      <c r="CQ10" s="150"/>
      <c r="CR10" s="150"/>
      <c r="CS10" s="150"/>
      <c r="CT10" s="150"/>
      <c r="CU10" s="150"/>
      <c r="CV10" s="150"/>
      <c r="CW10" s="150"/>
      <c r="CX10" s="150"/>
      <c r="CY10" s="150"/>
      <c r="CZ10" s="150"/>
      <c r="DA10" s="150"/>
      <c r="DB10" s="150"/>
      <c r="DC10" s="150"/>
      <c r="DD10" s="150"/>
      <c r="DE10" s="150"/>
      <c r="DF10" s="150"/>
      <c r="DG10" s="150"/>
      <c r="DH10" s="150"/>
      <c r="DI10" s="150"/>
      <c r="DJ10" s="150"/>
      <c r="DK10" s="150"/>
    </row>
    <row r="11" spans="1:115" s="227" customFormat="1" ht="13.15" customHeight="1" x14ac:dyDescent="0.25">
      <c r="A11" s="258"/>
      <c r="B11" s="258"/>
      <c r="C11" s="584"/>
      <c r="D11" s="560"/>
      <c r="E11" s="537"/>
      <c r="F11" s="541"/>
      <c r="G11" s="541"/>
      <c r="H11" s="540">
        <f>F11*G11</f>
        <v>0</v>
      </c>
      <c r="I11" s="537"/>
      <c r="J11" s="541"/>
      <c r="K11" s="541"/>
      <c r="L11" s="540">
        <f>J11*K11</f>
        <v>0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150"/>
      <c r="BN11" s="150"/>
      <c r="BO11" s="150"/>
      <c r="BP11" s="150"/>
      <c r="BQ11" s="150"/>
      <c r="BR11" s="150"/>
      <c r="BS11" s="150"/>
      <c r="BT11" s="150"/>
      <c r="BU11" s="150"/>
      <c r="BV11" s="150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</row>
    <row r="12" spans="1:115" s="227" customFormat="1" x14ac:dyDescent="0.25">
      <c r="A12" s="258"/>
      <c r="B12" s="258"/>
      <c r="C12" s="584"/>
      <c r="D12" s="560"/>
      <c r="E12" s="537"/>
      <c r="F12" s="541"/>
      <c r="G12" s="541"/>
      <c r="H12" s="540">
        <f t="shared" ref="H12:H17" si="0">F12*G12</f>
        <v>0</v>
      </c>
      <c r="I12" s="537"/>
      <c r="J12" s="541"/>
      <c r="K12" s="541"/>
      <c r="L12" s="540">
        <f t="shared" ref="L12:L17" si="1">J12*K12</f>
        <v>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150"/>
      <c r="BN12" s="150"/>
      <c r="BO12" s="150"/>
      <c r="BP12" s="150"/>
      <c r="BQ12" s="150"/>
      <c r="BR12" s="150"/>
      <c r="BS12" s="150"/>
      <c r="BT12" s="150"/>
      <c r="BU12" s="150"/>
      <c r="BV12" s="150"/>
      <c r="BW12" s="150"/>
      <c r="BX12" s="150"/>
      <c r="BY12" s="150"/>
      <c r="BZ12" s="150"/>
      <c r="CA12" s="150"/>
      <c r="CB12" s="150"/>
      <c r="CC12" s="150"/>
      <c r="CD12" s="150"/>
      <c r="CE12" s="150"/>
      <c r="CF12" s="150"/>
      <c r="CG12" s="150"/>
      <c r="CH12" s="150"/>
      <c r="CI12" s="150"/>
      <c r="CJ12" s="150"/>
      <c r="CK12" s="150"/>
      <c r="CL12" s="150"/>
      <c r="CM12" s="150"/>
      <c r="CN12" s="150"/>
      <c r="CO12" s="150"/>
      <c r="CP12" s="150"/>
      <c r="CQ12" s="150"/>
      <c r="CR12" s="150"/>
      <c r="CS12" s="150"/>
      <c r="CT12" s="150"/>
      <c r="CU12" s="150"/>
      <c r="CV12" s="150"/>
      <c r="CW12" s="150"/>
      <c r="CX12" s="150"/>
      <c r="CY12" s="150"/>
      <c r="CZ12" s="150"/>
      <c r="DA12" s="150"/>
      <c r="DB12" s="150"/>
      <c r="DC12" s="150"/>
      <c r="DD12" s="150"/>
      <c r="DE12" s="150"/>
      <c r="DF12" s="150"/>
      <c r="DG12" s="150"/>
      <c r="DH12" s="150"/>
      <c r="DI12" s="150"/>
      <c r="DJ12" s="150"/>
      <c r="DK12" s="150"/>
    </row>
    <row r="13" spans="1:115" s="617" customFormat="1" x14ac:dyDescent="0.25">
      <c r="A13" s="610"/>
      <c r="B13" s="610"/>
      <c r="C13" s="631"/>
      <c r="D13" s="612"/>
      <c r="E13" s="613"/>
      <c r="F13" s="615"/>
      <c r="G13" s="615"/>
      <c r="H13" s="630">
        <f t="shared" si="0"/>
        <v>0</v>
      </c>
      <c r="I13" s="613"/>
      <c r="J13" s="615"/>
      <c r="K13" s="615"/>
      <c r="L13" s="630">
        <f t="shared" si="1"/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</row>
    <row r="14" spans="1:115" s="617" customFormat="1" x14ac:dyDescent="0.25">
      <c r="A14" s="610"/>
      <c r="B14" s="610"/>
      <c r="C14" s="631"/>
      <c r="D14" s="612"/>
      <c r="E14" s="613"/>
      <c r="F14" s="615"/>
      <c r="G14" s="615"/>
      <c r="H14" s="630">
        <f t="shared" si="0"/>
        <v>0</v>
      </c>
      <c r="I14" s="613"/>
      <c r="J14" s="615"/>
      <c r="K14" s="615"/>
      <c r="L14" s="630">
        <f t="shared" si="1"/>
        <v>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</row>
    <row r="15" spans="1:115" s="617" customFormat="1" x14ac:dyDescent="0.25">
      <c r="A15" s="610"/>
      <c r="B15" s="610"/>
      <c r="C15" s="631"/>
      <c r="D15" s="612"/>
      <c r="E15" s="613"/>
      <c r="F15" s="615"/>
      <c r="G15" s="615"/>
      <c r="H15" s="630">
        <f t="shared" si="0"/>
        <v>0</v>
      </c>
      <c r="I15" s="613"/>
      <c r="J15" s="615"/>
      <c r="K15" s="615"/>
      <c r="L15" s="630">
        <f t="shared" si="1"/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</row>
    <row r="16" spans="1:115" s="617" customFormat="1" x14ac:dyDescent="0.25">
      <c r="A16" s="610"/>
      <c r="B16" s="610"/>
      <c r="C16" s="631"/>
      <c r="D16" s="612"/>
      <c r="E16" s="613"/>
      <c r="F16" s="615"/>
      <c r="G16" s="615"/>
      <c r="H16" s="630">
        <f t="shared" si="0"/>
        <v>0</v>
      </c>
      <c r="I16" s="613"/>
      <c r="J16" s="615"/>
      <c r="K16" s="615"/>
      <c r="L16" s="630">
        <f t="shared" si="1"/>
        <v>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</row>
    <row r="17" spans="1:115" s="25" customFormat="1" x14ac:dyDescent="0.25">
      <c r="A17" s="610"/>
      <c r="B17" s="610"/>
      <c r="C17" s="611"/>
      <c r="D17" s="612"/>
      <c r="E17" s="613"/>
      <c r="F17" s="614"/>
      <c r="G17" s="615"/>
      <c r="H17" s="616">
        <f t="shared" si="0"/>
        <v>0</v>
      </c>
      <c r="I17" s="613"/>
      <c r="J17" s="614"/>
      <c r="K17" s="615"/>
      <c r="L17" s="616">
        <f t="shared" si="1"/>
        <v>0</v>
      </c>
    </row>
    <row r="18" spans="1:115" s="25" customFormat="1" x14ac:dyDescent="0.25">
      <c r="A18" s="610"/>
      <c r="B18" s="610"/>
      <c r="C18" s="611"/>
      <c r="D18" s="612"/>
      <c r="E18" s="613"/>
      <c r="F18" s="614"/>
      <c r="G18" s="615"/>
      <c r="H18" s="616">
        <f>F18*G18</f>
        <v>0</v>
      </c>
      <c r="I18" s="613"/>
      <c r="J18" s="614"/>
      <c r="K18" s="615"/>
      <c r="L18" s="616">
        <f>J18*K18</f>
        <v>0</v>
      </c>
    </row>
    <row r="19" spans="1:115" s="227" customFormat="1" x14ac:dyDescent="0.25">
      <c r="A19" s="258"/>
      <c r="B19" s="258"/>
      <c r="C19" s="584"/>
      <c r="D19" s="560"/>
      <c r="E19" s="537"/>
      <c r="F19" s="541"/>
      <c r="G19" s="541"/>
      <c r="H19" s="540">
        <f>F19*G19</f>
        <v>0</v>
      </c>
      <c r="I19" s="537"/>
      <c r="J19" s="541"/>
      <c r="K19" s="541"/>
      <c r="L19" s="540">
        <f>J19*K19</f>
        <v>0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</row>
    <row r="20" spans="1:115" x14ac:dyDescent="0.25">
      <c r="A20" s="258"/>
      <c r="B20" s="258"/>
      <c r="C20" s="584"/>
      <c r="D20" s="559" t="s">
        <v>0</v>
      </c>
      <c r="E20" s="534"/>
      <c r="F20" s="542">
        <f>SUM(F9:F19)</f>
        <v>0</v>
      </c>
      <c r="G20" s="543" t="e">
        <f>H20/F20</f>
        <v>#DIV/0!</v>
      </c>
      <c r="H20" s="544">
        <f>SUM(H9:H19)</f>
        <v>0</v>
      </c>
      <c r="I20" s="534"/>
      <c r="J20" s="542">
        <f>SUM(J9:J19)</f>
        <v>0</v>
      </c>
      <c r="K20" s="543" t="e">
        <f>L20/J20</f>
        <v>#DIV/0!</v>
      </c>
      <c r="L20" s="544">
        <f>SUM(L9:L19)</f>
        <v>0</v>
      </c>
    </row>
    <row r="21" spans="1:115" ht="15" customHeight="1" x14ac:dyDescent="0.25">
      <c r="A21" s="545"/>
      <c r="B21" s="545"/>
      <c r="C21" s="586"/>
      <c r="D21" s="561"/>
      <c r="E21" s="546"/>
      <c r="F21" s="546"/>
      <c r="G21" s="547"/>
      <c r="H21" s="548"/>
      <c r="I21" s="546"/>
      <c r="J21" s="546"/>
      <c r="K21" s="547"/>
      <c r="L21" s="548"/>
    </row>
    <row r="22" spans="1:115" x14ac:dyDescent="0.25">
      <c r="A22" s="258"/>
      <c r="B22" s="258"/>
      <c r="C22" s="584"/>
      <c r="D22" s="558"/>
      <c r="E22" s="534"/>
      <c r="F22" s="535"/>
      <c r="G22" s="535"/>
      <c r="H22" s="536">
        <f t="shared" ref="H22:H37" si="2">F22*G22</f>
        <v>0</v>
      </c>
      <c r="I22" s="534"/>
      <c r="J22" s="535"/>
      <c r="K22" s="535"/>
      <c r="L22" s="536">
        <f t="shared" ref="L22:L37" si="3">J22*K22</f>
        <v>0</v>
      </c>
    </row>
    <row r="23" spans="1:115" s="227" customFormat="1" x14ac:dyDescent="0.25">
      <c r="A23" s="258"/>
      <c r="B23" s="258"/>
      <c r="C23" s="584"/>
      <c r="D23" s="560">
        <f>D10+1</f>
        <v>45628</v>
      </c>
      <c r="E23" s="537"/>
      <c r="F23" s="541"/>
      <c r="G23" s="541"/>
      <c r="H23" s="540">
        <f t="shared" si="2"/>
        <v>0</v>
      </c>
      <c r="I23" s="537"/>
      <c r="J23" s="541"/>
      <c r="K23" s="541"/>
      <c r="L23" s="540">
        <f t="shared" si="3"/>
        <v>0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150"/>
      <c r="CA23" s="150"/>
      <c r="CB23" s="150"/>
      <c r="CC23" s="150"/>
      <c r="CD23" s="150"/>
      <c r="CE23" s="150"/>
      <c r="CF23" s="150"/>
      <c r="CG23" s="150"/>
      <c r="CH23" s="150"/>
      <c r="CI23" s="150"/>
      <c r="CJ23" s="150"/>
      <c r="CK23" s="150"/>
      <c r="CL23" s="150"/>
      <c r="CM23" s="150"/>
      <c r="CN23" s="150"/>
      <c r="CO23" s="150"/>
      <c r="CP23" s="150"/>
      <c r="CQ23" s="150"/>
      <c r="CR23" s="150"/>
      <c r="CS23" s="150"/>
      <c r="CT23" s="150"/>
      <c r="CU23" s="150"/>
      <c r="CV23" s="150"/>
      <c r="CW23" s="150"/>
      <c r="CX23" s="150"/>
      <c r="CY23" s="150"/>
      <c r="CZ23" s="150"/>
      <c r="DA23" s="150"/>
      <c r="DB23" s="150"/>
      <c r="DC23" s="150"/>
      <c r="DD23" s="150"/>
      <c r="DE23" s="150"/>
      <c r="DF23" s="150"/>
      <c r="DG23" s="150"/>
      <c r="DH23" s="150"/>
      <c r="DI23" s="150"/>
      <c r="DJ23" s="150"/>
      <c r="DK23" s="150"/>
    </row>
    <row r="24" spans="1:115" s="227" customFormat="1" x14ac:dyDescent="0.25">
      <c r="A24" s="258" t="s">
        <v>6</v>
      </c>
      <c r="B24" s="258" t="s">
        <v>340</v>
      </c>
      <c r="C24" s="584" t="s">
        <v>341</v>
      </c>
      <c r="D24" s="560"/>
      <c r="E24" s="537" t="s">
        <v>343</v>
      </c>
      <c r="F24" s="538">
        <v>500</v>
      </c>
      <c r="G24" s="539">
        <v>87.05</v>
      </c>
      <c r="H24" s="540">
        <f t="shared" si="2"/>
        <v>43525</v>
      </c>
      <c r="I24" s="537"/>
      <c r="J24" s="541"/>
      <c r="K24" s="541"/>
      <c r="L24" s="540">
        <f t="shared" si="3"/>
        <v>0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0"/>
      <c r="CY24" s="150"/>
      <c r="CZ24" s="150"/>
      <c r="DA24" s="150"/>
      <c r="DB24" s="150"/>
      <c r="DC24" s="150"/>
      <c r="DD24" s="150"/>
      <c r="DE24" s="150"/>
      <c r="DF24" s="150"/>
      <c r="DG24" s="150"/>
      <c r="DH24" s="150"/>
      <c r="DI24" s="150"/>
      <c r="DJ24" s="150"/>
      <c r="DK24" s="150"/>
    </row>
    <row r="25" spans="1:115" s="227" customFormat="1" x14ac:dyDescent="0.25">
      <c r="A25" s="258" t="s">
        <v>6</v>
      </c>
      <c r="B25" s="258" t="s">
        <v>340</v>
      </c>
      <c r="C25" s="584" t="s">
        <v>341</v>
      </c>
      <c r="D25" s="560"/>
      <c r="E25" s="537" t="s">
        <v>344</v>
      </c>
      <c r="F25" s="541">
        <v>500</v>
      </c>
      <c r="G25" s="541">
        <v>87.05</v>
      </c>
      <c r="H25" s="540">
        <f t="shared" si="2"/>
        <v>43525</v>
      </c>
      <c r="I25" s="537"/>
      <c r="J25" s="541"/>
      <c r="K25" s="541"/>
      <c r="L25" s="540">
        <f t="shared" si="3"/>
        <v>0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150"/>
      <c r="CA25" s="150"/>
      <c r="CB25" s="150"/>
      <c r="CC25" s="150"/>
      <c r="CD25" s="150"/>
      <c r="CE25" s="150"/>
      <c r="CF25" s="150"/>
      <c r="CG25" s="150"/>
      <c r="CH25" s="150"/>
      <c r="CI25" s="150"/>
      <c r="CJ25" s="150"/>
      <c r="CK25" s="150"/>
      <c r="CL25" s="150"/>
      <c r="CM25" s="150"/>
      <c r="CN25" s="150"/>
      <c r="CO25" s="150"/>
      <c r="CP25" s="150"/>
      <c r="CQ25" s="150"/>
      <c r="CR25" s="150"/>
      <c r="CS25" s="150"/>
      <c r="CT25" s="150"/>
      <c r="CU25" s="150"/>
      <c r="CV25" s="150"/>
      <c r="CW25" s="150"/>
      <c r="CX25" s="150"/>
      <c r="CY25" s="150"/>
      <c r="CZ25" s="150"/>
      <c r="DA25" s="150"/>
      <c r="DB25" s="150"/>
      <c r="DC25" s="150"/>
      <c r="DD25" s="150"/>
      <c r="DE25" s="150"/>
      <c r="DF25" s="150"/>
      <c r="DG25" s="150"/>
      <c r="DH25" s="150"/>
      <c r="DI25" s="150"/>
      <c r="DJ25" s="150"/>
      <c r="DK25" s="150"/>
    </row>
    <row r="26" spans="1:115" s="227" customFormat="1" x14ac:dyDescent="0.25">
      <c r="A26" s="258" t="s">
        <v>6</v>
      </c>
      <c r="B26" s="258" t="s">
        <v>340</v>
      </c>
      <c r="C26" s="584" t="s">
        <v>342</v>
      </c>
      <c r="D26" s="560"/>
      <c r="E26" s="537" t="s">
        <v>345</v>
      </c>
      <c r="F26" s="541">
        <v>500</v>
      </c>
      <c r="G26" s="541">
        <v>86.9</v>
      </c>
      <c r="H26" s="540">
        <f t="shared" si="2"/>
        <v>43450</v>
      </c>
      <c r="I26" s="537"/>
      <c r="J26" s="541"/>
      <c r="K26" s="541"/>
      <c r="L26" s="540">
        <f t="shared" si="3"/>
        <v>0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  <c r="CT26" s="150"/>
      <c r="CU26" s="150"/>
      <c r="CV26" s="150"/>
      <c r="CW26" s="150"/>
      <c r="CX26" s="150"/>
      <c r="CY26" s="150"/>
      <c r="CZ26" s="150"/>
      <c r="DA26" s="150"/>
      <c r="DB26" s="150"/>
      <c r="DC26" s="150"/>
      <c r="DD26" s="150"/>
      <c r="DE26" s="150"/>
      <c r="DF26" s="150"/>
      <c r="DG26" s="150"/>
      <c r="DH26" s="150"/>
      <c r="DI26" s="150"/>
      <c r="DJ26" s="150"/>
      <c r="DK26" s="150"/>
    </row>
    <row r="27" spans="1:115" s="227" customFormat="1" x14ac:dyDescent="0.25">
      <c r="A27" s="610" t="s">
        <v>6</v>
      </c>
      <c r="B27" s="610" t="s">
        <v>346</v>
      </c>
      <c r="C27" s="631" t="s">
        <v>347</v>
      </c>
      <c r="D27" s="560"/>
      <c r="E27" s="537"/>
      <c r="F27" s="541"/>
      <c r="G27" s="541"/>
      <c r="H27" s="540">
        <f t="shared" si="2"/>
        <v>0</v>
      </c>
      <c r="I27" s="613" t="s">
        <v>352</v>
      </c>
      <c r="J27" s="615">
        <v>100</v>
      </c>
      <c r="K27" s="615">
        <v>87</v>
      </c>
      <c r="L27" s="630">
        <f t="shared" si="3"/>
        <v>8700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150"/>
      <c r="CA27" s="150"/>
      <c r="CB27" s="150"/>
      <c r="CC27" s="150"/>
      <c r="CD27" s="150"/>
      <c r="CE27" s="150"/>
      <c r="CF27" s="150"/>
      <c r="CG27" s="150"/>
      <c r="CH27" s="150"/>
      <c r="CI27" s="150"/>
      <c r="CJ27" s="150"/>
      <c r="CK27" s="150"/>
      <c r="CL27" s="150"/>
      <c r="CM27" s="150"/>
      <c r="CN27" s="150"/>
      <c r="CO27" s="150"/>
      <c r="CP27" s="150"/>
      <c r="CQ27" s="150"/>
      <c r="CR27" s="150"/>
      <c r="CS27" s="150"/>
      <c r="CT27" s="150"/>
      <c r="CU27" s="150"/>
      <c r="CV27" s="150"/>
      <c r="CW27" s="150"/>
      <c r="CX27" s="150"/>
      <c r="CY27" s="150"/>
      <c r="CZ27" s="150"/>
      <c r="DA27" s="150"/>
      <c r="DB27" s="150"/>
      <c r="DC27" s="150"/>
      <c r="DD27" s="150"/>
      <c r="DE27" s="150"/>
      <c r="DF27" s="150"/>
      <c r="DG27" s="150"/>
      <c r="DH27" s="150"/>
      <c r="DI27" s="150"/>
      <c r="DJ27" s="150"/>
      <c r="DK27" s="150"/>
    </row>
    <row r="28" spans="1:115" ht="30" x14ac:dyDescent="0.25">
      <c r="A28" s="610" t="s">
        <v>6</v>
      </c>
      <c r="B28" s="610" t="s">
        <v>346</v>
      </c>
      <c r="C28" s="631" t="s">
        <v>348</v>
      </c>
      <c r="D28" s="560"/>
      <c r="E28" s="537"/>
      <c r="F28" s="253"/>
      <c r="G28" s="541"/>
      <c r="H28" s="536">
        <f t="shared" si="2"/>
        <v>0</v>
      </c>
      <c r="I28" s="613" t="s">
        <v>353</v>
      </c>
      <c r="J28" s="615">
        <v>200</v>
      </c>
      <c r="K28" s="615">
        <v>87</v>
      </c>
      <c r="L28" s="630">
        <f t="shared" si="3"/>
        <v>17400</v>
      </c>
    </row>
    <row r="29" spans="1:115" x14ac:dyDescent="0.25">
      <c r="A29" s="610" t="s">
        <v>6</v>
      </c>
      <c r="B29" s="610" t="s">
        <v>346</v>
      </c>
      <c r="C29" s="631" t="s">
        <v>349</v>
      </c>
      <c r="D29" s="560"/>
      <c r="E29" s="537"/>
      <c r="F29" s="253"/>
      <c r="G29" s="541"/>
      <c r="H29" s="536">
        <f t="shared" si="2"/>
        <v>0</v>
      </c>
      <c r="I29" s="613" t="s">
        <v>354</v>
      </c>
      <c r="J29" s="615">
        <v>55</v>
      </c>
      <c r="K29" s="615">
        <v>87</v>
      </c>
      <c r="L29" s="630">
        <f t="shared" si="3"/>
        <v>4785</v>
      </c>
    </row>
    <row r="30" spans="1:115" x14ac:dyDescent="0.25">
      <c r="A30" s="610" t="s">
        <v>6</v>
      </c>
      <c r="B30" s="610" t="s">
        <v>346</v>
      </c>
      <c r="C30" s="631" t="s">
        <v>350</v>
      </c>
      <c r="D30" s="560"/>
      <c r="E30" s="537"/>
      <c r="F30" s="253"/>
      <c r="G30" s="541"/>
      <c r="H30" s="536">
        <f t="shared" si="2"/>
        <v>0</v>
      </c>
      <c r="I30" s="613" t="s">
        <v>355</v>
      </c>
      <c r="J30" s="615">
        <v>50</v>
      </c>
      <c r="K30" s="615">
        <v>87</v>
      </c>
      <c r="L30" s="630">
        <f t="shared" si="3"/>
        <v>4350</v>
      </c>
    </row>
    <row r="31" spans="1:115" s="227" customFormat="1" ht="30" x14ac:dyDescent="0.25">
      <c r="A31" s="610" t="s">
        <v>6</v>
      </c>
      <c r="B31" s="610" t="s">
        <v>346</v>
      </c>
      <c r="C31" s="611" t="s">
        <v>351</v>
      </c>
      <c r="D31" s="560"/>
      <c r="E31" s="537"/>
      <c r="F31" s="541"/>
      <c r="G31" s="541"/>
      <c r="H31" s="540">
        <f>F31*G31</f>
        <v>0</v>
      </c>
      <c r="I31" s="613" t="s">
        <v>356</v>
      </c>
      <c r="J31" s="614">
        <v>95</v>
      </c>
      <c r="K31" s="615">
        <v>87</v>
      </c>
      <c r="L31" s="616">
        <f t="shared" si="3"/>
        <v>8265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  <c r="DB31" s="150"/>
      <c r="DC31" s="150"/>
      <c r="DD31" s="150"/>
      <c r="DE31" s="150"/>
      <c r="DF31" s="150"/>
      <c r="DG31" s="150"/>
      <c r="DH31" s="150"/>
      <c r="DI31" s="150"/>
      <c r="DJ31" s="150"/>
      <c r="DK31" s="150"/>
    </row>
    <row r="32" spans="1:115" s="227" customFormat="1" x14ac:dyDescent="0.25">
      <c r="A32" s="258"/>
      <c r="B32" s="258"/>
      <c r="C32" s="584"/>
      <c r="D32" s="560"/>
      <c r="E32" s="537"/>
      <c r="F32" s="541"/>
      <c r="G32" s="541"/>
      <c r="H32" s="540">
        <f t="shared" si="2"/>
        <v>0</v>
      </c>
      <c r="I32" s="537"/>
      <c r="J32" s="541"/>
      <c r="K32" s="541"/>
      <c r="L32" s="540">
        <f t="shared" si="3"/>
        <v>0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0"/>
      <c r="CT32" s="150"/>
      <c r="CU32" s="150"/>
      <c r="CV32" s="150"/>
      <c r="CW32" s="150"/>
      <c r="CX32" s="150"/>
      <c r="CY32" s="150"/>
      <c r="CZ32" s="150"/>
      <c r="DA32" s="150"/>
      <c r="DB32" s="150"/>
      <c r="DC32" s="150"/>
      <c r="DD32" s="150"/>
      <c r="DE32" s="150"/>
      <c r="DF32" s="150"/>
      <c r="DG32" s="150"/>
      <c r="DH32" s="150"/>
      <c r="DI32" s="150"/>
      <c r="DJ32" s="150"/>
      <c r="DK32" s="150"/>
    </row>
    <row r="33" spans="1:115" x14ac:dyDescent="0.25">
      <c r="A33" s="258"/>
      <c r="B33" s="258"/>
      <c r="C33" s="584"/>
      <c r="D33" s="559"/>
      <c r="E33" s="534"/>
      <c r="F33" s="253"/>
      <c r="G33" s="541"/>
      <c r="H33" s="536">
        <f t="shared" si="2"/>
        <v>0</v>
      </c>
      <c r="I33" s="534"/>
      <c r="J33" s="253"/>
      <c r="K33" s="541"/>
      <c r="L33" s="536">
        <f t="shared" si="3"/>
        <v>0</v>
      </c>
    </row>
    <row r="34" spans="1:115" x14ac:dyDescent="0.25">
      <c r="A34" s="258"/>
      <c r="B34" s="258"/>
      <c r="C34" s="584"/>
      <c r="D34" s="559"/>
      <c r="E34" s="534"/>
      <c r="F34" s="253"/>
      <c r="G34" s="541"/>
      <c r="H34" s="536">
        <f t="shared" si="2"/>
        <v>0</v>
      </c>
      <c r="I34" s="534"/>
      <c r="J34" s="253"/>
      <c r="K34" s="541"/>
      <c r="L34" s="536">
        <f t="shared" si="3"/>
        <v>0</v>
      </c>
    </row>
    <row r="35" spans="1:115" s="227" customFormat="1" x14ac:dyDescent="0.25">
      <c r="A35" s="257"/>
      <c r="B35" s="258"/>
      <c r="C35" s="585"/>
      <c r="D35" s="560"/>
      <c r="E35" s="537"/>
      <c r="F35" s="253"/>
      <c r="G35" s="541"/>
      <c r="H35" s="536">
        <f t="shared" si="2"/>
        <v>0</v>
      </c>
      <c r="I35" s="537"/>
      <c r="J35" s="253"/>
      <c r="K35" s="541"/>
      <c r="L35" s="536">
        <f t="shared" si="3"/>
        <v>0</v>
      </c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150"/>
      <c r="CA35" s="150"/>
      <c r="CB35" s="150"/>
      <c r="CC35" s="150"/>
      <c r="CD35" s="150"/>
      <c r="CE35" s="150"/>
      <c r="CF35" s="150"/>
      <c r="CG35" s="150"/>
      <c r="CH35" s="150"/>
      <c r="CI35" s="150"/>
      <c r="CJ35" s="150"/>
      <c r="CK35" s="150"/>
      <c r="CL35" s="150"/>
      <c r="CM35" s="150"/>
      <c r="CN35" s="150"/>
      <c r="CO35" s="150"/>
      <c r="CP35" s="150"/>
      <c r="CQ35" s="150"/>
      <c r="CR35" s="150"/>
      <c r="CS35" s="150"/>
      <c r="CT35" s="150"/>
      <c r="CU35" s="150"/>
      <c r="CV35" s="150"/>
      <c r="CW35" s="150"/>
      <c r="CX35" s="150"/>
      <c r="CY35" s="150"/>
      <c r="CZ35" s="150"/>
      <c r="DA35" s="150"/>
      <c r="DB35" s="150"/>
      <c r="DC35" s="150"/>
      <c r="DD35" s="150"/>
      <c r="DE35" s="150"/>
      <c r="DF35" s="150"/>
      <c r="DG35" s="150"/>
      <c r="DH35" s="150"/>
      <c r="DI35" s="150"/>
      <c r="DJ35" s="150"/>
      <c r="DK35" s="150"/>
    </row>
    <row r="36" spans="1:115" s="227" customFormat="1" x14ac:dyDescent="0.25">
      <c r="A36" s="257"/>
      <c r="B36" s="257"/>
      <c r="C36" s="585"/>
      <c r="D36" s="560"/>
      <c r="E36" s="537"/>
      <c r="F36" s="253"/>
      <c r="G36" s="541"/>
      <c r="H36" s="536">
        <f t="shared" si="2"/>
        <v>0</v>
      </c>
      <c r="I36" s="537"/>
      <c r="J36" s="253"/>
      <c r="K36" s="541"/>
      <c r="L36" s="536">
        <f t="shared" si="3"/>
        <v>0</v>
      </c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150"/>
      <c r="CA36" s="150"/>
      <c r="CB36" s="150"/>
      <c r="CC36" s="150"/>
      <c r="CD36" s="150"/>
      <c r="CE36" s="150"/>
      <c r="CF36" s="150"/>
      <c r="CG36" s="150"/>
      <c r="CH36" s="150"/>
      <c r="CI36" s="150"/>
      <c r="CJ36" s="150"/>
      <c r="CK36" s="150"/>
      <c r="CL36" s="150"/>
      <c r="CM36" s="150"/>
      <c r="CN36" s="150"/>
      <c r="CO36" s="150"/>
      <c r="CP36" s="150"/>
      <c r="CQ36" s="150"/>
      <c r="CR36" s="150"/>
      <c r="CS36" s="150"/>
      <c r="CT36" s="150"/>
      <c r="CU36" s="150"/>
      <c r="CV36" s="150"/>
      <c r="CW36" s="150"/>
      <c r="CX36" s="150"/>
      <c r="CY36" s="150"/>
      <c r="CZ36" s="150"/>
      <c r="DA36" s="150"/>
      <c r="DB36" s="150"/>
      <c r="DC36" s="150"/>
      <c r="DD36" s="150"/>
      <c r="DE36" s="150"/>
      <c r="DF36" s="150"/>
      <c r="DG36" s="150"/>
      <c r="DH36" s="150"/>
      <c r="DI36" s="150"/>
      <c r="DJ36" s="150"/>
      <c r="DK36" s="150"/>
    </row>
    <row r="37" spans="1:115" s="227" customFormat="1" x14ac:dyDescent="0.25">
      <c r="A37" s="257"/>
      <c r="B37" s="257"/>
      <c r="C37" s="585"/>
      <c r="D37" s="560"/>
      <c r="E37" s="537"/>
      <c r="F37" s="253"/>
      <c r="G37" s="541"/>
      <c r="H37" s="540">
        <f t="shared" si="2"/>
        <v>0</v>
      </c>
      <c r="I37" s="537"/>
      <c r="J37" s="253"/>
      <c r="K37" s="541"/>
      <c r="L37" s="540">
        <f t="shared" si="3"/>
        <v>0</v>
      </c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150"/>
      <c r="CA37" s="150"/>
      <c r="CB37" s="150"/>
      <c r="CC37" s="150"/>
      <c r="CD37" s="150"/>
      <c r="CE37" s="150"/>
      <c r="CF37" s="150"/>
      <c r="CG37" s="150"/>
      <c r="CH37" s="150"/>
      <c r="CI37" s="150"/>
      <c r="CJ37" s="150"/>
      <c r="CK37" s="150"/>
      <c r="CL37" s="150"/>
      <c r="CM37" s="150"/>
      <c r="CN37" s="150"/>
      <c r="CO37" s="150"/>
      <c r="CP37" s="150"/>
      <c r="CQ37" s="150"/>
      <c r="CR37" s="150"/>
      <c r="CS37" s="150"/>
      <c r="CT37" s="150"/>
      <c r="CU37" s="150"/>
      <c r="CV37" s="150"/>
      <c r="CW37" s="150"/>
      <c r="CX37" s="150"/>
      <c r="CY37" s="150"/>
      <c r="CZ37" s="150"/>
      <c r="DA37" s="150"/>
      <c r="DB37" s="150"/>
      <c r="DC37" s="150"/>
      <c r="DD37" s="150"/>
      <c r="DE37" s="150"/>
      <c r="DF37" s="150"/>
      <c r="DG37" s="150"/>
      <c r="DH37" s="150"/>
      <c r="DI37" s="150"/>
      <c r="DJ37" s="150"/>
      <c r="DK37" s="150"/>
    </row>
    <row r="38" spans="1:115" x14ac:dyDescent="0.25">
      <c r="A38" s="258"/>
      <c r="B38" s="258"/>
      <c r="C38" s="584"/>
      <c r="D38" s="559" t="s">
        <v>0</v>
      </c>
      <c r="E38" s="534"/>
      <c r="F38" s="542">
        <f>SUM(F22:F37)</f>
        <v>1500</v>
      </c>
      <c r="G38" s="543">
        <f>H38/F38</f>
        <v>87</v>
      </c>
      <c r="H38" s="544">
        <f>SUM(H22:H37)</f>
        <v>130500</v>
      </c>
      <c r="I38" s="534"/>
      <c r="J38" s="542">
        <f>SUM(J22:J37)</f>
        <v>500</v>
      </c>
      <c r="K38" s="543">
        <f>L38/J38</f>
        <v>87</v>
      </c>
      <c r="L38" s="544">
        <f>SUM(L22:L37)</f>
        <v>43500</v>
      </c>
    </row>
    <row r="39" spans="1:115" x14ac:dyDescent="0.25">
      <c r="A39" s="545"/>
      <c r="B39" s="545"/>
      <c r="C39" s="586"/>
      <c r="D39" s="561"/>
      <c r="E39" s="546"/>
      <c r="F39" s="546"/>
      <c r="G39" s="547"/>
      <c r="H39" s="548"/>
      <c r="I39" s="546"/>
      <c r="J39" s="546"/>
      <c r="K39" s="547"/>
      <c r="L39" s="548"/>
    </row>
    <row r="40" spans="1:115" x14ac:dyDescent="0.25">
      <c r="A40" s="258"/>
      <c r="B40" s="258"/>
      <c r="C40" s="584"/>
      <c r="D40" s="558"/>
      <c r="E40" s="534"/>
      <c r="F40" s="253"/>
      <c r="G40" s="535"/>
      <c r="H40" s="536">
        <f t="shared" ref="H40:H56" si="4">F40*G40</f>
        <v>0</v>
      </c>
      <c r="I40" s="534"/>
      <c r="J40" s="253"/>
      <c r="K40" s="535"/>
      <c r="L40" s="536">
        <f t="shared" ref="L40:L56" si="5">J40*K40</f>
        <v>0</v>
      </c>
    </row>
    <row r="41" spans="1:115" s="227" customFormat="1" x14ac:dyDescent="0.25">
      <c r="A41" s="258" t="s">
        <v>6</v>
      </c>
      <c r="B41" s="258" t="s">
        <v>340</v>
      </c>
      <c r="C41" s="642" t="s">
        <v>357</v>
      </c>
      <c r="D41" s="560">
        <f>D23+1</f>
        <v>45629</v>
      </c>
      <c r="E41" s="537" t="s">
        <v>359</v>
      </c>
      <c r="F41" s="541">
        <v>500</v>
      </c>
      <c r="G41" s="541">
        <v>86</v>
      </c>
      <c r="H41" s="540">
        <f t="shared" si="4"/>
        <v>43000</v>
      </c>
      <c r="I41" s="537"/>
      <c r="J41" s="541"/>
      <c r="K41" s="541"/>
      <c r="L41" s="540">
        <f t="shared" si="5"/>
        <v>0</v>
      </c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0"/>
    </row>
    <row r="42" spans="1:115" s="227" customFormat="1" x14ac:dyDescent="0.25">
      <c r="A42" s="258" t="s">
        <v>6</v>
      </c>
      <c r="B42" s="258" t="s">
        <v>340</v>
      </c>
      <c r="C42" s="642" t="s">
        <v>358</v>
      </c>
      <c r="D42" s="560"/>
      <c r="E42" s="537" t="s">
        <v>360</v>
      </c>
      <c r="F42" s="541">
        <v>500</v>
      </c>
      <c r="G42" s="541">
        <v>85.86</v>
      </c>
      <c r="H42" s="540">
        <f t="shared" si="4"/>
        <v>42930</v>
      </c>
      <c r="I42" s="537"/>
      <c r="J42" s="541"/>
      <c r="K42" s="541"/>
      <c r="L42" s="540">
        <f t="shared" si="5"/>
        <v>0</v>
      </c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  <c r="BD42" s="150"/>
      <c r="BE42" s="150"/>
      <c r="BF42" s="150"/>
      <c r="BG42" s="150"/>
      <c r="BH42" s="150"/>
      <c r="BI42" s="150"/>
      <c r="BJ42" s="150"/>
      <c r="BK42" s="150"/>
      <c r="BL42" s="150"/>
      <c r="BM42" s="150"/>
      <c r="BN42" s="150"/>
      <c r="BO42" s="150"/>
      <c r="BP42" s="150"/>
      <c r="BQ42" s="150"/>
      <c r="BR42" s="150"/>
      <c r="BS42" s="150"/>
      <c r="BT42" s="150"/>
      <c r="BU42" s="150"/>
      <c r="BV42" s="150"/>
      <c r="BW42" s="150"/>
      <c r="BX42" s="150"/>
      <c r="BY42" s="150"/>
      <c r="BZ42" s="150"/>
      <c r="CA42" s="150"/>
      <c r="CB42" s="150"/>
      <c r="CC42" s="150"/>
      <c r="CD42" s="150"/>
      <c r="CE42" s="150"/>
      <c r="CF42" s="150"/>
      <c r="CG42" s="150"/>
      <c r="CH42" s="150"/>
      <c r="CI42" s="150"/>
      <c r="CJ42" s="150"/>
      <c r="CK42" s="150"/>
      <c r="CL42" s="150"/>
      <c r="CM42" s="150"/>
      <c r="CN42" s="150"/>
      <c r="CO42" s="150"/>
      <c r="CP42" s="150"/>
      <c r="CQ42" s="150"/>
      <c r="CR42" s="150"/>
      <c r="CS42" s="150"/>
      <c r="CT42" s="150"/>
      <c r="CU42" s="150"/>
      <c r="CV42" s="150"/>
      <c r="CW42" s="150"/>
      <c r="CX42" s="150"/>
      <c r="CY42" s="150"/>
      <c r="CZ42" s="150"/>
      <c r="DA42" s="150"/>
      <c r="DB42" s="150"/>
      <c r="DC42" s="150"/>
      <c r="DD42" s="150"/>
      <c r="DE42" s="150"/>
      <c r="DF42" s="150"/>
      <c r="DG42" s="150"/>
      <c r="DH42" s="150"/>
      <c r="DI42" s="150"/>
      <c r="DJ42" s="150"/>
      <c r="DK42" s="150"/>
    </row>
    <row r="43" spans="1:115" s="617" customFormat="1" x14ac:dyDescent="0.25">
      <c r="A43" s="610" t="s">
        <v>6</v>
      </c>
      <c r="B43" s="610" t="s">
        <v>346</v>
      </c>
      <c r="C43" s="631" t="s">
        <v>361</v>
      </c>
      <c r="D43" s="612"/>
      <c r="E43" s="613"/>
      <c r="F43" s="615"/>
      <c r="G43" s="615"/>
      <c r="H43" s="630">
        <f t="shared" si="4"/>
        <v>0</v>
      </c>
      <c r="I43" s="613"/>
      <c r="J43" s="615">
        <v>100</v>
      </c>
      <c r="K43" s="615">
        <v>90.55</v>
      </c>
      <c r="L43" s="630">
        <f t="shared" si="5"/>
        <v>9055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</row>
    <row r="44" spans="1:115" s="617" customFormat="1" ht="30" x14ac:dyDescent="0.25">
      <c r="A44" s="610" t="s">
        <v>6</v>
      </c>
      <c r="B44" s="610" t="s">
        <v>346</v>
      </c>
      <c r="C44" s="631" t="s">
        <v>348</v>
      </c>
      <c r="D44" s="612"/>
      <c r="E44" s="613"/>
      <c r="F44" s="615"/>
      <c r="G44" s="615"/>
      <c r="H44" s="630">
        <f t="shared" si="4"/>
        <v>0</v>
      </c>
      <c r="I44" s="613" t="s">
        <v>362</v>
      </c>
      <c r="J44" s="615">
        <v>50</v>
      </c>
      <c r="K44" s="615">
        <v>93.5</v>
      </c>
      <c r="L44" s="630">
        <f t="shared" si="5"/>
        <v>4675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</row>
    <row r="45" spans="1:115" s="617" customFormat="1" ht="30" x14ac:dyDescent="0.25">
      <c r="A45" s="610" t="s">
        <v>6</v>
      </c>
      <c r="B45" s="610" t="s">
        <v>346</v>
      </c>
      <c r="C45" s="631" t="s">
        <v>348</v>
      </c>
      <c r="D45" s="612"/>
      <c r="E45" s="613"/>
      <c r="F45" s="615"/>
      <c r="G45" s="615"/>
      <c r="H45" s="630">
        <f t="shared" si="4"/>
        <v>0</v>
      </c>
      <c r="I45" s="613" t="s">
        <v>363</v>
      </c>
      <c r="J45" s="615">
        <v>50</v>
      </c>
      <c r="K45" s="615">
        <v>93.5</v>
      </c>
      <c r="L45" s="630">
        <f t="shared" si="5"/>
        <v>4675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</row>
    <row r="46" spans="1:115" s="227" customFormat="1" x14ac:dyDescent="0.25">
      <c r="A46" s="258"/>
      <c r="B46" s="258"/>
      <c r="C46" s="584"/>
      <c r="D46" s="560"/>
      <c r="E46" s="537"/>
      <c r="F46" s="541"/>
      <c r="G46" s="541"/>
      <c r="H46" s="540">
        <f t="shared" si="4"/>
        <v>0</v>
      </c>
      <c r="I46" s="537"/>
      <c r="J46" s="541"/>
      <c r="K46" s="541"/>
      <c r="L46" s="630">
        <f t="shared" si="5"/>
        <v>0</v>
      </c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0"/>
      <c r="BD46" s="150"/>
      <c r="BE46" s="150"/>
      <c r="BF46" s="150"/>
      <c r="BG46" s="150"/>
      <c r="BH46" s="150"/>
      <c r="BI46" s="150"/>
      <c r="BJ46" s="150"/>
      <c r="BK46" s="150"/>
      <c r="BL46" s="150"/>
      <c r="BM46" s="150"/>
      <c r="BN46" s="150"/>
      <c r="BO46" s="150"/>
      <c r="BP46" s="150"/>
      <c r="BQ46" s="150"/>
      <c r="BR46" s="150"/>
      <c r="BS46" s="150"/>
      <c r="BT46" s="150"/>
      <c r="BU46" s="150"/>
      <c r="BV46" s="150"/>
      <c r="BW46" s="150"/>
      <c r="BX46" s="150"/>
      <c r="BY46" s="150"/>
      <c r="BZ46" s="150"/>
      <c r="CA46" s="150"/>
      <c r="CB46" s="150"/>
      <c r="CC46" s="150"/>
      <c r="CD46" s="150"/>
      <c r="CE46" s="150"/>
      <c r="CF46" s="150"/>
      <c r="CG46" s="150"/>
      <c r="CH46" s="150"/>
      <c r="CI46" s="150"/>
      <c r="CJ46" s="150"/>
      <c r="CK46" s="150"/>
      <c r="CL46" s="150"/>
      <c r="CM46" s="150"/>
      <c r="CN46" s="150"/>
      <c r="CO46" s="150"/>
      <c r="CP46" s="150"/>
      <c r="CQ46" s="150"/>
      <c r="CR46" s="150"/>
      <c r="CS46" s="150"/>
      <c r="CT46" s="150"/>
      <c r="CU46" s="150"/>
      <c r="CV46" s="150"/>
      <c r="CW46" s="150"/>
      <c r="CX46" s="150"/>
      <c r="CY46" s="150"/>
      <c r="CZ46" s="150"/>
      <c r="DA46" s="150"/>
      <c r="DB46" s="150"/>
      <c r="DC46" s="150"/>
      <c r="DD46" s="150"/>
      <c r="DE46" s="150"/>
      <c r="DF46" s="150"/>
      <c r="DG46" s="150"/>
      <c r="DH46" s="150"/>
      <c r="DI46" s="150"/>
      <c r="DJ46" s="150"/>
      <c r="DK46" s="150"/>
    </row>
    <row r="47" spans="1:115" s="227" customFormat="1" x14ac:dyDescent="0.25">
      <c r="A47" s="258"/>
      <c r="B47" s="258"/>
      <c r="C47" s="584"/>
      <c r="D47" s="560"/>
      <c r="E47" s="537"/>
      <c r="F47" s="541"/>
      <c r="G47" s="541"/>
      <c r="H47" s="540">
        <f t="shared" si="4"/>
        <v>0</v>
      </c>
      <c r="I47" s="537"/>
      <c r="J47" s="541"/>
      <c r="K47" s="541"/>
      <c r="L47" s="630">
        <f t="shared" si="5"/>
        <v>0</v>
      </c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  <c r="BD47" s="150"/>
      <c r="BE47" s="150"/>
      <c r="BF47" s="150"/>
      <c r="BG47" s="150"/>
      <c r="BH47" s="150"/>
      <c r="BI47" s="150"/>
      <c r="BJ47" s="150"/>
      <c r="BK47" s="150"/>
      <c r="BL47" s="150"/>
      <c r="BM47" s="150"/>
      <c r="BN47" s="150"/>
      <c r="BO47" s="150"/>
      <c r="BP47" s="150"/>
      <c r="BQ47" s="150"/>
      <c r="BR47" s="150"/>
      <c r="BS47" s="150"/>
      <c r="BT47" s="150"/>
      <c r="BU47" s="150"/>
      <c r="BV47" s="150"/>
      <c r="BW47" s="150"/>
      <c r="BX47" s="150"/>
      <c r="BY47" s="150"/>
      <c r="BZ47" s="150"/>
      <c r="CA47" s="150"/>
      <c r="CB47" s="150"/>
      <c r="CC47" s="150"/>
      <c r="CD47" s="150"/>
      <c r="CE47" s="150"/>
      <c r="CF47" s="150"/>
      <c r="CG47" s="150"/>
      <c r="CH47" s="150"/>
      <c r="CI47" s="150"/>
      <c r="CJ47" s="150"/>
      <c r="CK47" s="150"/>
      <c r="CL47" s="150"/>
      <c r="CM47" s="150"/>
      <c r="CN47" s="150"/>
      <c r="CO47" s="150"/>
      <c r="CP47" s="150"/>
      <c r="CQ47" s="150"/>
      <c r="CR47" s="150"/>
      <c r="CS47" s="150"/>
      <c r="CT47" s="150"/>
      <c r="CU47" s="150"/>
      <c r="CV47" s="150"/>
      <c r="CW47" s="150"/>
      <c r="CX47" s="150"/>
      <c r="CY47" s="150"/>
      <c r="CZ47" s="150"/>
      <c r="DA47" s="150"/>
      <c r="DB47" s="150"/>
      <c r="DC47" s="150"/>
      <c r="DD47" s="150"/>
      <c r="DE47" s="150"/>
      <c r="DF47" s="150"/>
      <c r="DG47" s="150"/>
      <c r="DH47" s="150"/>
      <c r="DI47" s="150"/>
      <c r="DJ47" s="150"/>
      <c r="DK47" s="150"/>
    </row>
    <row r="48" spans="1:115" s="227" customFormat="1" x14ac:dyDescent="0.25">
      <c r="A48" s="258"/>
      <c r="B48" s="258"/>
      <c r="C48" s="584"/>
      <c r="D48" s="560"/>
      <c r="E48" s="537"/>
      <c r="F48" s="541"/>
      <c r="G48" s="541"/>
      <c r="H48" s="540">
        <f t="shared" si="4"/>
        <v>0</v>
      </c>
      <c r="I48" s="537"/>
      <c r="J48" s="541"/>
      <c r="K48" s="541"/>
      <c r="L48" s="630">
        <f t="shared" si="5"/>
        <v>0</v>
      </c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50"/>
      <c r="CN48" s="150"/>
      <c r="CO48" s="150"/>
      <c r="CP48" s="150"/>
      <c r="CQ48" s="150"/>
      <c r="CR48" s="150"/>
      <c r="CS48" s="150"/>
      <c r="CT48" s="150"/>
      <c r="CU48" s="150"/>
      <c r="CV48" s="150"/>
      <c r="CW48" s="150"/>
      <c r="CX48" s="150"/>
      <c r="CY48" s="150"/>
      <c r="CZ48" s="150"/>
      <c r="DA48" s="150"/>
      <c r="DB48" s="150"/>
      <c r="DC48" s="150"/>
      <c r="DD48" s="150"/>
      <c r="DE48" s="150"/>
      <c r="DF48" s="150"/>
      <c r="DG48" s="150"/>
      <c r="DH48" s="150"/>
      <c r="DI48" s="150"/>
      <c r="DJ48" s="150"/>
      <c r="DK48" s="150"/>
    </row>
    <row r="49" spans="1:115" s="227" customFormat="1" x14ac:dyDescent="0.25">
      <c r="A49" s="258"/>
      <c r="B49" s="258"/>
      <c r="C49" s="584"/>
      <c r="D49" s="560"/>
      <c r="E49" s="537"/>
      <c r="F49" s="541"/>
      <c r="G49" s="541"/>
      <c r="H49" s="540">
        <f t="shared" si="4"/>
        <v>0</v>
      </c>
      <c r="I49" s="537"/>
      <c r="J49" s="541"/>
      <c r="K49" s="541"/>
      <c r="L49" s="540">
        <f t="shared" si="5"/>
        <v>0</v>
      </c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  <c r="BD49" s="150"/>
      <c r="BE49" s="150"/>
      <c r="BF49" s="150"/>
      <c r="BG49" s="150"/>
      <c r="BH49" s="150"/>
      <c r="BI49" s="150"/>
      <c r="BJ49" s="150"/>
      <c r="BK49" s="150"/>
      <c r="BL49" s="150"/>
      <c r="BM49" s="150"/>
      <c r="BN49" s="150"/>
      <c r="BO49" s="150"/>
      <c r="BP49" s="150"/>
      <c r="BQ49" s="150"/>
      <c r="BR49" s="150"/>
      <c r="BS49" s="150"/>
      <c r="BT49" s="150"/>
      <c r="BU49" s="150"/>
      <c r="BV49" s="150"/>
      <c r="BW49" s="150"/>
      <c r="BX49" s="150"/>
      <c r="BY49" s="150"/>
      <c r="BZ49" s="150"/>
      <c r="CA49" s="150"/>
      <c r="CB49" s="150"/>
      <c r="CC49" s="150"/>
      <c r="CD49" s="150"/>
      <c r="CE49" s="150"/>
      <c r="CF49" s="150"/>
      <c r="CG49" s="150"/>
      <c r="CH49" s="150"/>
      <c r="CI49" s="150"/>
      <c r="CJ49" s="150"/>
      <c r="CK49" s="150"/>
      <c r="CL49" s="150"/>
      <c r="CM49" s="150"/>
      <c r="CN49" s="150"/>
      <c r="CO49" s="150"/>
      <c r="CP49" s="150"/>
      <c r="CQ49" s="150"/>
      <c r="CR49" s="150"/>
      <c r="CS49" s="150"/>
      <c r="CT49" s="150"/>
      <c r="CU49" s="150"/>
      <c r="CV49" s="150"/>
      <c r="CW49" s="150"/>
      <c r="CX49" s="150"/>
      <c r="CY49" s="150"/>
      <c r="CZ49" s="150"/>
      <c r="DA49" s="150"/>
      <c r="DB49" s="150"/>
      <c r="DC49" s="150"/>
      <c r="DD49" s="150"/>
      <c r="DE49" s="150"/>
      <c r="DF49" s="150"/>
      <c r="DG49" s="150"/>
      <c r="DH49" s="150"/>
      <c r="DI49" s="150"/>
      <c r="DJ49" s="150"/>
      <c r="DK49" s="150"/>
    </row>
    <row r="50" spans="1:115" s="227" customFormat="1" x14ac:dyDescent="0.25">
      <c r="A50" s="258"/>
      <c r="B50" s="258"/>
      <c r="C50" s="584"/>
      <c r="D50" s="560"/>
      <c r="E50" s="537"/>
      <c r="F50" s="541"/>
      <c r="G50" s="541"/>
      <c r="H50" s="540">
        <f t="shared" si="4"/>
        <v>0</v>
      </c>
      <c r="I50" s="537"/>
      <c r="J50" s="541"/>
      <c r="K50" s="541"/>
      <c r="L50" s="540">
        <f t="shared" si="5"/>
        <v>0</v>
      </c>
      <c r="M50" s="150"/>
      <c r="N50" s="150">
        <v>142000</v>
      </c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  <c r="BD50" s="150"/>
      <c r="BE50" s="150"/>
      <c r="BF50" s="150"/>
      <c r="BG50" s="150"/>
      <c r="BH50" s="150"/>
      <c r="BI50" s="150"/>
      <c r="BJ50" s="150"/>
      <c r="BK50" s="150"/>
      <c r="BL50" s="150"/>
      <c r="BM50" s="150"/>
      <c r="BN50" s="150"/>
      <c r="BO50" s="150"/>
      <c r="BP50" s="150"/>
      <c r="BQ50" s="150"/>
      <c r="BR50" s="150"/>
      <c r="BS50" s="150"/>
      <c r="BT50" s="150"/>
      <c r="BU50" s="150"/>
      <c r="BV50" s="150"/>
      <c r="BW50" s="150"/>
      <c r="BX50" s="150"/>
      <c r="BY50" s="150"/>
      <c r="BZ50" s="150"/>
      <c r="CA50" s="150"/>
      <c r="CB50" s="150"/>
      <c r="CC50" s="150"/>
      <c r="CD50" s="150"/>
      <c r="CE50" s="150"/>
      <c r="CF50" s="150"/>
      <c r="CG50" s="150"/>
      <c r="CH50" s="150"/>
      <c r="CI50" s="150"/>
      <c r="CJ50" s="150"/>
      <c r="CK50" s="150"/>
      <c r="CL50" s="150"/>
      <c r="CM50" s="150"/>
      <c r="CN50" s="150"/>
      <c r="CO50" s="150"/>
      <c r="CP50" s="150"/>
      <c r="CQ50" s="150"/>
      <c r="CR50" s="150"/>
      <c r="CS50" s="150"/>
      <c r="CT50" s="150"/>
      <c r="CU50" s="150"/>
      <c r="CV50" s="150"/>
      <c r="CW50" s="150"/>
      <c r="CX50" s="150"/>
      <c r="CY50" s="150"/>
      <c r="CZ50" s="150"/>
      <c r="DA50" s="150"/>
      <c r="DB50" s="150"/>
      <c r="DC50" s="150"/>
      <c r="DD50" s="150"/>
      <c r="DE50" s="150"/>
      <c r="DF50" s="150"/>
      <c r="DG50" s="150"/>
      <c r="DH50" s="150"/>
      <c r="DI50" s="150"/>
      <c r="DJ50" s="150"/>
      <c r="DK50" s="150"/>
    </row>
    <row r="51" spans="1:115" s="227" customFormat="1" x14ac:dyDescent="0.25">
      <c r="A51" s="258"/>
      <c r="B51" s="258"/>
      <c r="C51" s="584"/>
      <c r="D51" s="560"/>
      <c r="E51" s="537"/>
      <c r="F51" s="541"/>
      <c r="G51" s="541"/>
      <c r="H51" s="540">
        <f t="shared" si="4"/>
        <v>0</v>
      </c>
      <c r="I51" s="537"/>
      <c r="J51" s="541"/>
      <c r="K51" s="541"/>
      <c r="L51" s="540">
        <f t="shared" si="5"/>
        <v>0</v>
      </c>
      <c r="M51" s="150"/>
      <c r="N51" s="150">
        <f>+N50*1.2</f>
        <v>170400</v>
      </c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0"/>
      <c r="BD51" s="150"/>
      <c r="BE51" s="150"/>
      <c r="BF51" s="150"/>
      <c r="BG51" s="150"/>
      <c r="BH51" s="150"/>
      <c r="BI51" s="150"/>
      <c r="BJ51" s="150"/>
      <c r="BK51" s="150"/>
      <c r="BL51" s="150"/>
      <c r="BM51" s="150"/>
      <c r="BN51" s="150"/>
      <c r="BO51" s="150"/>
      <c r="BP51" s="150"/>
      <c r="BQ51" s="150"/>
      <c r="BR51" s="150"/>
      <c r="BS51" s="150"/>
      <c r="BT51" s="150"/>
      <c r="BU51" s="150"/>
      <c r="BV51" s="150"/>
      <c r="BW51" s="150"/>
      <c r="BX51" s="150"/>
      <c r="BY51" s="150"/>
      <c r="BZ51" s="150"/>
      <c r="CA51" s="150"/>
      <c r="CB51" s="150"/>
      <c r="CC51" s="150"/>
      <c r="CD51" s="150"/>
      <c r="CE51" s="150"/>
      <c r="CF51" s="150"/>
      <c r="CG51" s="150"/>
      <c r="CH51" s="150"/>
      <c r="CI51" s="150"/>
      <c r="CJ51" s="150"/>
      <c r="CK51" s="150"/>
      <c r="CL51" s="150"/>
      <c r="CM51" s="150"/>
      <c r="CN51" s="150"/>
      <c r="CO51" s="150"/>
      <c r="CP51" s="150"/>
      <c r="CQ51" s="150"/>
      <c r="CR51" s="150"/>
      <c r="CS51" s="150"/>
      <c r="CT51" s="150"/>
      <c r="CU51" s="150"/>
      <c r="CV51" s="150"/>
      <c r="CW51" s="150"/>
      <c r="CX51" s="150"/>
      <c r="CY51" s="150"/>
      <c r="CZ51" s="150"/>
      <c r="DA51" s="150"/>
      <c r="DB51" s="150"/>
      <c r="DC51" s="150"/>
      <c r="DD51" s="150"/>
      <c r="DE51" s="150"/>
      <c r="DF51" s="150"/>
      <c r="DG51" s="150"/>
      <c r="DH51" s="150"/>
      <c r="DI51" s="150"/>
      <c r="DJ51" s="150"/>
      <c r="DK51" s="150"/>
    </row>
    <row r="52" spans="1:115" s="227" customFormat="1" x14ac:dyDescent="0.25">
      <c r="A52" s="258"/>
      <c r="B52" s="258"/>
      <c r="C52" s="584"/>
      <c r="D52" s="560"/>
      <c r="E52" s="537"/>
      <c r="F52" s="541"/>
      <c r="G52" s="541"/>
      <c r="H52" s="540">
        <f t="shared" si="4"/>
        <v>0</v>
      </c>
      <c r="I52" s="537"/>
      <c r="J52" s="541"/>
      <c r="K52" s="541"/>
      <c r="L52" s="540">
        <f t="shared" si="5"/>
        <v>0</v>
      </c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50"/>
      <c r="DJ52" s="150"/>
      <c r="DK52" s="150"/>
    </row>
    <row r="53" spans="1:115" s="227" customFormat="1" x14ac:dyDescent="0.25">
      <c r="A53" s="258"/>
      <c r="B53" s="258"/>
      <c r="C53" s="584"/>
      <c r="D53" s="560"/>
      <c r="E53" s="537"/>
      <c r="F53" s="541"/>
      <c r="G53" s="541"/>
      <c r="H53" s="540">
        <f t="shared" si="4"/>
        <v>0</v>
      </c>
      <c r="I53" s="537"/>
      <c r="J53" s="541"/>
      <c r="K53" s="541"/>
      <c r="L53" s="540">
        <f t="shared" si="5"/>
        <v>0</v>
      </c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0"/>
      <c r="CN53" s="150"/>
      <c r="CO53" s="150"/>
      <c r="CP53" s="150"/>
      <c r="CQ53" s="150"/>
      <c r="CR53" s="150"/>
      <c r="CS53" s="150"/>
      <c r="CT53" s="150"/>
      <c r="CU53" s="150"/>
      <c r="CV53" s="150"/>
      <c r="CW53" s="150"/>
      <c r="CX53" s="150"/>
      <c r="CY53" s="150"/>
      <c r="CZ53" s="150"/>
      <c r="DA53" s="150"/>
      <c r="DB53" s="150"/>
      <c r="DC53" s="150"/>
      <c r="DD53" s="150"/>
      <c r="DE53" s="150"/>
      <c r="DF53" s="150"/>
      <c r="DG53" s="150"/>
      <c r="DH53" s="150"/>
      <c r="DI53" s="150"/>
      <c r="DJ53" s="150"/>
      <c r="DK53" s="150"/>
    </row>
    <row r="54" spans="1:115" s="227" customFormat="1" x14ac:dyDescent="0.25">
      <c r="A54" s="258"/>
      <c r="B54" s="258"/>
      <c r="C54" s="584"/>
      <c r="D54" s="560"/>
      <c r="E54" s="537"/>
      <c r="F54" s="541"/>
      <c r="G54" s="541"/>
      <c r="H54" s="540">
        <f t="shared" si="4"/>
        <v>0</v>
      </c>
      <c r="I54" s="537"/>
      <c r="J54" s="541"/>
      <c r="K54" s="541"/>
      <c r="L54" s="540">
        <f t="shared" si="5"/>
        <v>0</v>
      </c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  <c r="BD54" s="150"/>
      <c r="BE54" s="150"/>
      <c r="BF54" s="150"/>
      <c r="BG54" s="150"/>
      <c r="BH54" s="150"/>
      <c r="BI54" s="150"/>
      <c r="BJ54" s="150"/>
      <c r="BK54" s="150"/>
      <c r="BL54" s="150"/>
      <c r="BM54" s="150"/>
      <c r="BN54" s="150"/>
      <c r="BO54" s="150"/>
      <c r="BP54" s="150"/>
      <c r="BQ54" s="150"/>
      <c r="BR54" s="150"/>
      <c r="BS54" s="150"/>
      <c r="BT54" s="150"/>
      <c r="BU54" s="150"/>
      <c r="BV54" s="150"/>
      <c r="BW54" s="150"/>
      <c r="BX54" s="150"/>
      <c r="BY54" s="150"/>
      <c r="BZ54" s="150"/>
      <c r="CA54" s="150"/>
      <c r="CB54" s="150"/>
      <c r="CC54" s="150"/>
      <c r="CD54" s="150"/>
      <c r="CE54" s="150"/>
      <c r="CF54" s="150"/>
      <c r="CG54" s="150"/>
      <c r="CH54" s="150"/>
      <c r="CI54" s="150"/>
      <c r="CJ54" s="150"/>
      <c r="CK54" s="150"/>
      <c r="CL54" s="150"/>
      <c r="CM54" s="150"/>
      <c r="CN54" s="150"/>
      <c r="CO54" s="150"/>
      <c r="CP54" s="150"/>
      <c r="CQ54" s="150"/>
      <c r="CR54" s="150"/>
      <c r="CS54" s="150"/>
      <c r="CT54" s="150"/>
      <c r="CU54" s="150"/>
      <c r="CV54" s="150"/>
      <c r="CW54" s="150"/>
      <c r="CX54" s="150"/>
      <c r="CY54" s="150"/>
      <c r="CZ54" s="150"/>
      <c r="DA54" s="150"/>
      <c r="DB54" s="150"/>
      <c r="DC54" s="150"/>
      <c r="DD54" s="150"/>
      <c r="DE54" s="150"/>
      <c r="DF54" s="150"/>
      <c r="DG54" s="150"/>
      <c r="DH54" s="150"/>
      <c r="DI54" s="150"/>
      <c r="DJ54" s="150"/>
      <c r="DK54" s="150"/>
    </row>
    <row r="55" spans="1:115" x14ac:dyDescent="0.25">
      <c r="A55" s="258"/>
      <c r="B55" s="258"/>
      <c r="C55" s="584"/>
      <c r="D55" s="559"/>
      <c r="E55" s="534"/>
      <c r="F55" s="262"/>
      <c r="G55" s="262"/>
      <c r="H55" s="536">
        <f t="shared" si="4"/>
        <v>0</v>
      </c>
      <c r="I55" s="534"/>
      <c r="J55" s="262"/>
      <c r="K55" s="262"/>
      <c r="L55" s="536">
        <f t="shared" si="5"/>
        <v>0</v>
      </c>
    </row>
    <row r="56" spans="1:115" x14ac:dyDescent="0.25">
      <c r="A56" s="258"/>
      <c r="B56" s="258"/>
      <c r="C56" s="584"/>
      <c r="D56" s="558"/>
      <c r="E56" s="534"/>
      <c r="F56" s="253"/>
      <c r="G56" s="535"/>
      <c r="H56" s="536">
        <f t="shared" si="4"/>
        <v>0</v>
      </c>
      <c r="I56" s="534"/>
      <c r="J56" s="253"/>
      <c r="K56" s="535"/>
      <c r="L56" s="536">
        <f t="shared" si="5"/>
        <v>0</v>
      </c>
    </row>
    <row r="57" spans="1:115" x14ac:dyDescent="0.25">
      <c r="A57" s="258"/>
      <c r="B57" s="258"/>
      <c r="C57" s="584"/>
      <c r="D57" s="559" t="s">
        <v>0</v>
      </c>
      <c r="E57" s="534"/>
      <c r="F57" s="542">
        <f>SUM(F40:F56)</f>
        <v>1000</v>
      </c>
      <c r="G57" s="543">
        <f>H57/F57</f>
        <v>85.93</v>
      </c>
      <c r="H57" s="544">
        <f>SUM(H40:H56)</f>
        <v>85930</v>
      </c>
      <c r="I57" s="534"/>
      <c r="J57" s="542">
        <f>SUM(J40:J56)</f>
        <v>200</v>
      </c>
      <c r="K57" s="543">
        <f>L57/J57</f>
        <v>92.025000000000006</v>
      </c>
      <c r="L57" s="544">
        <f>SUM(L40:L56)</f>
        <v>18405</v>
      </c>
    </row>
    <row r="58" spans="1:115" x14ac:dyDescent="0.25">
      <c r="A58" s="545"/>
      <c r="B58" s="545"/>
      <c r="C58" s="586"/>
      <c r="D58" s="561"/>
      <c r="E58" s="546"/>
      <c r="F58" s="546"/>
      <c r="G58" s="547"/>
      <c r="H58" s="548"/>
      <c r="I58" s="546"/>
      <c r="J58" s="546"/>
      <c r="K58" s="547"/>
      <c r="L58" s="548"/>
    </row>
    <row r="59" spans="1:115" x14ac:dyDescent="0.25">
      <c r="A59" s="258"/>
      <c r="B59" s="258"/>
      <c r="C59" s="584"/>
      <c r="D59" s="558"/>
      <c r="E59" s="534"/>
      <c r="F59" s="253"/>
      <c r="G59" s="535"/>
      <c r="H59" s="536">
        <f>F59*G59</f>
        <v>0</v>
      </c>
      <c r="I59" s="534"/>
      <c r="J59" s="253"/>
      <c r="K59" s="535"/>
      <c r="L59" s="536">
        <f>J59*K59</f>
        <v>0</v>
      </c>
    </row>
    <row r="60" spans="1:115" x14ac:dyDescent="0.25">
      <c r="A60" s="258" t="s">
        <v>6</v>
      </c>
      <c r="B60" s="258" t="s">
        <v>340</v>
      </c>
      <c r="C60" s="584" t="s">
        <v>341</v>
      </c>
      <c r="D60" s="559">
        <f>D41+1</f>
        <v>45630</v>
      </c>
      <c r="E60" s="534"/>
      <c r="F60" s="262">
        <v>300</v>
      </c>
      <c r="G60" s="535">
        <v>87.05</v>
      </c>
      <c r="H60" s="536">
        <f>F60*G60</f>
        <v>26115</v>
      </c>
      <c r="I60" s="534"/>
      <c r="J60" s="262"/>
      <c r="K60" s="535"/>
      <c r="L60" s="536">
        <f>J60*K60</f>
        <v>0</v>
      </c>
    </row>
    <row r="61" spans="1:115" s="227" customFormat="1" x14ac:dyDescent="0.25">
      <c r="A61" s="258" t="s">
        <v>6</v>
      </c>
      <c r="B61" s="258" t="s">
        <v>340</v>
      </c>
      <c r="C61" s="584" t="s">
        <v>341</v>
      </c>
      <c r="D61" s="560"/>
      <c r="E61" s="537"/>
      <c r="F61" s="541">
        <v>500</v>
      </c>
      <c r="G61" s="541">
        <v>88</v>
      </c>
      <c r="H61" s="540">
        <f t="shared" ref="H61:H79" si="6">F61*G61</f>
        <v>44000</v>
      </c>
      <c r="I61" s="537"/>
      <c r="J61" s="541"/>
      <c r="K61" s="541"/>
      <c r="L61" s="540">
        <f t="shared" ref="L61:L72" si="7">J61*K61</f>
        <v>0</v>
      </c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  <c r="BD61" s="150"/>
      <c r="BE61" s="150"/>
      <c r="BF61" s="150"/>
      <c r="BG61" s="150"/>
      <c r="BH61" s="150"/>
      <c r="BI61" s="150"/>
      <c r="BJ61" s="150"/>
      <c r="BK61" s="150"/>
      <c r="BL61" s="150"/>
      <c r="BM61" s="150"/>
      <c r="BN61" s="150"/>
      <c r="BO61" s="150"/>
      <c r="BP61" s="150"/>
      <c r="BQ61" s="150"/>
      <c r="BR61" s="150"/>
      <c r="BS61" s="150"/>
      <c r="BT61" s="150"/>
      <c r="BU61" s="150"/>
      <c r="BV61" s="150"/>
      <c r="BW61" s="150"/>
      <c r="BX61" s="150"/>
      <c r="BY61" s="150"/>
      <c r="BZ61" s="150"/>
      <c r="CA61" s="150"/>
      <c r="CB61" s="150"/>
      <c r="CC61" s="150"/>
      <c r="CD61" s="150"/>
      <c r="CE61" s="150"/>
      <c r="CF61" s="150"/>
      <c r="CG61" s="150"/>
      <c r="CH61" s="150"/>
      <c r="CI61" s="150"/>
      <c r="CJ61" s="150"/>
      <c r="CK61" s="150"/>
      <c r="CL61" s="150"/>
      <c r="CM61" s="150"/>
      <c r="CN61" s="150"/>
      <c r="CO61" s="150"/>
      <c r="CP61" s="150"/>
      <c r="CQ61" s="150"/>
      <c r="CR61" s="150"/>
      <c r="CS61" s="150"/>
      <c r="CT61" s="150"/>
      <c r="CU61" s="150"/>
      <c r="CV61" s="150"/>
      <c r="CW61" s="150"/>
      <c r="CX61" s="150"/>
      <c r="CY61" s="150"/>
      <c r="CZ61" s="150"/>
      <c r="DA61" s="150"/>
      <c r="DB61" s="150"/>
      <c r="DC61" s="150"/>
      <c r="DD61" s="150"/>
      <c r="DE61" s="150"/>
      <c r="DF61" s="150"/>
      <c r="DG61" s="150"/>
      <c r="DH61" s="150"/>
      <c r="DI61" s="150"/>
      <c r="DJ61" s="150"/>
      <c r="DK61" s="150"/>
    </row>
    <row r="62" spans="1:115" s="227" customFormat="1" x14ac:dyDescent="0.25">
      <c r="A62" s="258" t="s">
        <v>6</v>
      </c>
      <c r="B62" s="258" t="s">
        <v>340</v>
      </c>
      <c r="C62" s="584" t="s">
        <v>350</v>
      </c>
      <c r="D62" s="560"/>
      <c r="E62" s="537"/>
      <c r="F62" s="541">
        <v>200</v>
      </c>
      <c r="G62" s="541">
        <v>88.5</v>
      </c>
      <c r="H62" s="540">
        <f t="shared" si="6"/>
        <v>17700</v>
      </c>
      <c r="I62" s="537"/>
      <c r="J62" s="541"/>
      <c r="K62" s="541"/>
      <c r="L62" s="540">
        <f t="shared" si="7"/>
        <v>0</v>
      </c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  <c r="BD62" s="150"/>
      <c r="BE62" s="150"/>
      <c r="BF62" s="150"/>
      <c r="BG62" s="150"/>
      <c r="BH62" s="150"/>
      <c r="BI62" s="150"/>
      <c r="BJ62" s="150"/>
      <c r="BK62" s="150"/>
      <c r="BL62" s="150"/>
      <c r="BM62" s="150"/>
      <c r="BN62" s="150"/>
      <c r="BO62" s="150"/>
      <c r="BP62" s="150"/>
      <c r="BQ62" s="150"/>
      <c r="BR62" s="150"/>
      <c r="BS62" s="150"/>
      <c r="BT62" s="150"/>
      <c r="BU62" s="150"/>
      <c r="BV62" s="150"/>
      <c r="BW62" s="150"/>
      <c r="BX62" s="150"/>
      <c r="BY62" s="150"/>
      <c r="BZ62" s="150"/>
      <c r="CA62" s="150"/>
      <c r="CB62" s="150"/>
      <c r="CC62" s="150"/>
      <c r="CD62" s="150"/>
      <c r="CE62" s="150"/>
      <c r="CF62" s="150"/>
      <c r="CG62" s="150"/>
      <c r="CH62" s="150"/>
      <c r="CI62" s="150"/>
      <c r="CJ62" s="150"/>
      <c r="CK62" s="150"/>
      <c r="CL62" s="150"/>
      <c r="CM62" s="150"/>
      <c r="CN62" s="150"/>
      <c r="CO62" s="150"/>
      <c r="CP62" s="150"/>
      <c r="CQ62" s="150"/>
      <c r="CR62" s="150"/>
      <c r="CS62" s="150"/>
      <c r="CT62" s="150"/>
      <c r="CU62" s="150"/>
      <c r="CV62" s="150"/>
      <c r="CW62" s="150"/>
      <c r="CX62" s="150"/>
      <c r="CY62" s="150"/>
      <c r="CZ62" s="150"/>
      <c r="DA62" s="150"/>
      <c r="DB62" s="150"/>
      <c r="DC62" s="150"/>
      <c r="DD62" s="150"/>
      <c r="DE62" s="150"/>
      <c r="DF62" s="150"/>
      <c r="DG62" s="150"/>
      <c r="DH62" s="150"/>
      <c r="DI62" s="150"/>
      <c r="DJ62" s="150"/>
      <c r="DK62" s="150"/>
    </row>
    <row r="63" spans="1:115" s="617" customFormat="1" x14ac:dyDescent="0.25">
      <c r="A63" s="610" t="s">
        <v>6</v>
      </c>
      <c r="B63" s="610" t="s">
        <v>346</v>
      </c>
      <c r="C63" s="631" t="s">
        <v>364</v>
      </c>
      <c r="D63" s="612"/>
      <c r="E63" s="613"/>
      <c r="F63" s="615"/>
      <c r="G63" s="615"/>
      <c r="H63" s="630">
        <f t="shared" si="6"/>
        <v>0</v>
      </c>
      <c r="I63" s="613"/>
      <c r="J63" s="615">
        <v>100</v>
      </c>
      <c r="K63" s="615">
        <v>97.4</v>
      </c>
      <c r="L63" s="630">
        <f t="shared" si="7"/>
        <v>9740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</row>
    <row r="64" spans="1:115" s="227" customFormat="1" x14ac:dyDescent="0.25">
      <c r="A64" s="258"/>
      <c r="B64" s="258"/>
      <c r="C64" s="584"/>
      <c r="D64" s="560"/>
      <c r="E64" s="537"/>
      <c r="F64" s="541"/>
      <c r="G64" s="541"/>
      <c r="H64" s="540">
        <f t="shared" si="6"/>
        <v>0</v>
      </c>
      <c r="I64" s="537"/>
      <c r="J64" s="541"/>
      <c r="K64" s="541"/>
      <c r="L64" s="540">
        <f t="shared" si="7"/>
        <v>0</v>
      </c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0"/>
      <c r="BY64" s="150"/>
      <c r="BZ64" s="150"/>
      <c r="CA64" s="150"/>
      <c r="CB64" s="150"/>
      <c r="CC64" s="150"/>
      <c r="CD64" s="150"/>
      <c r="CE64" s="150"/>
      <c r="CF64" s="150"/>
      <c r="CG64" s="150"/>
      <c r="CH64" s="150"/>
      <c r="CI64" s="150"/>
      <c r="CJ64" s="150"/>
      <c r="CK64" s="150"/>
      <c r="CL64" s="150"/>
      <c r="CM64" s="150"/>
      <c r="CN64" s="150"/>
      <c r="CO64" s="150"/>
      <c r="CP64" s="150"/>
      <c r="CQ64" s="150"/>
      <c r="CR64" s="150"/>
      <c r="CS64" s="150"/>
      <c r="CT64" s="150"/>
      <c r="CU64" s="150"/>
      <c r="CV64" s="150"/>
      <c r="CW64" s="150"/>
      <c r="CX64" s="150"/>
      <c r="CY64" s="150"/>
      <c r="CZ64" s="150"/>
      <c r="DA64" s="150"/>
      <c r="DB64" s="150"/>
      <c r="DC64" s="150"/>
      <c r="DD64" s="150"/>
      <c r="DE64" s="150"/>
      <c r="DF64" s="150"/>
      <c r="DG64" s="150"/>
      <c r="DH64" s="150"/>
      <c r="DI64" s="150"/>
      <c r="DJ64" s="150"/>
      <c r="DK64" s="150"/>
    </row>
    <row r="65" spans="1:115" s="227" customFormat="1" x14ac:dyDescent="0.25">
      <c r="A65" s="258"/>
      <c r="B65" s="258"/>
      <c r="C65" s="584"/>
      <c r="D65" s="560"/>
      <c r="E65" s="537"/>
      <c r="F65" s="541"/>
      <c r="G65" s="541"/>
      <c r="H65" s="540">
        <f t="shared" si="6"/>
        <v>0</v>
      </c>
      <c r="I65" s="537"/>
      <c r="J65" s="541"/>
      <c r="K65" s="541"/>
      <c r="L65" s="540">
        <f t="shared" si="7"/>
        <v>0</v>
      </c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0"/>
      <c r="BY65" s="150"/>
      <c r="BZ65" s="150"/>
      <c r="CA65" s="150"/>
      <c r="CB65" s="150"/>
      <c r="CC65" s="150"/>
      <c r="CD65" s="150"/>
      <c r="CE65" s="150"/>
      <c r="CF65" s="150"/>
      <c r="CG65" s="150"/>
      <c r="CH65" s="150"/>
      <c r="CI65" s="150"/>
      <c r="CJ65" s="150"/>
      <c r="CK65" s="150"/>
      <c r="CL65" s="150"/>
      <c r="CM65" s="150"/>
      <c r="CN65" s="150"/>
      <c r="CO65" s="150"/>
      <c r="CP65" s="150"/>
      <c r="CQ65" s="150"/>
      <c r="CR65" s="150"/>
      <c r="CS65" s="150"/>
      <c r="CT65" s="150"/>
      <c r="CU65" s="150"/>
      <c r="CV65" s="150"/>
      <c r="CW65" s="150"/>
      <c r="CX65" s="150"/>
      <c r="CY65" s="150"/>
      <c r="CZ65" s="150"/>
      <c r="DA65" s="150"/>
      <c r="DB65" s="150"/>
      <c r="DC65" s="150"/>
      <c r="DD65" s="150"/>
      <c r="DE65" s="150"/>
      <c r="DF65" s="150"/>
      <c r="DG65" s="150"/>
      <c r="DH65" s="150"/>
      <c r="DI65" s="150"/>
      <c r="DJ65" s="150"/>
      <c r="DK65" s="150"/>
    </row>
    <row r="66" spans="1:115" s="227" customFormat="1" x14ac:dyDescent="0.25">
      <c r="A66" s="258"/>
      <c r="B66" s="258"/>
      <c r="C66" s="584"/>
      <c r="D66" s="560"/>
      <c r="E66" s="537"/>
      <c r="F66" s="541"/>
      <c r="G66" s="541"/>
      <c r="H66" s="540">
        <f t="shared" si="6"/>
        <v>0</v>
      </c>
      <c r="I66" s="537"/>
      <c r="J66" s="541"/>
      <c r="K66" s="541"/>
      <c r="L66" s="540">
        <f t="shared" si="7"/>
        <v>0</v>
      </c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  <c r="CT66" s="150"/>
      <c r="CU66" s="150"/>
      <c r="CV66" s="150"/>
      <c r="CW66" s="150"/>
      <c r="CX66" s="150"/>
      <c r="CY66" s="150"/>
      <c r="CZ66" s="150"/>
      <c r="DA66" s="150"/>
      <c r="DB66" s="150"/>
      <c r="DC66" s="150"/>
      <c r="DD66" s="150"/>
      <c r="DE66" s="150"/>
      <c r="DF66" s="150"/>
      <c r="DG66" s="150"/>
      <c r="DH66" s="150"/>
      <c r="DI66" s="150"/>
      <c r="DJ66" s="150"/>
      <c r="DK66" s="150"/>
    </row>
    <row r="67" spans="1:115" s="227" customFormat="1" x14ac:dyDescent="0.25">
      <c r="A67" s="258"/>
      <c r="B67" s="258"/>
      <c r="C67" s="584"/>
      <c r="D67" s="560"/>
      <c r="E67" s="537"/>
      <c r="F67" s="541"/>
      <c r="G67" s="541"/>
      <c r="H67" s="540">
        <f t="shared" si="6"/>
        <v>0</v>
      </c>
      <c r="I67" s="537"/>
      <c r="J67" s="541"/>
      <c r="K67" s="541"/>
      <c r="L67" s="540">
        <f t="shared" si="7"/>
        <v>0</v>
      </c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  <c r="BM67" s="150"/>
      <c r="BN67" s="150"/>
      <c r="BO67" s="150"/>
      <c r="BP67" s="150"/>
      <c r="BQ67" s="150"/>
      <c r="BR67" s="150"/>
      <c r="BS67" s="150"/>
      <c r="BT67" s="150"/>
      <c r="BU67" s="150"/>
      <c r="BV67" s="150"/>
      <c r="BW67" s="150"/>
      <c r="BX67" s="150"/>
      <c r="BY67" s="150"/>
      <c r="BZ67" s="150"/>
      <c r="CA67" s="150"/>
      <c r="CB67" s="150"/>
      <c r="CC67" s="150"/>
      <c r="CD67" s="150"/>
      <c r="CE67" s="150"/>
      <c r="CF67" s="150"/>
      <c r="CG67" s="150"/>
      <c r="CH67" s="150"/>
      <c r="CI67" s="150"/>
      <c r="CJ67" s="150"/>
      <c r="CK67" s="150"/>
      <c r="CL67" s="150"/>
      <c r="CM67" s="150"/>
      <c r="CN67" s="150"/>
      <c r="CO67" s="150"/>
      <c r="CP67" s="150"/>
      <c r="CQ67" s="150"/>
      <c r="CR67" s="150"/>
      <c r="CS67" s="150"/>
      <c r="CT67" s="150"/>
      <c r="CU67" s="150"/>
      <c r="CV67" s="150"/>
      <c r="CW67" s="150"/>
      <c r="CX67" s="150"/>
      <c r="CY67" s="150"/>
      <c r="CZ67" s="150"/>
      <c r="DA67" s="150"/>
      <c r="DB67" s="150"/>
      <c r="DC67" s="150"/>
      <c r="DD67" s="150"/>
      <c r="DE67" s="150"/>
      <c r="DF67" s="150"/>
      <c r="DG67" s="150"/>
      <c r="DH67" s="150"/>
      <c r="DI67" s="150"/>
      <c r="DJ67" s="150"/>
      <c r="DK67" s="150"/>
    </row>
    <row r="68" spans="1:115" s="227" customFormat="1" x14ac:dyDescent="0.25">
      <c r="A68" s="258"/>
      <c r="B68" s="258"/>
      <c r="C68" s="584"/>
      <c r="D68" s="560"/>
      <c r="E68" s="537"/>
      <c r="F68" s="541"/>
      <c r="G68" s="541"/>
      <c r="H68" s="540">
        <f t="shared" si="6"/>
        <v>0</v>
      </c>
      <c r="I68" s="537"/>
      <c r="J68" s="541"/>
      <c r="K68" s="541"/>
      <c r="L68" s="540">
        <f t="shared" si="7"/>
        <v>0</v>
      </c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0"/>
      <c r="CY68" s="150"/>
      <c r="CZ68" s="150"/>
      <c r="DA68" s="150"/>
      <c r="DB68" s="150"/>
      <c r="DC68" s="150"/>
      <c r="DD68" s="150"/>
      <c r="DE68" s="150"/>
      <c r="DF68" s="150"/>
      <c r="DG68" s="150"/>
      <c r="DH68" s="150"/>
      <c r="DI68" s="150"/>
      <c r="DJ68" s="150"/>
      <c r="DK68" s="150"/>
    </row>
    <row r="69" spans="1:115" s="227" customFormat="1" x14ac:dyDescent="0.25">
      <c r="A69" s="258"/>
      <c r="B69" s="258"/>
      <c r="C69" s="584"/>
      <c r="D69" s="560"/>
      <c r="E69" s="537"/>
      <c r="F69" s="541"/>
      <c r="G69" s="541"/>
      <c r="H69" s="540">
        <f t="shared" si="6"/>
        <v>0</v>
      </c>
      <c r="I69" s="537"/>
      <c r="J69" s="541"/>
      <c r="K69" s="541"/>
      <c r="L69" s="540">
        <f t="shared" si="7"/>
        <v>0</v>
      </c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  <c r="BM69" s="150"/>
      <c r="BN69" s="150"/>
      <c r="BO69" s="150"/>
      <c r="BP69" s="150"/>
      <c r="BQ69" s="150"/>
      <c r="BR69" s="150"/>
      <c r="BS69" s="150"/>
      <c r="BT69" s="150"/>
      <c r="BU69" s="150"/>
      <c r="BV69" s="150"/>
      <c r="BW69" s="150"/>
      <c r="BX69" s="150"/>
      <c r="BY69" s="150"/>
      <c r="BZ69" s="150"/>
      <c r="CA69" s="150"/>
      <c r="CB69" s="150"/>
      <c r="CC69" s="150"/>
      <c r="CD69" s="150"/>
      <c r="CE69" s="150"/>
      <c r="CF69" s="150"/>
      <c r="CG69" s="150"/>
      <c r="CH69" s="150"/>
      <c r="CI69" s="150"/>
      <c r="CJ69" s="150"/>
      <c r="CK69" s="150"/>
      <c r="CL69" s="150"/>
      <c r="CM69" s="150"/>
      <c r="CN69" s="150"/>
      <c r="CO69" s="150"/>
      <c r="CP69" s="150"/>
      <c r="CQ69" s="150"/>
      <c r="CR69" s="150"/>
      <c r="CS69" s="150"/>
      <c r="CT69" s="150"/>
      <c r="CU69" s="150"/>
      <c r="CV69" s="150"/>
      <c r="CW69" s="150"/>
      <c r="CX69" s="150"/>
      <c r="CY69" s="150"/>
      <c r="CZ69" s="150"/>
      <c r="DA69" s="150"/>
      <c r="DB69" s="150"/>
      <c r="DC69" s="150"/>
      <c r="DD69" s="150"/>
      <c r="DE69" s="150"/>
      <c r="DF69" s="150"/>
      <c r="DG69" s="150"/>
      <c r="DH69" s="150"/>
      <c r="DI69" s="150"/>
      <c r="DJ69" s="150"/>
      <c r="DK69" s="150"/>
    </row>
    <row r="70" spans="1:115" s="227" customFormat="1" x14ac:dyDescent="0.25">
      <c r="A70" s="258"/>
      <c r="B70" s="258"/>
      <c r="C70" s="584"/>
      <c r="D70" s="560"/>
      <c r="E70" s="537"/>
      <c r="F70" s="541"/>
      <c r="G70" s="541"/>
      <c r="H70" s="540">
        <f t="shared" si="6"/>
        <v>0</v>
      </c>
      <c r="I70" s="537"/>
      <c r="J70" s="541"/>
      <c r="K70" s="541"/>
      <c r="L70" s="540">
        <f t="shared" si="7"/>
        <v>0</v>
      </c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  <c r="BM70" s="150"/>
      <c r="BN70" s="150"/>
      <c r="BO70" s="150"/>
      <c r="BP70" s="150"/>
      <c r="BQ70" s="150"/>
      <c r="BR70" s="150"/>
      <c r="BS70" s="150"/>
      <c r="BT70" s="150"/>
      <c r="BU70" s="150"/>
      <c r="BV70" s="150"/>
      <c r="BW70" s="150"/>
      <c r="BX70" s="150"/>
      <c r="BY70" s="150"/>
      <c r="BZ70" s="150"/>
      <c r="CA70" s="150"/>
      <c r="CB70" s="150"/>
      <c r="CC70" s="150"/>
      <c r="CD70" s="150"/>
      <c r="CE70" s="150"/>
      <c r="CF70" s="150"/>
      <c r="CG70" s="150"/>
      <c r="CH70" s="150"/>
      <c r="CI70" s="150"/>
      <c r="CJ70" s="150"/>
      <c r="CK70" s="150"/>
      <c r="CL70" s="150"/>
      <c r="CM70" s="150"/>
      <c r="CN70" s="150"/>
      <c r="CO70" s="150"/>
      <c r="CP70" s="150"/>
      <c r="CQ70" s="150"/>
      <c r="CR70" s="150"/>
      <c r="CS70" s="150"/>
      <c r="CT70" s="150"/>
      <c r="CU70" s="150"/>
      <c r="CV70" s="150"/>
      <c r="CW70" s="150"/>
      <c r="CX70" s="150"/>
      <c r="CY70" s="150"/>
      <c r="CZ70" s="150"/>
      <c r="DA70" s="150"/>
      <c r="DB70" s="150"/>
      <c r="DC70" s="150"/>
      <c r="DD70" s="150"/>
      <c r="DE70" s="150"/>
      <c r="DF70" s="150"/>
      <c r="DG70" s="150"/>
      <c r="DH70" s="150"/>
      <c r="DI70" s="150"/>
      <c r="DJ70" s="150"/>
      <c r="DK70" s="150"/>
    </row>
    <row r="71" spans="1:115" s="227" customFormat="1" x14ac:dyDescent="0.25">
      <c r="A71" s="258"/>
      <c r="B71" s="258"/>
      <c r="C71" s="584"/>
      <c r="D71" s="560"/>
      <c r="E71" s="537"/>
      <c r="F71" s="541"/>
      <c r="G71" s="541"/>
      <c r="H71" s="540">
        <f t="shared" si="6"/>
        <v>0</v>
      </c>
      <c r="I71" s="537"/>
      <c r="J71" s="541"/>
      <c r="K71" s="541"/>
      <c r="L71" s="540">
        <f t="shared" si="7"/>
        <v>0</v>
      </c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0"/>
      <c r="CY71" s="150"/>
      <c r="CZ71" s="150"/>
      <c r="DA71" s="150"/>
      <c r="DB71" s="150"/>
      <c r="DC71" s="150"/>
      <c r="DD71" s="150"/>
      <c r="DE71" s="150"/>
      <c r="DF71" s="150"/>
      <c r="DG71" s="150"/>
      <c r="DH71" s="150"/>
      <c r="DI71" s="150"/>
      <c r="DJ71" s="150"/>
      <c r="DK71" s="150"/>
    </row>
    <row r="72" spans="1:115" x14ac:dyDescent="0.25">
      <c r="A72" s="258"/>
      <c r="B72" s="258"/>
      <c r="C72" s="584"/>
      <c r="D72" s="559"/>
      <c r="E72" s="534"/>
      <c r="F72" s="262"/>
      <c r="G72" s="262"/>
      <c r="H72" s="540">
        <f t="shared" si="6"/>
        <v>0</v>
      </c>
      <c r="I72" s="534"/>
      <c r="J72" s="262"/>
      <c r="K72" s="262"/>
      <c r="L72" s="540">
        <f t="shared" si="7"/>
        <v>0</v>
      </c>
    </row>
    <row r="73" spans="1:115" s="227" customFormat="1" x14ac:dyDescent="0.25">
      <c r="A73" s="258"/>
      <c r="B73" s="258"/>
      <c r="C73" s="584"/>
      <c r="D73" s="560"/>
      <c r="E73" s="537"/>
      <c r="F73" s="541"/>
      <c r="G73" s="541"/>
      <c r="H73" s="540">
        <f>F73*G73</f>
        <v>0</v>
      </c>
      <c r="I73" s="537"/>
      <c r="J73" s="541"/>
      <c r="K73" s="541"/>
      <c r="L73" s="540">
        <f>J73*K73</f>
        <v>0</v>
      </c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BX73" s="150"/>
      <c r="BY73" s="150"/>
      <c r="BZ73" s="150"/>
      <c r="CA73" s="150"/>
      <c r="CB73" s="150"/>
      <c r="CC73" s="150"/>
      <c r="CD73" s="150"/>
      <c r="CE73" s="150"/>
      <c r="CF73" s="150"/>
      <c r="CG73" s="150"/>
      <c r="CH73" s="150"/>
      <c r="CI73" s="150"/>
      <c r="CJ73" s="150"/>
      <c r="CK73" s="150"/>
      <c r="CL73" s="150"/>
      <c r="CM73" s="150"/>
      <c r="CN73" s="150"/>
      <c r="CO73" s="150"/>
      <c r="CP73" s="150"/>
      <c r="CQ73" s="150"/>
      <c r="CR73" s="150"/>
      <c r="CS73" s="150"/>
      <c r="CT73" s="150"/>
      <c r="CU73" s="150"/>
      <c r="CV73" s="150"/>
      <c r="CW73" s="150"/>
      <c r="CX73" s="150"/>
      <c r="CY73" s="150"/>
      <c r="CZ73" s="150"/>
      <c r="DA73" s="150"/>
      <c r="DB73" s="150"/>
      <c r="DC73" s="150"/>
      <c r="DD73" s="150"/>
      <c r="DE73" s="150"/>
      <c r="DF73" s="150"/>
      <c r="DG73" s="150"/>
      <c r="DH73" s="150"/>
      <c r="DI73" s="150"/>
      <c r="DJ73" s="150"/>
      <c r="DK73" s="150"/>
    </row>
    <row r="74" spans="1:115" s="227" customFormat="1" x14ac:dyDescent="0.25">
      <c r="A74" s="258"/>
      <c r="B74" s="258"/>
      <c r="C74" s="584"/>
      <c r="D74" s="560"/>
      <c r="E74" s="537"/>
      <c r="F74" s="541"/>
      <c r="G74" s="541"/>
      <c r="H74" s="540">
        <f>F74*G74</f>
        <v>0</v>
      </c>
      <c r="I74" s="537"/>
      <c r="J74" s="541"/>
      <c r="K74" s="541"/>
      <c r="L74" s="540">
        <f>J74*K74</f>
        <v>0</v>
      </c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  <c r="BM74" s="150"/>
      <c r="BN74" s="150"/>
      <c r="BO74" s="150"/>
      <c r="BP74" s="150"/>
      <c r="BQ74" s="150"/>
      <c r="BR74" s="150"/>
      <c r="BS74" s="150"/>
      <c r="BT74" s="150"/>
      <c r="BU74" s="150"/>
      <c r="BV74" s="150"/>
      <c r="BW74" s="150"/>
      <c r="BX74" s="150"/>
      <c r="BY74" s="150"/>
      <c r="BZ74" s="150"/>
      <c r="CA74" s="150"/>
      <c r="CB74" s="150"/>
      <c r="CC74" s="150"/>
      <c r="CD74" s="150"/>
      <c r="CE74" s="150"/>
      <c r="CF74" s="150"/>
      <c r="CG74" s="150"/>
      <c r="CH74" s="150"/>
      <c r="CI74" s="150"/>
      <c r="CJ74" s="150"/>
      <c r="CK74" s="150"/>
      <c r="CL74" s="150"/>
      <c r="CM74" s="150"/>
      <c r="CN74" s="150"/>
      <c r="CO74" s="150"/>
      <c r="CP74" s="150"/>
      <c r="CQ74" s="150"/>
      <c r="CR74" s="150"/>
      <c r="CS74" s="150"/>
      <c r="CT74" s="150"/>
      <c r="CU74" s="150"/>
      <c r="CV74" s="150"/>
      <c r="CW74" s="150"/>
      <c r="CX74" s="150"/>
      <c r="CY74" s="150"/>
      <c r="CZ74" s="150"/>
      <c r="DA74" s="150"/>
      <c r="DB74" s="150"/>
      <c r="DC74" s="150"/>
      <c r="DD74" s="150"/>
      <c r="DE74" s="150"/>
      <c r="DF74" s="150"/>
      <c r="DG74" s="150"/>
      <c r="DH74" s="150"/>
      <c r="DI74" s="150"/>
      <c r="DJ74" s="150"/>
      <c r="DK74" s="150"/>
    </row>
    <row r="75" spans="1:115" s="227" customFormat="1" x14ac:dyDescent="0.25">
      <c r="A75" s="258"/>
      <c r="B75" s="258"/>
      <c r="C75" s="584"/>
      <c r="D75" s="560"/>
      <c r="E75" s="537"/>
      <c r="F75" s="541"/>
      <c r="G75" s="541"/>
      <c r="H75" s="540">
        <f>F75*G75</f>
        <v>0</v>
      </c>
      <c r="I75" s="537"/>
      <c r="J75" s="541"/>
      <c r="K75" s="541"/>
      <c r="L75" s="540">
        <f>J75*K75</f>
        <v>0</v>
      </c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  <c r="BD75" s="150"/>
      <c r="BE75" s="150"/>
      <c r="BF75" s="150"/>
      <c r="BG75" s="150"/>
      <c r="BH75" s="150"/>
      <c r="BI75" s="150"/>
      <c r="BJ75" s="150"/>
      <c r="BK75" s="150"/>
      <c r="BL75" s="150"/>
      <c r="BM75" s="150"/>
      <c r="BN75" s="150"/>
      <c r="BO75" s="150"/>
      <c r="BP75" s="150"/>
      <c r="BQ75" s="150"/>
      <c r="BR75" s="150"/>
      <c r="BS75" s="150"/>
      <c r="BT75" s="150"/>
      <c r="BU75" s="150"/>
      <c r="BV75" s="150"/>
      <c r="BW75" s="150"/>
      <c r="BX75" s="150"/>
      <c r="BY75" s="150"/>
      <c r="BZ75" s="150"/>
      <c r="CA75" s="150"/>
      <c r="CB75" s="150"/>
      <c r="CC75" s="150"/>
      <c r="CD75" s="150"/>
      <c r="CE75" s="150"/>
      <c r="CF75" s="150"/>
      <c r="CG75" s="150"/>
      <c r="CH75" s="150"/>
      <c r="CI75" s="150"/>
      <c r="CJ75" s="150"/>
      <c r="CK75" s="150"/>
      <c r="CL75" s="150"/>
      <c r="CM75" s="150"/>
      <c r="CN75" s="150"/>
      <c r="CO75" s="150"/>
      <c r="CP75" s="150"/>
      <c r="CQ75" s="150"/>
      <c r="CR75" s="150"/>
      <c r="CS75" s="150"/>
      <c r="CT75" s="150"/>
      <c r="CU75" s="150"/>
      <c r="CV75" s="150"/>
      <c r="CW75" s="150"/>
      <c r="CX75" s="150"/>
      <c r="CY75" s="150"/>
      <c r="CZ75" s="150"/>
      <c r="DA75" s="150"/>
      <c r="DB75" s="150"/>
      <c r="DC75" s="150"/>
      <c r="DD75" s="150"/>
      <c r="DE75" s="150"/>
      <c r="DF75" s="150"/>
      <c r="DG75" s="150"/>
      <c r="DH75" s="150"/>
      <c r="DI75" s="150"/>
      <c r="DJ75" s="150"/>
      <c r="DK75" s="150"/>
    </row>
    <row r="76" spans="1:115" x14ac:dyDescent="0.25">
      <c r="A76" s="258"/>
      <c r="B76" s="258"/>
      <c r="C76" s="584"/>
      <c r="D76" s="559"/>
      <c r="E76" s="534"/>
      <c r="F76" s="262"/>
      <c r="G76" s="262"/>
      <c r="H76" s="536">
        <f>F76*G76</f>
        <v>0</v>
      </c>
      <c r="I76" s="534"/>
      <c r="J76" s="262"/>
      <c r="K76" s="262"/>
      <c r="L76" s="536">
        <f>J76*K76</f>
        <v>0</v>
      </c>
    </row>
    <row r="77" spans="1:115" s="25" customFormat="1" x14ac:dyDescent="0.25">
      <c r="A77" s="610"/>
      <c r="B77" s="610"/>
      <c r="C77" s="611"/>
      <c r="D77" s="612"/>
      <c r="E77" s="613"/>
      <c r="F77" s="614"/>
      <c r="G77" s="615"/>
      <c r="H77" s="616">
        <f>F77*G77</f>
        <v>0</v>
      </c>
      <c r="I77" s="613"/>
      <c r="J77" s="614"/>
      <c r="K77" s="615"/>
      <c r="L77" s="616">
        <f>J77*K77</f>
        <v>0</v>
      </c>
    </row>
    <row r="78" spans="1:115" x14ac:dyDescent="0.25">
      <c r="A78" s="258"/>
      <c r="B78" s="258"/>
      <c r="C78" s="584"/>
      <c r="D78" s="559"/>
      <c r="E78" s="534"/>
      <c r="F78" s="262"/>
      <c r="G78" s="262"/>
      <c r="H78" s="536">
        <f t="shared" si="6"/>
        <v>0</v>
      </c>
      <c r="I78" s="534"/>
      <c r="J78" s="262"/>
      <c r="K78" s="262"/>
      <c r="L78" s="536">
        <f t="shared" ref="L78:L79" si="8">J78*K78</f>
        <v>0</v>
      </c>
    </row>
    <row r="79" spans="1:115" x14ac:dyDescent="0.25">
      <c r="A79" s="258"/>
      <c r="B79" s="258"/>
      <c r="C79" s="584"/>
      <c r="D79" s="559"/>
      <c r="E79" s="534"/>
      <c r="F79" s="262"/>
      <c r="G79" s="262"/>
      <c r="H79" s="536">
        <f t="shared" si="6"/>
        <v>0</v>
      </c>
      <c r="I79" s="534"/>
      <c r="J79" s="262"/>
      <c r="K79" s="262"/>
      <c r="L79" s="536">
        <f t="shared" si="8"/>
        <v>0</v>
      </c>
    </row>
    <row r="80" spans="1:115" x14ac:dyDescent="0.25">
      <c r="A80" s="258"/>
      <c r="B80" s="258"/>
      <c r="C80" s="584"/>
      <c r="D80" s="558"/>
      <c r="E80" s="534"/>
      <c r="F80" s="253"/>
      <c r="G80" s="535"/>
      <c r="H80" s="536"/>
      <c r="I80" s="534"/>
      <c r="J80" s="253"/>
      <c r="K80" s="535"/>
      <c r="L80" s="536"/>
    </row>
    <row r="81" spans="1:115" x14ac:dyDescent="0.25">
      <c r="A81" s="258"/>
      <c r="B81" s="258"/>
      <c r="C81" s="584"/>
      <c r="D81" s="559" t="s">
        <v>0</v>
      </c>
      <c r="E81" s="534"/>
      <c r="F81" s="542">
        <f>SUM(F59:F80)</f>
        <v>1000</v>
      </c>
      <c r="G81" s="543">
        <f>H81/F81</f>
        <v>87.814999999999998</v>
      </c>
      <c r="H81" s="544">
        <f>SUM(H59:H80)</f>
        <v>87815</v>
      </c>
      <c r="I81" s="534"/>
      <c r="J81" s="542">
        <f>SUM(J59:J80)</f>
        <v>100</v>
      </c>
      <c r="K81" s="543">
        <f>L81/J81</f>
        <v>97.4</v>
      </c>
      <c r="L81" s="544">
        <f>SUM(L59:L80)</f>
        <v>9740</v>
      </c>
    </row>
    <row r="82" spans="1:115" x14ac:dyDescent="0.25">
      <c r="A82" s="545"/>
      <c r="B82" s="545"/>
      <c r="C82" s="586"/>
      <c r="D82" s="561"/>
      <c r="E82" s="546"/>
      <c r="F82" s="546"/>
      <c r="G82" s="547"/>
      <c r="H82" s="548"/>
      <c r="I82" s="546"/>
      <c r="J82" s="546"/>
      <c r="K82" s="547"/>
      <c r="L82" s="548"/>
    </row>
    <row r="83" spans="1:115" x14ac:dyDescent="0.25">
      <c r="A83" s="258"/>
      <c r="B83" s="258"/>
      <c r="C83" s="584"/>
      <c r="D83" s="558"/>
      <c r="E83" s="534"/>
      <c r="F83" s="253"/>
      <c r="G83" s="535"/>
      <c r="H83" s="536">
        <f t="shared" ref="H83:H100" si="9">F83*G83</f>
        <v>0</v>
      </c>
      <c r="I83" s="534"/>
      <c r="J83" s="253"/>
      <c r="K83" s="535"/>
      <c r="L83" s="536">
        <f t="shared" ref="L83:L100" si="10">J83*K83</f>
        <v>0</v>
      </c>
    </row>
    <row r="84" spans="1:115" x14ac:dyDescent="0.25">
      <c r="A84" s="258"/>
      <c r="B84" s="258"/>
      <c r="C84" s="584"/>
      <c r="D84" s="559">
        <f>D60+1</f>
        <v>45631</v>
      </c>
      <c r="E84" s="537"/>
      <c r="F84" s="253"/>
      <c r="G84" s="541"/>
      <c r="H84" s="536">
        <f t="shared" si="9"/>
        <v>0</v>
      </c>
      <c r="I84" s="537"/>
      <c r="J84" s="253"/>
      <c r="K84" s="541"/>
      <c r="L84" s="536">
        <f t="shared" si="10"/>
        <v>0</v>
      </c>
    </row>
    <row r="85" spans="1:115" x14ac:dyDescent="0.25">
      <c r="A85" s="258" t="s">
        <v>6</v>
      </c>
      <c r="B85" s="258" t="s">
        <v>340</v>
      </c>
      <c r="C85" s="584" t="s">
        <v>358</v>
      </c>
      <c r="D85" s="559"/>
      <c r="E85" s="537" t="s">
        <v>366</v>
      </c>
      <c r="F85" s="253">
        <v>100</v>
      </c>
      <c r="G85" s="541">
        <v>93.99</v>
      </c>
      <c r="H85" s="536">
        <f t="shared" si="9"/>
        <v>9399</v>
      </c>
      <c r="I85" s="537"/>
      <c r="J85" s="253"/>
      <c r="K85" s="541"/>
      <c r="L85" s="536">
        <f t="shared" si="10"/>
        <v>0</v>
      </c>
    </row>
    <row r="86" spans="1:115" x14ac:dyDescent="0.25">
      <c r="A86" s="258" t="s">
        <v>6</v>
      </c>
      <c r="B86" s="258" t="s">
        <v>340</v>
      </c>
      <c r="C86" s="584" t="s">
        <v>365</v>
      </c>
      <c r="D86" s="559"/>
      <c r="E86" s="537" t="s">
        <v>367</v>
      </c>
      <c r="F86" s="253">
        <v>500</v>
      </c>
      <c r="G86" s="541">
        <v>87.7</v>
      </c>
      <c r="H86" s="536">
        <f t="shared" si="9"/>
        <v>43850</v>
      </c>
      <c r="I86" s="537"/>
      <c r="J86" s="253"/>
      <c r="K86" s="541"/>
      <c r="L86" s="536">
        <f t="shared" si="10"/>
        <v>0</v>
      </c>
      <c r="M86" s="150">
        <f>+H86/1.95583</f>
        <v>22420.148990454181</v>
      </c>
    </row>
    <row r="87" spans="1:115" x14ac:dyDescent="0.25">
      <c r="A87" s="258" t="s">
        <v>6</v>
      </c>
      <c r="B87" s="258" t="s">
        <v>340</v>
      </c>
      <c r="C87" s="584" t="s">
        <v>365</v>
      </c>
      <c r="D87" s="559"/>
      <c r="E87" s="537" t="s">
        <v>368</v>
      </c>
      <c r="F87" s="253">
        <v>500</v>
      </c>
      <c r="G87" s="541">
        <v>93.5</v>
      </c>
      <c r="H87" s="536">
        <f t="shared" si="9"/>
        <v>46750</v>
      </c>
      <c r="I87" s="537"/>
      <c r="J87" s="253"/>
      <c r="K87" s="541"/>
      <c r="L87" s="536">
        <f t="shared" si="10"/>
        <v>0</v>
      </c>
      <c r="M87" s="150">
        <f>+H87/1.95583</f>
        <v>23902.895445923215</v>
      </c>
    </row>
    <row r="88" spans="1:115" x14ac:dyDescent="0.25">
      <c r="A88" s="258"/>
      <c r="B88" s="258"/>
      <c r="C88" s="584"/>
      <c r="D88" s="559"/>
      <c r="E88" s="537"/>
      <c r="F88" s="253"/>
      <c r="G88" s="541"/>
      <c r="H88" s="536">
        <f t="shared" si="9"/>
        <v>0</v>
      </c>
      <c r="I88" s="537"/>
      <c r="J88" s="253"/>
      <c r="K88" s="541"/>
      <c r="L88" s="536">
        <f t="shared" si="10"/>
        <v>0</v>
      </c>
      <c r="M88" s="150">
        <f>+M86+M87</f>
        <v>46323.0444363774</v>
      </c>
    </row>
    <row r="89" spans="1:115" x14ac:dyDescent="0.25">
      <c r="A89" s="258"/>
      <c r="B89" s="258"/>
      <c r="C89" s="584"/>
      <c r="D89" s="559"/>
      <c r="E89" s="537"/>
      <c r="F89" s="253"/>
      <c r="G89" s="541"/>
      <c r="H89" s="536">
        <f t="shared" si="9"/>
        <v>0</v>
      </c>
      <c r="I89" s="537"/>
      <c r="J89" s="253"/>
      <c r="K89" s="541"/>
      <c r="L89" s="536">
        <f t="shared" si="10"/>
        <v>0</v>
      </c>
      <c r="M89" s="150">
        <v>11367.65</v>
      </c>
    </row>
    <row r="90" spans="1:115" x14ac:dyDescent="0.25">
      <c r="A90" s="258"/>
      <c r="B90" s="258"/>
      <c r="C90" s="584"/>
      <c r="D90" s="559"/>
      <c r="E90" s="537"/>
      <c r="F90" s="253"/>
      <c r="G90" s="541"/>
      <c r="H90" s="536">
        <f t="shared" si="9"/>
        <v>0</v>
      </c>
      <c r="I90" s="537"/>
      <c r="J90" s="253"/>
      <c r="K90" s="541"/>
      <c r="L90" s="536">
        <f t="shared" si="10"/>
        <v>0</v>
      </c>
      <c r="M90" s="150">
        <f>+M88-M89</f>
        <v>34955.394436377399</v>
      </c>
    </row>
    <row r="91" spans="1:115" x14ac:dyDescent="0.25">
      <c r="A91" s="258"/>
      <c r="B91" s="258"/>
      <c r="C91" s="584"/>
      <c r="D91" s="559"/>
      <c r="E91" s="537"/>
      <c r="F91" s="253"/>
      <c r="G91" s="541"/>
      <c r="H91" s="536">
        <f t="shared" si="9"/>
        <v>0</v>
      </c>
      <c r="I91" s="537"/>
      <c r="J91" s="253"/>
      <c r="K91" s="541"/>
      <c r="L91" s="536">
        <f t="shared" si="10"/>
        <v>0</v>
      </c>
    </row>
    <row r="92" spans="1:115" s="227" customFormat="1" x14ac:dyDescent="0.25">
      <c r="A92" s="258"/>
      <c r="B92" s="258"/>
      <c r="C92" s="584"/>
      <c r="D92" s="560"/>
      <c r="E92" s="537"/>
      <c r="F92" s="541"/>
      <c r="G92" s="541"/>
      <c r="H92" s="536">
        <f t="shared" si="9"/>
        <v>0</v>
      </c>
      <c r="I92" s="537"/>
      <c r="J92" s="541"/>
      <c r="K92" s="541"/>
      <c r="L92" s="536">
        <f t="shared" si="10"/>
        <v>0</v>
      </c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  <c r="BM92" s="150"/>
      <c r="BN92" s="150"/>
      <c r="BO92" s="150"/>
      <c r="BP92" s="150"/>
      <c r="BQ92" s="150"/>
      <c r="BR92" s="150"/>
      <c r="BS92" s="150"/>
      <c r="BT92" s="150"/>
      <c r="BU92" s="150"/>
      <c r="BV92" s="150"/>
      <c r="BW92" s="150"/>
      <c r="BX92" s="150"/>
      <c r="BY92" s="150"/>
      <c r="BZ92" s="150"/>
      <c r="CA92" s="150"/>
      <c r="CB92" s="150"/>
      <c r="CC92" s="150"/>
      <c r="CD92" s="150"/>
      <c r="CE92" s="150"/>
      <c r="CF92" s="150"/>
      <c r="CG92" s="150"/>
      <c r="CH92" s="150"/>
      <c r="CI92" s="150"/>
      <c r="CJ92" s="150"/>
      <c r="CK92" s="150"/>
      <c r="CL92" s="150"/>
      <c r="CM92" s="150"/>
      <c r="CN92" s="150"/>
      <c r="CO92" s="150"/>
      <c r="CP92" s="150"/>
      <c r="CQ92" s="150"/>
      <c r="CR92" s="150"/>
      <c r="CS92" s="150"/>
      <c r="CT92" s="150"/>
      <c r="CU92" s="150"/>
      <c r="CV92" s="150"/>
      <c r="CW92" s="150"/>
      <c r="CX92" s="150"/>
      <c r="CY92" s="150"/>
      <c r="CZ92" s="150"/>
      <c r="DA92" s="150"/>
      <c r="DB92" s="150"/>
      <c r="DC92" s="150"/>
      <c r="DD92" s="150"/>
      <c r="DE92" s="150"/>
      <c r="DF92" s="150"/>
      <c r="DG92" s="150"/>
      <c r="DH92" s="150"/>
      <c r="DI92" s="150"/>
      <c r="DJ92" s="150"/>
      <c r="DK92" s="150"/>
    </row>
    <row r="93" spans="1:115" s="227" customFormat="1" x14ac:dyDescent="0.25">
      <c r="A93" s="258"/>
      <c r="B93" s="258"/>
      <c r="C93" s="584"/>
      <c r="D93" s="560"/>
      <c r="E93" s="537"/>
      <c r="F93" s="541"/>
      <c r="G93" s="541"/>
      <c r="H93" s="540">
        <f t="shared" si="9"/>
        <v>0</v>
      </c>
      <c r="I93" s="537"/>
      <c r="J93" s="541"/>
      <c r="K93" s="541"/>
      <c r="L93" s="540">
        <f t="shared" si="10"/>
        <v>0</v>
      </c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  <c r="BM93" s="150"/>
      <c r="BN93" s="150"/>
      <c r="BO93" s="150"/>
      <c r="BP93" s="150"/>
      <c r="BQ93" s="150"/>
      <c r="BR93" s="150"/>
      <c r="BS93" s="150"/>
      <c r="BT93" s="150"/>
      <c r="BU93" s="150"/>
      <c r="BV93" s="150"/>
      <c r="BW93" s="150"/>
      <c r="BX93" s="150"/>
      <c r="BY93" s="150"/>
      <c r="BZ93" s="150"/>
      <c r="CA93" s="150"/>
      <c r="CB93" s="150"/>
      <c r="CC93" s="150"/>
      <c r="CD93" s="150"/>
      <c r="CE93" s="150"/>
      <c r="CF93" s="150"/>
      <c r="CG93" s="150"/>
      <c r="CH93" s="150"/>
      <c r="CI93" s="150"/>
      <c r="CJ93" s="150"/>
      <c r="CK93" s="150"/>
      <c r="CL93" s="150"/>
      <c r="CM93" s="150"/>
      <c r="CN93" s="150"/>
      <c r="CO93" s="150"/>
      <c r="CP93" s="150"/>
      <c r="CQ93" s="150"/>
      <c r="CR93" s="150"/>
      <c r="CS93" s="150"/>
      <c r="CT93" s="150"/>
      <c r="CU93" s="150"/>
      <c r="CV93" s="150"/>
      <c r="CW93" s="150"/>
      <c r="CX93" s="150"/>
      <c r="CY93" s="150"/>
      <c r="CZ93" s="150"/>
      <c r="DA93" s="150"/>
      <c r="DB93" s="150"/>
      <c r="DC93" s="150"/>
      <c r="DD93" s="150"/>
      <c r="DE93" s="150"/>
      <c r="DF93" s="150"/>
      <c r="DG93" s="150"/>
      <c r="DH93" s="150"/>
      <c r="DI93" s="150"/>
      <c r="DJ93" s="150"/>
      <c r="DK93" s="150"/>
    </row>
    <row r="94" spans="1:115" s="227" customFormat="1" x14ac:dyDescent="0.25">
      <c r="A94" s="258"/>
      <c r="B94" s="258"/>
      <c r="C94" s="584"/>
      <c r="D94" s="560"/>
      <c r="E94" s="537"/>
      <c r="F94" s="541"/>
      <c r="G94" s="541"/>
      <c r="H94" s="540">
        <f t="shared" si="9"/>
        <v>0</v>
      </c>
      <c r="I94" s="537"/>
      <c r="J94" s="541"/>
      <c r="K94" s="541"/>
      <c r="L94" s="540">
        <f t="shared" si="10"/>
        <v>0</v>
      </c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BX94" s="150"/>
      <c r="BY94" s="150"/>
      <c r="BZ94" s="150"/>
      <c r="CA94" s="150"/>
      <c r="CB94" s="150"/>
      <c r="CC94" s="150"/>
      <c r="CD94" s="150"/>
      <c r="CE94" s="150"/>
      <c r="CF94" s="150"/>
      <c r="CG94" s="150"/>
      <c r="CH94" s="150"/>
      <c r="CI94" s="150"/>
      <c r="CJ94" s="150"/>
      <c r="CK94" s="150"/>
      <c r="CL94" s="150"/>
      <c r="CM94" s="150"/>
      <c r="CN94" s="150"/>
      <c r="CO94" s="150"/>
      <c r="CP94" s="150"/>
      <c r="CQ94" s="150"/>
      <c r="CR94" s="150"/>
      <c r="CS94" s="150"/>
      <c r="CT94" s="150"/>
      <c r="CU94" s="150"/>
      <c r="CV94" s="150"/>
      <c r="CW94" s="150"/>
      <c r="CX94" s="150"/>
      <c r="CY94" s="150"/>
      <c r="CZ94" s="150"/>
      <c r="DA94" s="150"/>
      <c r="DB94" s="150"/>
      <c r="DC94" s="150"/>
      <c r="DD94" s="150"/>
      <c r="DE94" s="150"/>
      <c r="DF94" s="150"/>
      <c r="DG94" s="150"/>
      <c r="DH94" s="150"/>
      <c r="DI94" s="150"/>
      <c r="DJ94" s="150"/>
      <c r="DK94" s="150"/>
    </row>
    <row r="95" spans="1:115" s="25" customFormat="1" x14ac:dyDescent="0.25">
      <c r="A95" s="610"/>
      <c r="B95" s="610"/>
      <c r="C95" s="611"/>
      <c r="D95" s="612"/>
      <c r="E95" s="613"/>
      <c r="F95" s="614"/>
      <c r="G95" s="615"/>
      <c r="H95" s="616">
        <f>F95*G95</f>
        <v>0</v>
      </c>
      <c r="I95" s="613"/>
      <c r="J95" s="614"/>
      <c r="K95" s="615"/>
      <c r="L95" s="616">
        <f>J95*K95</f>
        <v>0</v>
      </c>
    </row>
    <row r="96" spans="1:115" s="227" customFormat="1" x14ac:dyDescent="0.25">
      <c r="A96" s="258"/>
      <c r="B96" s="258"/>
      <c r="C96" s="584"/>
      <c r="D96" s="560"/>
      <c r="E96" s="537"/>
      <c r="F96" s="541"/>
      <c r="G96" s="541"/>
      <c r="H96" s="540">
        <f t="shared" si="9"/>
        <v>0</v>
      </c>
      <c r="I96" s="537"/>
      <c r="J96" s="541"/>
      <c r="K96" s="541"/>
      <c r="L96" s="540">
        <f t="shared" si="10"/>
        <v>0</v>
      </c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0"/>
      <c r="CN96" s="150"/>
      <c r="CO96" s="150"/>
      <c r="CP96" s="150"/>
      <c r="CQ96" s="150"/>
      <c r="CR96" s="150"/>
      <c r="CS96" s="150"/>
      <c r="CT96" s="150"/>
      <c r="CU96" s="150"/>
      <c r="CV96" s="150"/>
      <c r="CW96" s="150"/>
      <c r="CX96" s="150"/>
      <c r="CY96" s="150"/>
      <c r="CZ96" s="150"/>
      <c r="DA96" s="150"/>
      <c r="DB96" s="150"/>
      <c r="DC96" s="150"/>
      <c r="DD96" s="150"/>
      <c r="DE96" s="150"/>
      <c r="DF96" s="150"/>
      <c r="DG96" s="150"/>
      <c r="DH96" s="150"/>
      <c r="DI96" s="150"/>
      <c r="DJ96" s="150"/>
      <c r="DK96" s="150"/>
    </row>
    <row r="97" spans="1:12" x14ac:dyDescent="0.25">
      <c r="A97" s="258"/>
      <c r="B97" s="258"/>
      <c r="C97" s="584"/>
      <c r="D97" s="559"/>
      <c r="E97" s="537"/>
      <c r="F97" s="253"/>
      <c r="G97" s="541"/>
      <c r="H97" s="536">
        <f t="shared" si="9"/>
        <v>0</v>
      </c>
      <c r="I97" s="537"/>
      <c r="J97" s="253"/>
      <c r="K97" s="541"/>
      <c r="L97" s="536">
        <f t="shared" si="10"/>
        <v>0</v>
      </c>
    </row>
    <row r="98" spans="1:12" x14ac:dyDescent="0.25">
      <c r="A98" s="258"/>
      <c r="B98" s="258"/>
      <c r="C98" s="584"/>
      <c r="D98" s="559"/>
      <c r="E98" s="537"/>
      <c r="F98" s="253"/>
      <c r="G98" s="541"/>
      <c r="H98" s="536">
        <f t="shared" si="9"/>
        <v>0</v>
      </c>
      <c r="I98" s="537"/>
      <c r="J98" s="253"/>
      <c r="K98" s="541"/>
      <c r="L98" s="536">
        <f t="shared" si="10"/>
        <v>0</v>
      </c>
    </row>
    <row r="99" spans="1:12" x14ac:dyDescent="0.25">
      <c r="A99" s="258"/>
      <c r="B99" s="258"/>
      <c r="C99" s="584"/>
      <c r="D99" s="559"/>
      <c r="E99" s="537"/>
      <c r="F99" s="253"/>
      <c r="G99" s="541"/>
      <c r="H99" s="536">
        <f t="shared" si="9"/>
        <v>0</v>
      </c>
      <c r="I99" s="537"/>
      <c r="J99" s="253"/>
      <c r="K99" s="541"/>
      <c r="L99" s="536">
        <f t="shared" si="10"/>
        <v>0</v>
      </c>
    </row>
    <row r="100" spans="1:12" x14ac:dyDescent="0.25">
      <c r="A100" s="258"/>
      <c r="B100" s="258"/>
      <c r="C100" s="584"/>
      <c r="D100" s="559"/>
      <c r="E100" s="537"/>
      <c r="F100" s="253"/>
      <c r="G100" s="541"/>
      <c r="H100" s="536">
        <f t="shared" si="9"/>
        <v>0</v>
      </c>
      <c r="I100" s="537"/>
      <c r="J100" s="253"/>
      <c r="K100" s="541"/>
      <c r="L100" s="536">
        <f t="shared" si="10"/>
        <v>0</v>
      </c>
    </row>
    <row r="101" spans="1:12" x14ac:dyDescent="0.25">
      <c r="A101" s="258"/>
      <c r="B101" s="258"/>
      <c r="C101" s="584"/>
      <c r="D101" s="559" t="s">
        <v>0</v>
      </c>
      <c r="E101" s="534"/>
      <c r="F101" s="542">
        <f>SUM(F83:F100)</f>
        <v>1100</v>
      </c>
      <c r="G101" s="543">
        <f>H101/F101</f>
        <v>90.908181818181816</v>
      </c>
      <c r="H101" s="544">
        <f>SUM(H83:H100)</f>
        <v>99999</v>
      </c>
      <c r="I101" s="534"/>
      <c r="J101" s="542">
        <f>SUM(J83:J100)</f>
        <v>0</v>
      </c>
      <c r="K101" s="543" t="e">
        <f>L101/J101</f>
        <v>#DIV/0!</v>
      </c>
      <c r="L101" s="544">
        <f>SUM(L83:L100)</f>
        <v>0</v>
      </c>
    </row>
    <row r="102" spans="1:12" x14ac:dyDescent="0.25">
      <c r="A102" s="545"/>
      <c r="B102" s="545"/>
      <c r="C102" s="586"/>
      <c r="D102" s="561"/>
      <c r="E102" s="546"/>
      <c r="F102" s="546"/>
      <c r="G102" s="547"/>
      <c r="H102" s="548"/>
      <c r="I102" s="546"/>
      <c r="J102" s="546"/>
      <c r="K102" s="547"/>
      <c r="L102" s="548"/>
    </row>
    <row r="103" spans="1:12" x14ac:dyDescent="0.25">
      <c r="A103" s="258"/>
      <c r="B103" s="258"/>
      <c r="C103" s="584"/>
      <c r="D103" s="558"/>
      <c r="E103" s="534"/>
      <c r="F103" s="253"/>
      <c r="G103" s="535"/>
      <c r="H103" s="536">
        <f>F103*G103</f>
        <v>0</v>
      </c>
      <c r="I103" s="534"/>
      <c r="J103" s="253"/>
      <c r="K103" s="535"/>
      <c r="L103" s="536">
        <f>J103*K103</f>
        <v>0</v>
      </c>
    </row>
    <row r="104" spans="1:12" x14ac:dyDescent="0.25">
      <c r="A104" s="258"/>
      <c r="B104" s="258"/>
      <c r="C104" s="585"/>
      <c r="D104" s="559">
        <f>D84+1</f>
        <v>45632</v>
      </c>
      <c r="E104" s="537"/>
      <c r="F104" s="253"/>
      <c r="G104" s="541"/>
      <c r="H104" s="536">
        <f>F104*G104</f>
        <v>0</v>
      </c>
      <c r="I104" s="537"/>
      <c r="J104" s="253"/>
      <c r="K104" s="541"/>
      <c r="L104" s="536">
        <f>J104*K104</f>
        <v>0</v>
      </c>
    </row>
    <row r="105" spans="1:12" x14ac:dyDescent="0.25">
      <c r="A105" s="258" t="s">
        <v>6</v>
      </c>
      <c r="B105" s="258" t="s">
        <v>340</v>
      </c>
      <c r="C105" s="585" t="s">
        <v>369</v>
      </c>
      <c r="D105" s="559"/>
      <c r="E105" s="537" t="s">
        <v>370</v>
      </c>
      <c r="F105" s="253">
        <v>500</v>
      </c>
      <c r="G105" s="541">
        <v>92.5</v>
      </c>
      <c r="H105" s="536">
        <f t="shared" ref="H105:H116" si="11">F105*G105</f>
        <v>46250</v>
      </c>
      <c r="I105" s="537"/>
      <c r="J105" s="253"/>
      <c r="K105" s="541"/>
      <c r="L105" s="536">
        <f t="shared" ref="L105:L116" si="12">J105*K105</f>
        <v>0</v>
      </c>
    </row>
    <row r="106" spans="1:12" x14ac:dyDescent="0.25">
      <c r="A106" s="258" t="s">
        <v>6</v>
      </c>
      <c r="B106" s="258" t="s">
        <v>340</v>
      </c>
      <c r="C106" s="585" t="s">
        <v>357</v>
      </c>
      <c r="D106" s="559"/>
      <c r="E106" s="537" t="s">
        <v>371</v>
      </c>
      <c r="F106" s="253">
        <v>500</v>
      </c>
      <c r="G106" s="541">
        <v>92.3</v>
      </c>
      <c r="H106" s="536">
        <f t="shared" si="11"/>
        <v>46150</v>
      </c>
      <c r="I106" s="537"/>
      <c r="J106" s="253"/>
      <c r="K106" s="541"/>
      <c r="L106" s="536">
        <f t="shared" si="12"/>
        <v>0</v>
      </c>
    </row>
    <row r="107" spans="1:12" x14ac:dyDescent="0.25">
      <c r="A107" s="258" t="s">
        <v>6</v>
      </c>
      <c r="B107" s="258" t="s">
        <v>340</v>
      </c>
      <c r="C107" s="585" t="s">
        <v>341</v>
      </c>
      <c r="D107" s="559"/>
      <c r="E107" s="537" t="s">
        <v>372</v>
      </c>
      <c r="F107" s="253">
        <v>300</v>
      </c>
      <c r="G107" s="541">
        <v>84</v>
      </c>
      <c r="H107" s="536">
        <f t="shared" si="11"/>
        <v>25200</v>
      </c>
      <c r="I107" s="537"/>
      <c r="J107" s="253"/>
      <c r="K107" s="541"/>
      <c r="L107" s="536">
        <f t="shared" si="12"/>
        <v>0</v>
      </c>
    </row>
    <row r="108" spans="1:12" x14ac:dyDescent="0.25">
      <c r="A108" s="258" t="s">
        <v>6</v>
      </c>
      <c r="B108" s="258" t="s">
        <v>340</v>
      </c>
      <c r="C108" s="585" t="s">
        <v>341</v>
      </c>
      <c r="D108" s="559"/>
      <c r="E108" s="537" t="s">
        <v>373</v>
      </c>
      <c r="F108" s="253">
        <v>200</v>
      </c>
      <c r="G108" s="541">
        <v>84</v>
      </c>
      <c r="H108" s="536">
        <f t="shared" si="11"/>
        <v>16800</v>
      </c>
      <c r="I108" s="537"/>
      <c r="J108" s="253"/>
      <c r="K108" s="541"/>
      <c r="L108" s="536">
        <f t="shared" si="12"/>
        <v>0</v>
      </c>
    </row>
    <row r="109" spans="1:12" x14ac:dyDescent="0.25">
      <c r="A109" s="258"/>
      <c r="B109" s="258"/>
      <c r="C109" s="585"/>
      <c r="D109" s="559"/>
      <c r="E109" s="537"/>
      <c r="F109" s="253"/>
      <c r="G109" s="541"/>
      <c r="H109" s="536">
        <f t="shared" si="11"/>
        <v>0</v>
      </c>
      <c r="I109" s="537"/>
      <c r="J109" s="253"/>
      <c r="K109" s="541"/>
      <c r="L109" s="536">
        <f t="shared" si="12"/>
        <v>0</v>
      </c>
    </row>
    <row r="110" spans="1:12" x14ac:dyDescent="0.25">
      <c r="A110" s="258"/>
      <c r="B110" s="258"/>
      <c r="C110" s="585"/>
      <c r="D110" s="559"/>
      <c r="E110" s="537"/>
      <c r="F110" s="253"/>
      <c r="G110" s="541"/>
      <c r="H110" s="536">
        <f t="shared" si="11"/>
        <v>0</v>
      </c>
      <c r="I110" s="537"/>
      <c r="J110" s="253"/>
      <c r="K110" s="541"/>
      <c r="L110" s="536">
        <f t="shared" si="12"/>
        <v>0</v>
      </c>
    </row>
    <row r="111" spans="1:12" x14ac:dyDescent="0.25">
      <c r="A111" s="258"/>
      <c r="B111" s="258"/>
      <c r="C111" s="585"/>
      <c r="D111" s="559"/>
      <c r="E111" s="537"/>
      <c r="F111" s="253"/>
      <c r="G111" s="541"/>
      <c r="H111" s="536">
        <f t="shared" si="11"/>
        <v>0</v>
      </c>
      <c r="I111" s="537"/>
      <c r="J111" s="253"/>
      <c r="K111" s="541"/>
      <c r="L111" s="536">
        <f t="shared" si="12"/>
        <v>0</v>
      </c>
    </row>
    <row r="112" spans="1:12" x14ac:dyDescent="0.25">
      <c r="A112" s="258"/>
      <c r="B112" s="258"/>
      <c r="C112" s="585"/>
      <c r="D112" s="559"/>
      <c r="E112" s="537"/>
      <c r="F112" s="253"/>
      <c r="G112" s="541"/>
      <c r="H112" s="536">
        <f t="shared" si="11"/>
        <v>0</v>
      </c>
      <c r="I112" s="537"/>
      <c r="J112" s="253"/>
      <c r="K112" s="541"/>
      <c r="L112" s="536">
        <f t="shared" si="12"/>
        <v>0</v>
      </c>
    </row>
    <row r="113" spans="1:115" x14ac:dyDescent="0.25">
      <c r="A113" s="258"/>
      <c r="B113" s="258"/>
      <c r="C113" s="585"/>
      <c r="D113" s="559"/>
      <c r="E113" s="537"/>
      <c r="F113" s="253"/>
      <c r="G113" s="541"/>
      <c r="H113" s="536">
        <f t="shared" si="11"/>
        <v>0</v>
      </c>
      <c r="I113" s="537"/>
      <c r="J113" s="253"/>
      <c r="K113" s="541"/>
      <c r="L113" s="536">
        <f t="shared" si="12"/>
        <v>0</v>
      </c>
    </row>
    <row r="114" spans="1:115" x14ac:dyDescent="0.25">
      <c r="A114" s="258"/>
      <c r="B114" s="258"/>
      <c r="C114" s="585"/>
      <c r="D114" s="559"/>
      <c r="E114" s="537"/>
      <c r="F114" s="253"/>
      <c r="G114" s="541"/>
      <c r="H114" s="536">
        <f t="shared" si="11"/>
        <v>0</v>
      </c>
      <c r="I114" s="537"/>
      <c r="J114" s="253"/>
      <c r="K114" s="541"/>
      <c r="L114" s="536">
        <f t="shared" si="12"/>
        <v>0</v>
      </c>
    </row>
    <row r="115" spans="1:115" x14ac:dyDescent="0.25">
      <c r="A115" s="258"/>
      <c r="B115" s="258"/>
      <c r="C115" s="585"/>
      <c r="D115" s="559"/>
      <c r="E115" s="537"/>
      <c r="F115" s="253"/>
      <c r="G115" s="541"/>
      <c r="H115" s="536">
        <f t="shared" si="11"/>
        <v>0</v>
      </c>
      <c r="I115" s="537"/>
      <c r="J115" s="253"/>
      <c r="K115" s="541"/>
      <c r="L115" s="536">
        <f t="shared" si="12"/>
        <v>0</v>
      </c>
    </row>
    <row r="116" spans="1:115" s="227" customFormat="1" ht="19.5" customHeight="1" x14ac:dyDescent="0.25">
      <c r="A116" s="258"/>
      <c r="B116" s="258"/>
      <c r="C116" s="584"/>
      <c r="D116" s="560"/>
      <c r="E116" s="537"/>
      <c r="F116" s="541"/>
      <c r="G116" s="541"/>
      <c r="H116" s="536">
        <f t="shared" si="11"/>
        <v>0</v>
      </c>
      <c r="I116" s="537"/>
      <c r="J116" s="541"/>
      <c r="K116" s="541"/>
      <c r="L116" s="536">
        <f t="shared" si="12"/>
        <v>0</v>
      </c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0"/>
      <c r="CY116" s="150"/>
      <c r="CZ116" s="150"/>
      <c r="DA116" s="150"/>
      <c r="DB116" s="150"/>
      <c r="DC116" s="150"/>
      <c r="DD116" s="150"/>
      <c r="DE116" s="150"/>
      <c r="DF116" s="150"/>
      <c r="DG116" s="150"/>
      <c r="DH116" s="150"/>
      <c r="DI116" s="150"/>
      <c r="DJ116" s="150"/>
      <c r="DK116" s="150"/>
    </row>
    <row r="117" spans="1:115" s="227" customFormat="1" x14ac:dyDescent="0.25">
      <c r="A117" s="258"/>
      <c r="B117" s="258"/>
      <c r="C117" s="584"/>
      <c r="D117" s="560"/>
      <c r="E117" s="537"/>
      <c r="F117" s="541"/>
      <c r="G117" s="541"/>
      <c r="H117" s="536">
        <f t="shared" ref="H117:H120" si="13">F117*G117</f>
        <v>0</v>
      </c>
      <c r="I117" s="537"/>
      <c r="J117" s="541"/>
      <c r="K117" s="541"/>
      <c r="L117" s="540">
        <f t="shared" ref="L117:L122" si="14">J117*K117</f>
        <v>0</v>
      </c>
      <c r="M117" s="150"/>
      <c r="N117" s="150"/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  <c r="CH117" s="150"/>
      <c r="CI117" s="150"/>
      <c r="CJ117" s="150"/>
      <c r="CK117" s="150"/>
      <c r="CL117" s="150"/>
      <c r="CM117" s="150"/>
      <c r="CN117" s="150"/>
      <c r="CO117" s="150"/>
      <c r="CP117" s="150"/>
      <c r="CQ117" s="150"/>
      <c r="CR117" s="150"/>
      <c r="CS117" s="150"/>
      <c r="CT117" s="150"/>
      <c r="CU117" s="150"/>
      <c r="CV117" s="150"/>
      <c r="CW117" s="150"/>
      <c r="CX117" s="150"/>
      <c r="CY117" s="150"/>
      <c r="CZ117" s="150"/>
      <c r="DA117" s="150"/>
      <c r="DB117" s="150"/>
      <c r="DC117" s="150"/>
      <c r="DD117" s="150"/>
      <c r="DE117" s="150"/>
      <c r="DF117" s="150"/>
      <c r="DG117" s="150"/>
      <c r="DH117" s="150"/>
      <c r="DI117" s="150"/>
      <c r="DJ117" s="150"/>
      <c r="DK117" s="150"/>
    </row>
    <row r="118" spans="1:115" s="227" customFormat="1" x14ac:dyDescent="0.25">
      <c r="A118" s="258"/>
      <c r="B118" s="258"/>
      <c r="C118" s="584"/>
      <c r="D118" s="560"/>
      <c r="E118" s="537"/>
      <c r="F118" s="541"/>
      <c r="G118" s="541"/>
      <c r="H118" s="536">
        <f t="shared" si="13"/>
        <v>0</v>
      </c>
      <c r="I118" s="537"/>
      <c r="J118" s="541"/>
      <c r="K118" s="541"/>
      <c r="L118" s="540">
        <f t="shared" si="14"/>
        <v>0</v>
      </c>
      <c r="M118" s="150"/>
      <c r="N118" s="150"/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  <c r="CH118" s="150"/>
      <c r="CI118" s="150"/>
      <c r="CJ118" s="150"/>
      <c r="CK118" s="150"/>
      <c r="CL118" s="150"/>
      <c r="CM118" s="150"/>
      <c r="CN118" s="150"/>
      <c r="CO118" s="150"/>
      <c r="CP118" s="150"/>
      <c r="CQ118" s="150"/>
      <c r="CR118" s="150"/>
      <c r="CS118" s="150"/>
      <c r="CT118" s="150"/>
      <c r="CU118" s="150"/>
      <c r="CV118" s="150"/>
      <c r="CW118" s="150"/>
      <c r="CX118" s="150"/>
      <c r="CY118" s="150"/>
      <c r="CZ118" s="150"/>
      <c r="DA118" s="150"/>
      <c r="DB118" s="150"/>
      <c r="DC118" s="150"/>
      <c r="DD118" s="150"/>
      <c r="DE118" s="150"/>
      <c r="DF118" s="150"/>
      <c r="DG118" s="150"/>
      <c r="DH118" s="150"/>
      <c r="DI118" s="150"/>
      <c r="DJ118" s="150"/>
      <c r="DK118" s="150"/>
    </row>
    <row r="119" spans="1:115" s="25" customFormat="1" x14ac:dyDescent="0.25">
      <c r="A119" s="610"/>
      <c r="B119" s="610"/>
      <c r="C119" s="611"/>
      <c r="D119" s="612"/>
      <c r="E119" s="613"/>
      <c r="F119" s="614"/>
      <c r="G119" s="615"/>
      <c r="H119" s="616">
        <f>F119*G119</f>
        <v>0</v>
      </c>
      <c r="I119" s="613"/>
      <c r="J119" s="614"/>
      <c r="K119" s="615"/>
      <c r="L119" s="616">
        <f>J119*K119</f>
        <v>0</v>
      </c>
    </row>
    <row r="120" spans="1:115" s="227" customFormat="1" x14ac:dyDescent="0.25">
      <c r="A120" s="258"/>
      <c r="B120" s="258"/>
      <c r="C120" s="584"/>
      <c r="D120" s="560"/>
      <c r="E120" s="537"/>
      <c r="F120" s="541"/>
      <c r="G120" s="541"/>
      <c r="H120" s="536">
        <f t="shared" si="13"/>
        <v>0</v>
      </c>
      <c r="I120" s="537"/>
      <c r="J120" s="541"/>
      <c r="K120" s="541"/>
      <c r="L120" s="540">
        <f t="shared" si="14"/>
        <v>0</v>
      </c>
      <c r="M120" s="150"/>
      <c r="N120" s="150"/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  <c r="BM120" s="150"/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  <c r="CH120" s="150"/>
      <c r="CI120" s="150"/>
      <c r="CJ120" s="150"/>
      <c r="CK120" s="150"/>
      <c r="CL120" s="150"/>
      <c r="CM120" s="150"/>
      <c r="CN120" s="150"/>
      <c r="CO120" s="150"/>
      <c r="CP120" s="150"/>
      <c r="CQ120" s="150"/>
      <c r="CR120" s="150"/>
      <c r="CS120" s="150"/>
      <c r="CT120" s="150"/>
      <c r="CU120" s="150"/>
      <c r="CV120" s="150"/>
      <c r="CW120" s="150"/>
      <c r="CX120" s="150"/>
      <c r="CY120" s="150"/>
      <c r="CZ120" s="150"/>
      <c r="DA120" s="150"/>
      <c r="DB120" s="150"/>
      <c r="DC120" s="150"/>
      <c r="DD120" s="150"/>
      <c r="DE120" s="150"/>
      <c r="DF120" s="150"/>
      <c r="DG120" s="150"/>
      <c r="DH120" s="150"/>
      <c r="DI120" s="150"/>
      <c r="DJ120" s="150"/>
      <c r="DK120" s="150"/>
    </row>
    <row r="121" spans="1:115" s="227" customFormat="1" x14ac:dyDescent="0.25">
      <c r="A121" s="258"/>
      <c r="B121" s="258"/>
      <c r="C121" s="584"/>
      <c r="D121" s="560"/>
      <c r="E121" s="537"/>
      <c r="F121" s="541"/>
      <c r="G121" s="541"/>
      <c r="H121" s="540">
        <f t="shared" ref="H121:H122" si="15">F121*G121</f>
        <v>0</v>
      </c>
      <c r="I121" s="537"/>
      <c r="J121" s="541"/>
      <c r="K121" s="541"/>
      <c r="L121" s="540">
        <f t="shared" si="14"/>
        <v>0</v>
      </c>
      <c r="M121" s="150"/>
      <c r="N121" s="150"/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  <c r="BM121" s="150"/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  <c r="CH121" s="150"/>
      <c r="CI121" s="150"/>
      <c r="CJ121" s="150"/>
      <c r="CK121" s="150"/>
      <c r="CL121" s="150"/>
      <c r="CM121" s="150"/>
      <c r="CN121" s="150"/>
      <c r="CO121" s="150"/>
      <c r="CP121" s="150"/>
      <c r="CQ121" s="150"/>
      <c r="CR121" s="150"/>
      <c r="CS121" s="150"/>
      <c r="CT121" s="150"/>
      <c r="CU121" s="150"/>
      <c r="CV121" s="150"/>
      <c r="CW121" s="150"/>
      <c r="CX121" s="150"/>
      <c r="CY121" s="150"/>
      <c r="CZ121" s="150"/>
      <c r="DA121" s="150"/>
      <c r="DB121" s="150"/>
      <c r="DC121" s="150"/>
      <c r="DD121" s="150"/>
      <c r="DE121" s="150"/>
      <c r="DF121" s="150"/>
      <c r="DG121" s="150"/>
      <c r="DH121" s="150"/>
      <c r="DI121" s="150"/>
      <c r="DJ121" s="150"/>
      <c r="DK121" s="150"/>
    </row>
    <row r="122" spans="1:115" s="227" customFormat="1" x14ac:dyDescent="0.25">
      <c r="A122" s="257"/>
      <c r="B122" s="258"/>
      <c r="C122" s="585"/>
      <c r="D122" s="560"/>
      <c r="E122" s="537"/>
      <c r="F122" s="253"/>
      <c r="G122" s="541"/>
      <c r="H122" s="536">
        <f t="shared" si="15"/>
        <v>0</v>
      </c>
      <c r="I122" s="537"/>
      <c r="J122" s="253"/>
      <c r="K122" s="541"/>
      <c r="L122" s="536">
        <f t="shared" si="14"/>
        <v>0</v>
      </c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  <c r="CH122" s="150"/>
      <c r="CI122" s="150"/>
      <c r="CJ122" s="150"/>
      <c r="CK122" s="150"/>
      <c r="CL122" s="150"/>
      <c r="CM122" s="150"/>
      <c r="CN122" s="150"/>
      <c r="CO122" s="150"/>
      <c r="CP122" s="150"/>
      <c r="CQ122" s="150"/>
      <c r="CR122" s="150"/>
      <c r="CS122" s="150"/>
      <c r="CT122" s="150"/>
      <c r="CU122" s="150"/>
      <c r="CV122" s="150"/>
      <c r="CW122" s="150"/>
      <c r="CX122" s="150"/>
      <c r="CY122" s="150"/>
      <c r="CZ122" s="150"/>
      <c r="DA122" s="150"/>
      <c r="DB122" s="150"/>
      <c r="DC122" s="150"/>
      <c r="DD122" s="150"/>
      <c r="DE122" s="150"/>
      <c r="DF122" s="150"/>
      <c r="DG122" s="150"/>
      <c r="DH122" s="150"/>
      <c r="DI122" s="150"/>
      <c r="DJ122" s="150"/>
      <c r="DK122" s="150"/>
    </row>
    <row r="123" spans="1:115" x14ac:dyDescent="0.25">
      <c r="A123" s="258"/>
      <c r="B123" s="258"/>
      <c r="C123" s="584"/>
      <c r="D123" s="559" t="s">
        <v>0</v>
      </c>
      <c r="E123" s="534"/>
      <c r="F123" s="542">
        <f>SUM(F103:F122)</f>
        <v>1500</v>
      </c>
      <c r="G123" s="543">
        <f>H123/F123</f>
        <v>89.6</v>
      </c>
      <c r="H123" s="544">
        <f>SUM(H103:H122)</f>
        <v>134400</v>
      </c>
      <c r="I123" s="534"/>
      <c r="J123" s="542">
        <f>SUM(J103:J122)</f>
        <v>0</v>
      </c>
      <c r="K123" s="543" t="e">
        <f>L123/J123</f>
        <v>#DIV/0!</v>
      </c>
      <c r="L123" s="544">
        <f>SUM(L103:L122)</f>
        <v>0</v>
      </c>
    </row>
    <row r="124" spans="1:115" x14ac:dyDescent="0.25">
      <c r="A124" s="545"/>
      <c r="B124" s="545"/>
      <c r="C124" s="586"/>
      <c r="D124" s="561"/>
      <c r="E124" s="546"/>
      <c r="F124" s="546"/>
      <c r="G124" s="547"/>
      <c r="H124" s="548"/>
      <c r="I124" s="546"/>
      <c r="J124" s="546"/>
      <c r="K124" s="547"/>
      <c r="L124" s="548"/>
    </row>
    <row r="125" spans="1:115" x14ac:dyDescent="0.25">
      <c r="A125" s="258"/>
      <c r="B125" s="258"/>
      <c r="C125" s="584"/>
      <c r="D125" s="558"/>
      <c r="E125" s="534"/>
      <c r="F125" s="253"/>
      <c r="G125" s="535"/>
      <c r="H125" s="536">
        <f>F125*G125</f>
        <v>0</v>
      </c>
      <c r="I125" s="534"/>
      <c r="J125" s="253"/>
      <c r="K125" s="535"/>
      <c r="L125" s="536">
        <f>J125*K125</f>
        <v>0</v>
      </c>
    </row>
    <row r="126" spans="1:115" s="304" customFormat="1" x14ac:dyDescent="0.25">
      <c r="A126" s="258" t="s">
        <v>6</v>
      </c>
      <c r="B126" s="258" t="s">
        <v>340</v>
      </c>
      <c r="C126" s="584" t="s">
        <v>341</v>
      </c>
      <c r="D126" s="549">
        <f>D104+1</f>
        <v>45633</v>
      </c>
      <c r="E126" s="537" t="s">
        <v>376</v>
      </c>
      <c r="F126" s="253">
        <v>250</v>
      </c>
      <c r="G126" s="541">
        <v>81</v>
      </c>
      <c r="H126" s="536">
        <f>F126*G126</f>
        <v>20250</v>
      </c>
      <c r="I126" s="537"/>
      <c r="J126" s="253"/>
      <c r="K126" s="541"/>
      <c r="L126" s="536">
        <f>J126*K126</f>
        <v>0</v>
      </c>
      <c r="M126" s="150"/>
      <c r="N126" s="150"/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  <c r="BM126" s="150"/>
      <c r="BN126" s="150"/>
      <c r="BO126" s="150"/>
      <c r="BP126" s="150"/>
      <c r="BQ126" s="150"/>
      <c r="BR126" s="150"/>
      <c r="BS126" s="150"/>
      <c r="BT126" s="150"/>
      <c r="BU126" s="150"/>
      <c r="BV126" s="150"/>
      <c r="BW126" s="150"/>
      <c r="BX126" s="150"/>
      <c r="BY126" s="150"/>
      <c r="BZ126" s="150"/>
      <c r="CA126" s="150"/>
      <c r="CB126" s="150"/>
      <c r="CC126" s="150"/>
      <c r="CD126" s="150"/>
      <c r="CE126" s="150"/>
      <c r="CF126" s="150"/>
      <c r="CG126" s="150"/>
      <c r="CH126" s="150"/>
      <c r="CI126" s="150"/>
      <c r="CJ126" s="150"/>
      <c r="CK126" s="150"/>
      <c r="CL126" s="150"/>
      <c r="CM126" s="150"/>
      <c r="CN126" s="150"/>
      <c r="CO126" s="150"/>
      <c r="CP126" s="150"/>
      <c r="CQ126" s="150"/>
      <c r="CR126" s="150"/>
      <c r="CS126" s="150"/>
      <c r="CT126" s="150"/>
      <c r="CU126" s="150"/>
      <c r="CV126" s="150"/>
      <c r="CW126" s="150"/>
      <c r="CX126" s="150"/>
      <c r="CY126" s="150"/>
      <c r="CZ126" s="150"/>
      <c r="DA126" s="150"/>
      <c r="DB126" s="150"/>
      <c r="DC126" s="150"/>
      <c r="DD126" s="150"/>
      <c r="DE126" s="150"/>
      <c r="DF126" s="150"/>
      <c r="DG126" s="150"/>
      <c r="DH126" s="150"/>
      <c r="DI126" s="150"/>
      <c r="DJ126" s="150"/>
      <c r="DK126" s="150"/>
    </row>
    <row r="127" spans="1:115" s="227" customFormat="1" x14ac:dyDescent="0.25">
      <c r="A127" s="258" t="s">
        <v>6</v>
      </c>
      <c r="B127" s="258" t="s">
        <v>340</v>
      </c>
      <c r="C127" s="584" t="s">
        <v>374</v>
      </c>
      <c r="D127" s="560"/>
      <c r="E127" s="537" t="s">
        <v>377</v>
      </c>
      <c r="F127" s="541">
        <v>100</v>
      </c>
      <c r="G127" s="541">
        <v>81</v>
      </c>
      <c r="H127" s="540">
        <f t="shared" ref="H127:H142" si="16">F127*G127</f>
        <v>8100</v>
      </c>
      <c r="I127" s="537"/>
      <c r="J127" s="541"/>
      <c r="K127" s="541"/>
      <c r="L127" s="540">
        <f t="shared" ref="L127:L142" si="17">J127*K127</f>
        <v>0</v>
      </c>
      <c r="M127" s="150"/>
      <c r="N127" s="150"/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  <c r="BM127" s="150"/>
      <c r="BN127" s="150"/>
      <c r="BO127" s="150"/>
      <c r="BP127" s="150"/>
      <c r="BQ127" s="150"/>
      <c r="BR127" s="150"/>
      <c r="BS127" s="150"/>
      <c r="BT127" s="150"/>
      <c r="BU127" s="150"/>
      <c r="BV127" s="150"/>
      <c r="BW127" s="150"/>
      <c r="BX127" s="150"/>
      <c r="BY127" s="150"/>
      <c r="BZ127" s="150"/>
      <c r="CA127" s="150"/>
      <c r="CB127" s="150"/>
      <c r="CC127" s="150"/>
      <c r="CD127" s="150"/>
      <c r="CE127" s="150"/>
      <c r="CF127" s="150"/>
      <c r="CG127" s="150"/>
      <c r="CH127" s="150"/>
      <c r="CI127" s="150"/>
      <c r="CJ127" s="150"/>
      <c r="CK127" s="150"/>
      <c r="CL127" s="150"/>
      <c r="CM127" s="150"/>
      <c r="CN127" s="150"/>
      <c r="CO127" s="150"/>
      <c r="CP127" s="150"/>
      <c r="CQ127" s="150"/>
      <c r="CR127" s="150"/>
      <c r="CS127" s="150"/>
      <c r="CT127" s="150"/>
      <c r="CU127" s="150"/>
      <c r="CV127" s="150"/>
      <c r="CW127" s="150"/>
      <c r="CX127" s="150"/>
      <c r="CY127" s="150"/>
      <c r="CZ127" s="150"/>
      <c r="DA127" s="150"/>
      <c r="DB127" s="150"/>
      <c r="DC127" s="150"/>
      <c r="DD127" s="150"/>
      <c r="DE127" s="150"/>
      <c r="DF127" s="150"/>
      <c r="DG127" s="150"/>
      <c r="DH127" s="150"/>
      <c r="DI127" s="150"/>
      <c r="DJ127" s="150"/>
      <c r="DK127" s="150"/>
    </row>
    <row r="128" spans="1:115" s="227" customFormat="1" x14ac:dyDescent="0.25">
      <c r="A128" s="258" t="s">
        <v>6</v>
      </c>
      <c r="B128" s="258" t="s">
        <v>340</v>
      </c>
      <c r="C128" s="584" t="s">
        <v>375</v>
      </c>
      <c r="D128" s="560"/>
      <c r="E128" s="537" t="s">
        <v>378</v>
      </c>
      <c r="F128" s="541">
        <v>22</v>
      </c>
      <c r="G128" s="541">
        <v>80</v>
      </c>
      <c r="H128" s="540">
        <f t="shared" si="16"/>
        <v>1760</v>
      </c>
      <c r="I128" s="537"/>
      <c r="J128" s="541"/>
      <c r="K128" s="541"/>
      <c r="L128" s="540">
        <f t="shared" si="17"/>
        <v>0</v>
      </c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  <c r="CT128" s="150"/>
      <c r="CU128" s="150"/>
      <c r="CV128" s="150"/>
      <c r="CW128" s="150"/>
      <c r="CX128" s="150"/>
      <c r="CY128" s="150"/>
      <c r="CZ128" s="150"/>
      <c r="DA128" s="150"/>
      <c r="DB128" s="150"/>
      <c r="DC128" s="150"/>
      <c r="DD128" s="150"/>
      <c r="DE128" s="150"/>
      <c r="DF128" s="150"/>
      <c r="DG128" s="150"/>
      <c r="DH128" s="150"/>
      <c r="DI128" s="150"/>
      <c r="DJ128" s="150"/>
      <c r="DK128" s="150"/>
    </row>
    <row r="129" spans="1:115" s="227" customFormat="1" x14ac:dyDescent="0.25">
      <c r="A129" s="258" t="s">
        <v>6</v>
      </c>
      <c r="B129" s="258" t="s">
        <v>340</v>
      </c>
      <c r="C129" s="584" t="s">
        <v>341</v>
      </c>
      <c r="D129" s="560"/>
      <c r="E129" s="537" t="s">
        <v>379</v>
      </c>
      <c r="F129" s="541">
        <v>78</v>
      </c>
      <c r="G129" s="541">
        <v>80</v>
      </c>
      <c r="H129" s="540">
        <f t="shared" si="16"/>
        <v>6240</v>
      </c>
      <c r="I129" s="537"/>
      <c r="J129" s="541"/>
      <c r="K129" s="541"/>
      <c r="L129" s="540">
        <f t="shared" si="17"/>
        <v>0</v>
      </c>
      <c r="M129" s="150"/>
      <c r="N129" s="150"/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  <c r="BM129" s="150"/>
      <c r="BN129" s="150"/>
      <c r="BO129" s="150"/>
      <c r="BP129" s="150"/>
      <c r="BQ129" s="150"/>
      <c r="BR129" s="150"/>
      <c r="BS129" s="150"/>
      <c r="BT129" s="150"/>
      <c r="BU129" s="150"/>
      <c r="BV129" s="150"/>
      <c r="BW129" s="150"/>
      <c r="BX129" s="150"/>
      <c r="BY129" s="150"/>
      <c r="BZ129" s="150"/>
      <c r="CA129" s="150"/>
      <c r="CB129" s="150"/>
      <c r="CC129" s="150"/>
      <c r="CD129" s="150"/>
      <c r="CE129" s="150"/>
      <c r="CF129" s="150"/>
      <c r="CG129" s="150"/>
      <c r="CH129" s="150"/>
      <c r="CI129" s="150"/>
      <c r="CJ129" s="150"/>
      <c r="CK129" s="150"/>
      <c r="CL129" s="150"/>
      <c r="CM129" s="150"/>
      <c r="CN129" s="150"/>
      <c r="CO129" s="150"/>
      <c r="CP129" s="150"/>
      <c r="CQ129" s="150"/>
      <c r="CR129" s="150"/>
      <c r="CS129" s="150"/>
      <c r="CT129" s="150"/>
      <c r="CU129" s="150"/>
      <c r="CV129" s="150"/>
      <c r="CW129" s="150"/>
      <c r="CX129" s="150"/>
      <c r="CY129" s="150"/>
      <c r="CZ129" s="150"/>
      <c r="DA129" s="150"/>
      <c r="DB129" s="150"/>
      <c r="DC129" s="150"/>
      <c r="DD129" s="150"/>
      <c r="DE129" s="150"/>
      <c r="DF129" s="150"/>
      <c r="DG129" s="150"/>
      <c r="DH129" s="150"/>
      <c r="DI129" s="150"/>
      <c r="DJ129" s="150"/>
      <c r="DK129" s="150"/>
    </row>
    <row r="130" spans="1:115" s="227" customFormat="1" ht="30" x14ac:dyDescent="0.25">
      <c r="A130" s="258" t="s">
        <v>6</v>
      </c>
      <c r="B130" s="258" t="s">
        <v>340</v>
      </c>
      <c r="C130" s="584" t="s">
        <v>351</v>
      </c>
      <c r="D130" s="560"/>
      <c r="E130" s="537" t="s">
        <v>380</v>
      </c>
      <c r="F130" s="541">
        <v>50</v>
      </c>
      <c r="G130" s="541">
        <v>79</v>
      </c>
      <c r="H130" s="540">
        <f t="shared" si="16"/>
        <v>3950</v>
      </c>
      <c r="I130" s="537"/>
      <c r="J130" s="541"/>
      <c r="K130" s="541"/>
      <c r="L130" s="540">
        <f t="shared" si="17"/>
        <v>0</v>
      </c>
      <c r="M130" s="150"/>
      <c r="N130" s="150"/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  <c r="BM130" s="150"/>
      <c r="BN130" s="150"/>
      <c r="BO130" s="150"/>
      <c r="BP130" s="150"/>
      <c r="BQ130" s="150"/>
      <c r="BR130" s="150"/>
      <c r="BS130" s="150"/>
      <c r="BT130" s="150"/>
      <c r="BU130" s="150"/>
      <c r="BV130" s="150"/>
      <c r="BW130" s="150"/>
      <c r="BX130" s="150"/>
      <c r="BY130" s="150"/>
      <c r="BZ130" s="150"/>
      <c r="CA130" s="150"/>
      <c r="CB130" s="150"/>
      <c r="CC130" s="150"/>
      <c r="CD130" s="150"/>
      <c r="CE130" s="150"/>
      <c r="CF130" s="150"/>
      <c r="CG130" s="150"/>
      <c r="CH130" s="150"/>
      <c r="CI130" s="150"/>
      <c r="CJ130" s="150"/>
      <c r="CK130" s="150"/>
      <c r="CL130" s="150"/>
      <c r="CM130" s="150"/>
      <c r="CN130" s="150"/>
      <c r="CO130" s="150"/>
      <c r="CP130" s="150"/>
      <c r="CQ130" s="150"/>
      <c r="CR130" s="150"/>
      <c r="CS130" s="150"/>
      <c r="CT130" s="150"/>
      <c r="CU130" s="150"/>
      <c r="CV130" s="150"/>
      <c r="CW130" s="150"/>
      <c r="CX130" s="150"/>
      <c r="CY130" s="150"/>
      <c r="CZ130" s="150"/>
      <c r="DA130" s="150"/>
      <c r="DB130" s="150"/>
      <c r="DC130" s="150"/>
      <c r="DD130" s="150"/>
      <c r="DE130" s="150"/>
      <c r="DF130" s="150"/>
      <c r="DG130" s="150"/>
      <c r="DH130" s="150"/>
      <c r="DI130" s="150"/>
      <c r="DJ130" s="150"/>
      <c r="DK130" s="150"/>
    </row>
    <row r="131" spans="1:115" s="227" customFormat="1" x14ac:dyDescent="0.25">
      <c r="A131" s="258" t="s">
        <v>6</v>
      </c>
      <c r="B131" s="258" t="s">
        <v>340</v>
      </c>
      <c r="C131" s="584"/>
      <c r="D131" s="560"/>
      <c r="E131" s="537"/>
      <c r="F131" s="541">
        <v>50</v>
      </c>
      <c r="G131" s="541">
        <v>79</v>
      </c>
      <c r="H131" s="540">
        <f t="shared" si="16"/>
        <v>3950</v>
      </c>
      <c r="I131" s="537"/>
      <c r="J131" s="541"/>
      <c r="K131" s="541"/>
      <c r="L131" s="540">
        <f t="shared" si="17"/>
        <v>0</v>
      </c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  <c r="BM131" s="150"/>
      <c r="BN131" s="150"/>
      <c r="BO131" s="150"/>
      <c r="BP131" s="150"/>
      <c r="BQ131" s="150"/>
      <c r="BR131" s="150"/>
      <c r="BS131" s="150"/>
      <c r="BT131" s="150"/>
      <c r="BU131" s="150"/>
      <c r="BV131" s="150"/>
      <c r="BW131" s="150"/>
      <c r="BX131" s="150"/>
      <c r="BY131" s="150"/>
      <c r="BZ131" s="150"/>
      <c r="CA131" s="150"/>
      <c r="CB131" s="150"/>
      <c r="CC131" s="150"/>
      <c r="CD131" s="150"/>
      <c r="CE131" s="150"/>
      <c r="CF131" s="150"/>
      <c r="CG131" s="150"/>
      <c r="CH131" s="150"/>
      <c r="CI131" s="150"/>
      <c r="CJ131" s="150"/>
      <c r="CK131" s="150"/>
      <c r="CL131" s="150"/>
      <c r="CM131" s="150"/>
      <c r="CN131" s="150"/>
      <c r="CO131" s="150"/>
      <c r="CP131" s="150"/>
      <c r="CQ131" s="150"/>
      <c r="CR131" s="150"/>
      <c r="CS131" s="150"/>
      <c r="CT131" s="150"/>
      <c r="CU131" s="150"/>
      <c r="CV131" s="150"/>
      <c r="CW131" s="150"/>
      <c r="CX131" s="150"/>
      <c r="CY131" s="150"/>
      <c r="CZ131" s="150"/>
      <c r="DA131" s="150"/>
      <c r="DB131" s="150"/>
      <c r="DC131" s="150"/>
      <c r="DD131" s="150"/>
      <c r="DE131" s="150"/>
      <c r="DF131" s="150"/>
      <c r="DG131" s="150"/>
      <c r="DH131" s="150"/>
      <c r="DI131" s="150"/>
      <c r="DJ131" s="150"/>
      <c r="DK131" s="150"/>
    </row>
    <row r="132" spans="1:115" s="227" customFormat="1" x14ac:dyDescent="0.25">
      <c r="A132" s="258"/>
      <c r="B132" s="258"/>
      <c r="C132" s="584"/>
      <c r="D132" s="560"/>
      <c r="E132" s="537"/>
      <c r="F132" s="541"/>
      <c r="G132" s="541"/>
      <c r="H132" s="540">
        <f t="shared" si="16"/>
        <v>0</v>
      </c>
      <c r="I132" s="537"/>
      <c r="J132" s="541"/>
      <c r="K132" s="541"/>
      <c r="L132" s="540">
        <f t="shared" si="17"/>
        <v>0</v>
      </c>
      <c r="M132" s="150"/>
      <c r="N132" s="150"/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  <c r="BM132" s="150"/>
      <c r="BN132" s="150"/>
      <c r="BO132" s="150"/>
      <c r="BP132" s="150"/>
      <c r="BQ132" s="150"/>
      <c r="BR132" s="150"/>
      <c r="BS132" s="150"/>
      <c r="BT132" s="150"/>
      <c r="BU132" s="150"/>
      <c r="BV132" s="150"/>
      <c r="BW132" s="150"/>
      <c r="BX132" s="150"/>
      <c r="BY132" s="150"/>
      <c r="BZ132" s="150"/>
      <c r="CA132" s="150"/>
      <c r="CB132" s="150"/>
      <c r="CC132" s="150"/>
      <c r="CD132" s="150"/>
      <c r="CE132" s="150"/>
      <c r="CF132" s="150"/>
      <c r="CG132" s="150"/>
      <c r="CH132" s="150"/>
      <c r="CI132" s="150"/>
      <c r="CJ132" s="150"/>
      <c r="CK132" s="150"/>
      <c r="CL132" s="150"/>
      <c r="CM132" s="150"/>
      <c r="CN132" s="150"/>
      <c r="CO132" s="150"/>
      <c r="CP132" s="150"/>
      <c r="CQ132" s="150"/>
      <c r="CR132" s="150"/>
      <c r="CS132" s="150"/>
      <c r="CT132" s="150"/>
      <c r="CU132" s="150"/>
      <c r="CV132" s="150"/>
      <c r="CW132" s="150"/>
      <c r="CX132" s="150"/>
      <c r="CY132" s="150"/>
      <c r="CZ132" s="150"/>
      <c r="DA132" s="150"/>
      <c r="DB132" s="150"/>
      <c r="DC132" s="150"/>
      <c r="DD132" s="150"/>
      <c r="DE132" s="150"/>
      <c r="DF132" s="150"/>
      <c r="DG132" s="150"/>
      <c r="DH132" s="150"/>
      <c r="DI132" s="150"/>
      <c r="DJ132" s="150"/>
      <c r="DK132" s="150"/>
    </row>
    <row r="133" spans="1:115" s="227" customFormat="1" x14ac:dyDescent="0.25">
      <c r="A133" s="258"/>
      <c r="B133" s="258"/>
      <c r="C133" s="584"/>
      <c r="D133" s="560"/>
      <c r="E133" s="537"/>
      <c r="F133" s="541"/>
      <c r="G133" s="541"/>
      <c r="H133" s="540">
        <f t="shared" si="16"/>
        <v>0</v>
      </c>
      <c r="I133" s="537"/>
      <c r="J133" s="541"/>
      <c r="K133" s="541"/>
      <c r="L133" s="540">
        <f t="shared" si="17"/>
        <v>0</v>
      </c>
      <c r="M133" s="150"/>
      <c r="N133" s="150"/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  <c r="BM133" s="150"/>
      <c r="BN133" s="150"/>
      <c r="BO133" s="150"/>
      <c r="BP133" s="150"/>
      <c r="BQ133" s="150"/>
      <c r="BR133" s="150"/>
      <c r="BS133" s="150"/>
      <c r="BT133" s="150"/>
      <c r="BU133" s="150"/>
      <c r="BV133" s="150"/>
      <c r="BW133" s="150"/>
      <c r="BX133" s="150"/>
      <c r="BY133" s="150"/>
      <c r="BZ133" s="150"/>
      <c r="CA133" s="150"/>
      <c r="CB133" s="150"/>
      <c r="CC133" s="150"/>
      <c r="CD133" s="150"/>
      <c r="CE133" s="150"/>
      <c r="CF133" s="150"/>
      <c r="CG133" s="150"/>
      <c r="CH133" s="150"/>
      <c r="CI133" s="150"/>
      <c r="CJ133" s="150"/>
      <c r="CK133" s="150"/>
      <c r="CL133" s="150"/>
      <c r="CM133" s="150"/>
      <c r="CN133" s="150"/>
      <c r="CO133" s="150"/>
      <c r="CP133" s="150"/>
      <c r="CQ133" s="150"/>
      <c r="CR133" s="150"/>
      <c r="CS133" s="150"/>
      <c r="CT133" s="150"/>
      <c r="CU133" s="150"/>
      <c r="CV133" s="150"/>
      <c r="CW133" s="150"/>
      <c r="CX133" s="150"/>
      <c r="CY133" s="150"/>
      <c r="CZ133" s="150"/>
      <c r="DA133" s="150"/>
      <c r="DB133" s="150"/>
      <c r="DC133" s="150"/>
      <c r="DD133" s="150"/>
      <c r="DE133" s="150"/>
      <c r="DF133" s="150"/>
      <c r="DG133" s="150"/>
      <c r="DH133" s="150"/>
      <c r="DI133" s="150"/>
      <c r="DJ133" s="150"/>
      <c r="DK133" s="150"/>
    </row>
    <row r="134" spans="1:115" s="227" customFormat="1" x14ac:dyDescent="0.25">
      <c r="A134" s="258"/>
      <c r="B134" s="258"/>
      <c r="C134" s="584"/>
      <c r="D134" s="560"/>
      <c r="E134" s="537"/>
      <c r="F134" s="541"/>
      <c r="G134" s="541"/>
      <c r="H134" s="540">
        <f t="shared" si="16"/>
        <v>0</v>
      </c>
      <c r="I134" s="537"/>
      <c r="J134" s="541"/>
      <c r="K134" s="541"/>
      <c r="L134" s="540">
        <f t="shared" si="17"/>
        <v>0</v>
      </c>
      <c r="M134" s="150"/>
      <c r="N134" s="150"/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  <c r="BM134" s="150"/>
      <c r="BN134" s="150"/>
      <c r="BO134" s="150"/>
      <c r="BP134" s="150"/>
      <c r="BQ134" s="150"/>
      <c r="BR134" s="150"/>
      <c r="BS134" s="150"/>
      <c r="BT134" s="150"/>
      <c r="BU134" s="150"/>
      <c r="BV134" s="150"/>
      <c r="BW134" s="150"/>
      <c r="BX134" s="150"/>
      <c r="BY134" s="150"/>
      <c r="BZ134" s="150"/>
      <c r="CA134" s="150"/>
      <c r="CB134" s="150"/>
      <c r="CC134" s="150"/>
      <c r="CD134" s="150"/>
      <c r="CE134" s="150"/>
      <c r="CF134" s="150"/>
      <c r="CG134" s="150"/>
      <c r="CH134" s="150"/>
      <c r="CI134" s="150"/>
      <c r="CJ134" s="150"/>
      <c r="CK134" s="150"/>
      <c r="CL134" s="150"/>
      <c r="CM134" s="150"/>
      <c r="CN134" s="150"/>
      <c r="CO134" s="150"/>
      <c r="CP134" s="150"/>
      <c r="CQ134" s="150"/>
      <c r="CR134" s="150"/>
      <c r="CS134" s="150"/>
      <c r="CT134" s="150"/>
      <c r="CU134" s="150"/>
      <c r="CV134" s="150"/>
      <c r="CW134" s="150"/>
      <c r="CX134" s="150"/>
      <c r="CY134" s="150"/>
      <c r="CZ134" s="150"/>
      <c r="DA134" s="150"/>
      <c r="DB134" s="150"/>
      <c r="DC134" s="150"/>
      <c r="DD134" s="150"/>
      <c r="DE134" s="150"/>
      <c r="DF134" s="150"/>
      <c r="DG134" s="150"/>
      <c r="DH134" s="150"/>
      <c r="DI134" s="150"/>
      <c r="DJ134" s="150"/>
      <c r="DK134" s="150"/>
    </row>
    <row r="135" spans="1:115" s="227" customFormat="1" x14ac:dyDescent="0.25">
      <c r="A135" s="258"/>
      <c r="B135" s="258"/>
      <c r="C135" s="584"/>
      <c r="D135" s="560"/>
      <c r="E135" s="537"/>
      <c r="F135" s="541"/>
      <c r="G135" s="541"/>
      <c r="H135" s="540">
        <f t="shared" si="16"/>
        <v>0</v>
      </c>
      <c r="I135" s="537"/>
      <c r="J135" s="541"/>
      <c r="K135" s="541"/>
      <c r="L135" s="540">
        <f t="shared" si="17"/>
        <v>0</v>
      </c>
      <c r="M135" s="150"/>
      <c r="N135" s="150"/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  <c r="BM135" s="150"/>
      <c r="BN135" s="150"/>
      <c r="BO135" s="150"/>
      <c r="BP135" s="150"/>
      <c r="BQ135" s="150"/>
      <c r="BR135" s="150"/>
      <c r="BS135" s="150"/>
      <c r="BT135" s="150"/>
      <c r="BU135" s="150"/>
      <c r="BV135" s="150"/>
      <c r="BW135" s="150"/>
      <c r="BX135" s="150"/>
      <c r="BY135" s="150"/>
      <c r="BZ135" s="150"/>
      <c r="CA135" s="150"/>
      <c r="CB135" s="150"/>
      <c r="CC135" s="150"/>
      <c r="CD135" s="150"/>
      <c r="CE135" s="150"/>
      <c r="CF135" s="150"/>
      <c r="CG135" s="150"/>
      <c r="CH135" s="150"/>
      <c r="CI135" s="150"/>
      <c r="CJ135" s="150"/>
      <c r="CK135" s="150"/>
      <c r="CL135" s="150"/>
      <c r="CM135" s="150"/>
      <c r="CN135" s="150"/>
      <c r="CO135" s="150"/>
      <c r="CP135" s="150"/>
      <c r="CQ135" s="150"/>
      <c r="CR135" s="150"/>
      <c r="CS135" s="150"/>
      <c r="CT135" s="150"/>
      <c r="CU135" s="150"/>
      <c r="CV135" s="150"/>
      <c r="CW135" s="150"/>
      <c r="CX135" s="150"/>
      <c r="CY135" s="150"/>
      <c r="CZ135" s="150"/>
      <c r="DA135" s="150"/>
      <c r="DB135" s="150"/>
      <c r="DC135" s="150"/>
      <c r="DD135" s="150"/>
      <c r="DE135" s="150"/>
      <c r="DF135" s="150"/>
      <c r="DG135" s="150"/>
      <c r="DH135" s="150"/>
      <c r="DI135" s="150"/>
      <c r="DJ135" s="150"/>
      <c r="DK135" s="150"/>
    </row>
    <row r="136" spans="1:115" s="227" customFormat="1" x14ac:dyDescent="0.25">
      <c r="A136" s="258"/>
      <c r="B136" s="258"/>
      <c r="C136" s="584"/>
      <c r="D136" s="560"/>
      <c r="E136" s="537"/>
      <c r="F136" s="541"/>
      <c r="G136" s="541"/>
      <c r="H136" s="540">
        <f t="shared" si="16"/>
        <v>0</v>
      </c>
      <c r="I136" s="537"/>
      <c r="J136" s="541"/>
      <c r="K136" s="541"/>
      <c r="L136" s="540">
        <f t="shared" si="17"/>
        <v>0</v>
      </c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  <c r="BM136" s="150"/>
      <c r="BN136" s="150"/>
      <c r="BO136" s="150"/>
      <c r="BP136" s="150"/>
      <c r="BQ136" s="150"/>
      <c r="BR136" s="150"/>
      <c r="BS136" s="150"/>
      <c r="BT136" s="150"/>
      <c r="BU136" s="150"/>
      <c r="BV136" s="150"/>
      <c r="BW136" s="150"/>
      <c r="BX136" s="150"/>
      <c r="BY136" s="150"/>
      <c r="BZ136" s="150"/>
      <c r="CA136" s="150"/>
      <c r="CB136" s="150"/>
      <c r="CC136" s="150"/>
      <c r="CD136" s="150"/>
      <c r="CE136" s="150"/>
      <c r="CF136" s="150"/>
      <c r="CG136" s="150"/>
      <c r="CH136" s="150"/>
      <c r="CI136" s="150"/>
      <c r="CJ136" s="150"/>
      <c r="CK136" s="150"/>
      <c r="CL136" s="150"/>
      <c r="CM136" s="150"/>
      <c r="CN136" s="150"/>
      <c r="CO136" s="150"/>
      <c r="CP136" s="150"/>
      <c r="CQ136" s="150"/>
      <c r="CR136" s="150"/>
      <c r="CS136" s="150"/>
      <c r="CT136" s="150"/>
      <c r="CU136" s="150"/>
      <c r="CV136" s="150"/>
      <c r="CW136" s="150"/>
      <c r="CX136" s="150"/>
      <c r="CY136" s="150"/>
      <c r="CZ136" s="150"/>
      <c r="DA136" s="150"/>
      <c r="DB136" s="150"/>
      <c r="DC136" s="150"/>
      <c r="DD136" s="150"/>
      <c r="DE136" s="150"/>
      <c r="DF136" s="150"/>
      <c r="DG136" s="150"/>
      <c r="DH136" s="150"/>
      <c r="DI136" s="150"/>
      <c r="DJ136" s="150"/>
      <c r="DK136" s="150"/>
    </row>
    <row r="137" spans="1:115" s="25" customFormat="1" x14ac:dyDescent="0.25">
      <c r="A137" s="610"/>
      <c r="B137" s="610"/>
      <c r="C137" s="611"/>
      <c r="D137" s="612"/>
      <c r="E137" s="613"/>
      <c r="F137" s="614"/>
      <c r="G137" s="615"/>
      <c r="H137" s="616">
        <f>F137*G137</f>
        <v>0</v>
      </c>
      <c r="I137" s="613"/>
      <c r="J137" s="614"/>
      <c r="K137" s="615"/>
      <c r="L137" s="616">
        <f>J137*K137</f>
        <v>0</v>
      </c>
    </row>
    <row r="138" spans="1:115" s="227" customFormat="1" x14ac:dyDescent="0.25">
      <c r="A138" s="258"/>
      <c r="B138" s="258"/>
      <c r="C138" s="584"/>
      <c r="D138" s="560"/>
      <c r="E138" s="537"/>
      <c r="F138" s="541"/>
      <c r="G138" s="541"/>
      <c r="H138" s="540">
        <f t="shared" si="16"/>
        <v>0</v>
      </c>
      <c r="I138" s="537"/>
      <c r="J138" s="541"/>
      <c r="K138" s="541"/>
      <c r="L138" s="540">
        <f t="shared" si="17"/>
        <v>0</v>
      </c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  <c r="BM138" s="150"/>
      <c r="BN138" s="150"/>
      <c r="BO138" s="150"/>
      <c r="BP138" s="150"/>
      <c r="BQ138" s="150"/>
      <c r="BR138" s="150"/>
      <c r="BS138" s="150"/>
      <c r="BT138" s="150"/>
      <c r="BU138" s="150"/>
      <c r="BV138" s="150"/>
      <c r="BW138" s="150"/>
      <c r="BX138" s="150"/>
      <c r="BY138" s="150"/>
      <c r="BZ138" s="150"/>
      <c r="CA138" s="150"/>
      <c r="CB138" s="150"/>
      <c r="CC138" s="150"/>
      <c r="CD138" s="150"/>
      <c r="CE138" s="150"/>
      <c r="CF138" s="150"/>
      <c r="CG138" s="150"/>
      <c r="CH138" s="150"/>
      <c r="CI138" s="150"/>
      <c r="CJ138" s="150"/>
      <c r="CK138" s="150"/>
      <c r="CL138" s="150"/>
      <c r="CM138" s="150"/>
      <c r="CN138" s="150"/>
      <c r="CO138" s="150"/>
      <c r="CP138" s="150"/>
      <c r="CQ138" s="150"/>
      <c r="CR138" s="150"/>
      <c r="CS138" s="150"/>
      <c r="CT138" s="150"/>
      <c r="CU138" s="150"/>
      <c r="CV138" s="150"/>
      <c r="CW138" s="150"/>
      <c r="CX138" s="150"/>
      <c r="CY138" s="150"/>
      <c r="CZ138" s="150"/>
      <c r="DA138" s="150"/>
      <c r="DB138" s="150"/>
      <c r="DC138" s="150"/>
      <c r="DD138" s="150"/>
      <c r="DE138" s="150"/>
      <c r="DF138" s="150"/>
      <c r="DG138" s="150"/>
      <c r="DH138" s="150"/>
      <c r="DI138" s="150"/>
      <c r="DJ138" s="150"/>
      <c r="DK138" s="150"/>
    </row>
    <row r="139" spans="1:115" x14ac:dyDescent="0.25">
      <c r="A139" s="258"/>
      <c r="B139" s="258"/>
      <c r="C139" s="585"/>
      <c r="D139" s="558"/>
      <c r="E139" s="534"/>
      <c r="F139" s="253"/>
      <c r="G139" s="253"/>
      <c r="H139" s="536">
        <f t="shared" si="16"/>
        <v>0</v>
      </c>
      <c r="I139" s="534"/>
      <c r="J139" s="253"/>
      <c r="K139" s="253"/>
      <c r="L139" s="536">
        <f t="shared" si="17"/>
        <v>0</v>
      </c>
    </row>
    <row r="140" spans="1:115" s="260" customFormat="1" x14ac:dyDescent="0.25">
      <c r="A140" s="258"/>
      <c r="B140" s="258"/>
      <c r="C140" s="584"/>
      <c r="D140" s="549"/>
      <c r="E140" s="550"/>
      <c r="F140" s="259"/>
      <c r="G140" s="551"/>
      <c r="H140" s="536">
        <f t="shared" si="16"/>
        <v>0</v>
      </c>
      <c r="I140" s="550"/>
      <c r="J140" s="259"/>
      <c r="K140" s="551"/>
      <c r="L140" s="536">
        <f t="shared" si="17"/>
        <v>0</v>
      </c>
      <c r="M140" s="150"/>
      <c r="N140" s="150"/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  <c r="BM140" s="150"/>
      <c r="BN140" s="150"/>
      <c r="BO140" s="150"/>
      <c r="BP140" s="150"/>
      <c r="BQ140" s="150"/>
      <c r="BR140" s="150"/>
      <c r="BS140" s="150"/>
      <c r="BT140" s="150"/>
      <c r="BU140" s="150"/>
      <c r="BV140" s="150"/>
      <c r="BW140" s="150"/>
      <c r="BX140" s="150"/>
      <c r="BY140" s="150"/>
      <c r="BZ140" s="150"/>
      <c r="CA140" s="150"/>
      <c r="CB140" s="150"/>
      <c r="CC140" s="150"/>
      <c r="CD140" s="150"/>
      <c r="CE140" s="150"/>
      <c r="CF140" s="150"/>
      <c r="CG140" s="150"/>
      <c r="CH140" s="150"/>
      <c r="CI140" s="150"/>
      <c r="CJ140" s="150"/>
      <c r="CK140" s="150"/>
      <c r="CL140" s="150"/>
      <c r="CM140" s="150"/>
      <c r="CN140" s="150"/>
      <c r="CO140" s="150"/>
      <c r="CP140" s="150"/>
      <c r="CQ140" s="150"/>
      <c r="CR140" s="150"/>
      <c r="CS140" s="150"/>
      <c r="CT140" s="150"/>
      <c r="CU140" s="150"/>
      <c r="CV140" s="150"/>
      <c r="CW140" s="150"/>
      <c r="CX140" s="150"/>
      <c r="CY140" s="150"/>
      <c r="CZ140" s="150"/>
      <c r="DA140" s="150"/>
      <c r="DB140" s="150"/>
      <c r="DC140" s="150"/>
      <c r="DD140" s="150"/>
      <c r="DE140" s="150"/>
      <c r="DF140" s="150"/>
      <c r="DG140" s="150"/>
      <c r="DH140" s="150"/>
      <c r="DI140" s="150"/>
      <c r="DJ140" s="150"/>
      <c r="DK140" s="150"/>
    </row>
    <row r="141" spans="1:115" s="260" customFormat="1" x14ac:dyDescent="0.25">
      <c r="A141" s="258"/>
      <c r="B141" s="258"/>
      <c r="C141" s="584"/>
      <c r="D141" s="549"/>
      <c r="E141" s="550"/>
      <c r="F141" s="259"/>
      <c r="G141" s="551"/>
      <c r="H141" s="536">
        <f t="shared" si="16"/>
        <v>0</v>
      </c>
      <c r="I141" s="550"/>
      <c r="J141" s="259"/>
      <c r="K141" s="551"/>
      <c r="L141" s="536">
        <f t="shared" si="17"/>
        <v>0</v>
      </c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  <c r="BM141" s="150"/>
      <c r="BN141" s="150"/>
      <c r="BO141" s="150"/>
      <c r="BP141" s="150"/>
      <c r="BQ141" s="150"/>
      <c r="BR141" s="150"/>
      <c r="BS141" s="150"/>
      <c r="BT141" s="150"/>
      <c r="BU141" s="150"/>
      <c r="BV141" s="150"/>
      <c r="BW141" s="150"/>
      <c r="BX141" s="150"/>
      <c r="BY141" s="150"/>
      <c r="BZ141" s="150"/>
      <c r="CA141" s="150"/>
      <c r="CB141" s="150"/>
      <c r="CC141" s="150"/>
      <c r="CD141" s="150"/>
      <c r="CE141" s="150"/>
      <c r="CF141" s="150"/>
      <c r="CG141" s="150"/>
      <c r="CH141" s="150"/>
      <c r="CI141" s="150"/>
      <c r="CJ141" s="150"/>
      <c r="CK141" s="150"/>
      <c r="CL141" s="150"/>
      <c r="CM141" s="150"/>
      <c r="CN141" s="150"/>
      <c r="CO141" s="150"/>
      <c r="CP141" s="150"/>
      <c r="CQ141" s="150"/>
      <c r="CR141" s="150"/>
      <c r="CS141" s="150"/>
      <c r="CT141" s="150"/>
      <c r="CU141" s="150"/>
      <c r="CV141" s="150"/>
      <c r="CW141" s="150"/>
      <c r="CX141" s="150"/>
      <c r="CY141" s="150"/>
      <c r="CZ141" s="150"/>
      <c r="DA141" s="150"/>
      <c r="DB141" s="150"/>
      <c r="DC141" s="150"/>
      <c r="DD141" s="150"/>
      <c r="DE141" s="150"/>
      <c r="DF141" s="150"/>
      <c r="DG141" s="150"/>
      <c r="DH141" s="150"/>
      <c r="DI141" s="150"/>
      <c r="DJ141" s="150"/>
      <c r="DK141" s="150"/>
    </row>
    <row r="142" spans="1:115" s="260" customFormat="1" x14ac:dyDescent="0.25">
      <c r="A142" s="258"/>
      <c r="B142" s="258"/>
      <c r="C142" s="584"/>
      <c r="D142" s="549"/>
      <c r="E142" s="550"/>
      <c r="F142" s="259"/>
      <c r="G142" s="551"/>
      <c r="H142" s="536">
        <f t="shared" si="16"/>
        <v>0</v>
      </c>
      <c r="I142" s="550"/>
      <c r="J142" s="259"/>
      <c r="K142" s="551"/>
      <c r="L142" s="536">
        <f t="shared" si="17"/>
        <v>0</v>
      </c>
      <c r="M142" s="150"/>
      <c r="N142" s="150"/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  <c r="BM142" s="150"/>
      <c r="BN142" s="150"/>
      <c r="BO142" s="150"/>
      <c r="BP142" s="150"/>
      <c r="BQ142" s="150"/>
      <c r="BR142" s="150"/>
      <c r="BS142" s="150"/>
      <c r="BT142" s="150"/>
      <c r="BU142" s="150"/>
      <c r="BV142" s="150"/>
      <c r="BW142" s="150"/>
      <c r="BX142" s="150"/>
      <c r="BY142" s="150"/>
      <c r="BZ142" s="150"/>
      <c r="CA142" s="150"/>
      <c r="CB142" s="150"/>
      <c r="CC142" s="150"/>
      <c r="CD142" s="150"/>
      <c r="CE142" s="150"/>
      <c r="CF142" s="150"/>
      <c r="CG142" s="150"/>
      <c r="CH142" s="150"/>
      <c r="CI142" s="150"/>
      <c r="CJ142" s="150"/>
      <c r="CK142" s="150"/>
      <c r="CL142" s="150"/>
      <c r="CM142" s="150"/>
      <c r="CN142" s="150"/>
      <c r="CO142" s="150"/>
      <c r="CP142" s="150"/>
      <c r="CQ142" s="150"/>
      <c r="CR142" s="150"/>
      <c r="CS142" s="150"/>
      <c r="CT142" s="150"/>
      <c r="CU142" s="150"/>
      <c r="CV142" s="150"/>
      <c r="CW142" s="150"/>
      <c r="CX142" s="150"/>
      <c r="CY142" s="150"/>
      <c r="CZ142" s="150"/>
      <c r="DA142" s="150"/>
      <c r="DB142" s="150"/>
      <c r="DC142" s="150"/>
      <c r="DD142" s="150"/>
      <c r="DE142" s="150"/>
      <c r="DF142" s="150"/>
      <c r="DG142" s="150"/>
      <c r="DH142" s="150"/>
      <c r="DI142" s="150"/>
      <c r="DJ142" s="150"/>
      <c r="DK142" s="150"/>
    </row>
    <row r="143" spans="1:115" x14ac:dyDescent="0.25">
      <c r="A143" s="258"/>
      <c r="B143" s="258"/>
      <c r="C143" s="584"/>
      <c r="D143" s="559" t="s">
        <v>0</v>
      </c>
      <c r="E143" s="534"/>
      <c r="F143" s="542">
        <f>SUM(F125:F142)</f>
        <v>550</v>
      </c>
      <c r="G143" s="543">
        <f>H143/F143</f>
        <v>80.454545454545453</v>
      </c>
      <c r="H143" s="544">
        <f>SUM(H125:H142)</f>
        <v>44250</v>
      </c>
      <c r="I143" s="534"/>
      <c r="J143" s="542">
        <f>SUM(J125:J142)</f>
        <v>0</v>
      </c>
      <c r="K143" s="543" t="e">
        <f>L143/J143</f>
        <v>#DIV/0!</v>
      </c>
      <c r="L143" s="544">
        <f>SUM(L125:L142)</f>
        <v>0</v>
      </c>
    </row>
    <row r="144" spans="1:115" x14ac:dyDescent="0.25">
      <c r="A144" s="545"/>
      <c r="B144" s="545"/>
      <c r="C144" s="586"/>
      <c r="D144" s="561"/>
      <c r="E144" s="546"/>
      <c r="F144" s="546"/>
      <c r="G144" s="547"/>
      <c r="H144" s="548"/>
      <c r="I144" s="546"/>
      <c r="J144" s="546"/>
      <c r="K144" s="547"/>
      <c r="L144" s="548"/>
    </row>
    <row r="145" spans="1:115" x14ac:dyDescent="0.25">
      <c r="A145" s="258"/>
      <c r="B145" s="258"/>
      <c r="C145" s="584"/>
      <c r="D145" s="558"/>
      <c r="E145" s="534"/>
      <c r="F145" s="253"/>
      <c r="G145" s="535"/>
      <c r="H145" s="536">
        <f t="shared" ref="H145:H161" si="18">F145*G145</f>
        <v>0</v>
      </c>
      <c r="I145" s="534"/>
      <c r="J145" s="253"/>
      <c r="K145" s="535"/>
      <c r="L145" s="536">
        <f t="shared" ref="L145:L161" si="19">J145*K145</f>
        <v>0</v>
      </c>
    </row>
    <row r="146" spans="1:115" s="304" customFormat="1" x14ac:dyDescent="0.25">
      <c r="A146" s="258"/>
      <c r="B146" s="258"/>
      <c r="C146" s="584"/>
      <c r="D146" s="549">
        <f>+D126+1</f>
        <v>45634</v>
      </c>
      <c r="E146" s="534"/>
      <c r="F146" s="262"/>
      <c r="G146" s="535"/>
      <c r="H146" s="536">
        <f t="shared" si="18"/>
        <v>0</v>
      </c>
      <c r="I146" s="534"/>
      <c r="J146" s="262"/>
      <c r="K146" s="535"/>
      <c r="L146" s="536">
        <f t="shared" si="19"/>
        <v>0</v>
      </c>
      <c r="M146" s="150"/>
      <c r="N146" s="150"/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  <c r="BM146" s="150"/>
      <c r="BN146" s="150"/>
      <c r="BO146" s="150"/>
      <c r="BP146" s="150"/>
      <c r="BQ146" s="150"/>
      <c r="BR146" s="150"/>
      <c r="BS146" s="150"/>
      <c r="BT146" s="150"/>
      <c r="BU146" s="150"/>
      <c r="BV146" s="150"/>
      <c r="BW146" s="150"/>
      <c r="BX146" s="150"/>
      <c r="BY146" s="150"/>
      <c r="BZ146" s="150"/>
      <c r="CA146" s="150"/>
      <c r="CB146" s="150"/>
      <c r="CC146" s="150"/>
      <c r="CD146" s="150"/>
      <c r="CE146" s="150"/>
      <c r="CF146" s="150"/>
      <c r="CG146" s="150"/>
      <c r="CH146" s="150"/>
      <c r="CI146" s="150"/>
      <c r="CJ146" s="150"/>
      <c r="CK146" s="150"/>
      <c r="CL146" s="150"/>
      <c r="CM146" s="150"/>
      <c r="CN146" s="150"/>
      <c r="CO146" s="150"/>
      <c r="CP146" s="150"/>
      <c r="CQ146" s="150"/>
      <c r="CR146" s="150"/>
      <c r="CS146" s="150"/>
      <c r="CT146" s="150"/>
      <c r="CU146" s="150"/>
      <c r="CV146" s="150"/>
      <c r="CW146" s="150"/>
      <c r="CX146" s="150"/>
      <c r="CY146" s="150"/>
      <c r="CZ146" s="150"/>
      <c r="DA146" s="150"/>
      <c r="DB146" s="150"/>
      <c r="DC146" s="150"/>
      <c r="DD146" s="150"/>
      <c r="DE146" s="150"/>
      <c r="DF146" s="150"/>
      <c r="DG146" s="150"/>
      <c r="DH146" s="150"/>
      <c r="DI146" s="150"/>
      <c r="DJ146" s="150"/>
      <c r="DK146" s="150"/>
    </row>
    <row r="147" spans="1:115" s="227" customFormat="1" x14ac:dyDescent="0.25">
      <c r="A147" s="258" t="s">
        <v>6</v>
      </c>
      <c r="B147" s="258" t="s">
        <v>340</v>
      </c>
      <c r="C147" s="584" t="s">
        <v>341</v>
      </c>
      <c r="D147" s="560"/>
      <c r="E147" s="537"/>
      <c r="F147" s="541">
        <v>250</v>
      </c>
      <c r="G147" s="541">
        <v>81</v>
      </c>
      <c r="H147" s="540">
        <f t="shared" si="18"/>
        <v>20250</v>
      </c>
      <c r="I147" s="537"/>
      <c r="J147" s="541"/>
      <c r="K147" s="541"/>
      <c r="L147" s="540">
        <f t="shared" si="19"/>
        <v>0</v>
      </c>
      <c r="M147" s="150"/>
      <c r="N147" s="150"/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  <c r="BM147" s="150"/>
      <c r="BN147" s="150"/>
      <c r="BO147" s="150"/>
      <c r="BP147" s="150"/>
      <c r="BQ147" s="150"/>
      <c r="BR147" s="150"/>
      <c r="BS147" s="150"/>
      <c r="BT147" s="150"/>
      <c r="BU147" s="150"/>
      <c r="BV147" s="150"/>
      <c r="BW147" s="150"/>
      <c r="BX147" s="150"/>
      <c r="BY147" s="150"/>
      <c r="BZ147" s="150"/>
      <c r="CA147" s="150"/>
      <c r="CB147" s="150"/>
      <c r="CC147" s="150"/>
      <c r="CD147" s="150"/>
      <c r="CE147" s="150"/>
      <c r="CF147" s="150"/>
      <c r="CG147" s="150"/>
      <c r="CH147" s="150"/>
      <c r="CI147" s="150"/>
      <c r="CJ147" s="150"/>
      <c r="CK147" s="150"/>
      <c r="CL147" s="150"/>
      <c r="CM147" s="150"/>
      <c r="CN147" s="150"/>
      <c r="CO147" s="150"/>
      <c r="CP147" s="150"/>
      <c r="CQ147" s="150"/>
      <c r="CR147" s="150"/>
      <c r="CS147" s="150"/>
      <c r="CT147" s="150"/>
      <c r="CU147" s="150"/>
      <c r="CV147" s="150"/>
      <c r="CW147" s="150"/>
      <c r="CX147" s="150"/>
      <c r="CY147" s="150"/>
      <c r="CZ147" s="150"/>
      <c r="DA147" s="150"/>
      <c r="DB147" s="150"/>
      <c r="DC147" s="150"/>
      <c r="DD147" s="150"/>
      <c r="DE147" s="150"/>
      <c r="DF147" s="150"/>
      <c r="DG147" s="150"/>
      <c r="DH147" s="150"/>
      <c r="DI147" s="150"/>
      <c r="DJ147" s="150"/>
      <c r="DK147" s="150"/>
    </row>
    <row r="148" spans="1:115" s="227" customFormat="1" x14ac:dyDescent="0.25">
      <c r="A148" s="258" t="s">
        <v>6</v>
      </c>
      <c r="B148" s="258" t="s">
        <v>340</v>
      </c>
      <c r="C148" s="584" t="s">
        <v>381</v>
      </c>
      <c r="D148" s="560"/>
      <c r="E148" s="537"/>
      <c r="F148" s="541">
        <v>137</v>
      </c>
      <c r="G148" s="541">
        <v>80</v>
      </c>
      <c r="H148" s="540">
        <f t="shared" si="18"/>
        <v>10960</v>
      </c>
      <c r="I148" s="537"/>
      <c r="J148" s="541"/>
      <c r="K148" s="541"/>
      <c r="L148" s="540">
        <f t="shared" si="19"/>
        <v>0</v>
      </c>
      <c r="M148" s="150"/>
      <c r="N148" s="150"/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  <c r="BM148" s="150"/>
      <c r="BN148" s="150"/>
      <c r="BO148" s="150"/>
      <c r="BP148" s="150"/>
      <c r="BQ148" s="150"/>
      <c r="BR148" s="150"/>
      <c r="BS148" s="150"/>
      <c r="BT148" s="150"/>
      <c r="BU148" s="150"/>
      <c r="BV148" s="150"/>
      <c r="BW148" s="150"/>
      <c r="BX148" s="150"/>
      <c r="BY148" s="150"/>
      <c r="BZ148" s="150"/>
      <c r="CA148" s="150"/>
      <c r="CB148" s="150"/>
      <c r="CC148" s="150"/>
      <c r="CD148" s="150"/>
      <c r="CE148" s="150"/>
      <c r="CF148" s="150"/>
      <c r="CG148" s="150"/>
      <c r="CH148" s="150"/>
      <c r="CI148" s="150"/>
      <c r="CJ148" s="150"/>
      <c r="CK148" s="150"/>
      <c r="CL148" s="150"/>
      <c r="CM148" s="150"/>
      <c r="CN148" s="150"/>
      <c r="CO148" s="150"/>
      <c r="CP148" s="150"/>
      <c r="CQ148" s="150"/>
      <c r="CR148" s="150"/>
      <c r="CS148" s="150"/>
      <c r="CT148" s="150"/>
      <c r="CU148" s="150"/>
      <c r="CV148" s="150"/>
      <c r="CW148" s="150"/>
      <c r="CX148" s="150"/>
      <c r="CY148" s="150"/>
      <c r="CZ148" s="150"/>
      <c r="DA148" s="150"/>
      <c r="DB148" s="150"/>
      <c r="DC148" s="150"/>
      <c r="DD148" s="150"/>
      <c r="DE148" s="150"/>
      <c r="DF148" s="150"/>
      <c r="DG148" s="150"/>
      <c r="DH148" s="150"/>
      <c r="DI148" s="150"/>
      <c r="DJ148" s="150"/>
      <c r="DK148" s="150"/>
    </row>
    <row r="149" spans="1:115" s="227" customFormat="1" x14ac:dyDescent="0.25">
      <c r="A149" s="258" t="s">
        <v>6</v>
      </c>
      <c r="B149" s="258" t="s">
        <v>340</v>
      </c>
      <c r="C149" s="584" t="s">
        <v>341</v>
      </c>
      <c r="D149" s="560"/>
      <c r="E149" s="537"/>
      <c r="F149" s="541">
        <v>200</v>
      </c>
      <c r="G149" s="541">
        <v>82</v>
      </c>
      <c r="H149" s="540">
        <f t="shared" si="18"/>
        <v>16400</v>
      </c>
      <c r="I149" s="537"/>
      <c r="J149" s="541"/>
      <c r="K149" s="541"/>
      <c r="L149" s="540">
        <f t="shared" si="19"/>
        <v>0</v>
      </c>
      <c r="M149" s="150"/>
      <c r="N149" s="150"/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  <c r="BM149" s="150"/>
      <c r="BN149" s="150"/>
      <c r="BO149" s="150"/>
      <c r="BP149" s="150"/>
      <c r="BQ149" s="150"/>
      <c r="BR149" s="150"/>
      <c r="BS149" s="150"/>
      <c r="BT149" s="150"/>
      <c r="BU149" s="150"/>
      <c r="BV149" s="150"/>
      <c r="BW149" s="150"/>
      <c r="BX149" s="150"/>
      <c r="BY149" s="150"/>
      <c r="BZ149" s="150"/>
      <c r="CA149" s="150"/>
      <c r="CB149" s="150"/>
      <c r="CC149" s="150"/>
      <c r="CD149" s="150"/>
      <c r="CE149" s="150"/>
      <c r="CF149" s="150"/>
      <c r="CG149" s="150"/>
      <c r="CH149" s="150"/>
      <c r="CI149" s="150"/>
      <c r="CJ149" s="150"/>
      <c r="CK149" s="150"/>
      <c r="CL149" s="150"/>
      <c r="CM149" s="150"/>
      <c r="CN149" s="150"/>
      <c r="CO149" s="150"/>
      <c r="CP149" s="150"/>
      <c r="CQ149" s="150"/>
      <c r="CR149" s="150"/>
      <c r="CS149" s="150"/>
      <c r="CT149" s="150"/>
      <c r="CU149" s="150"/>
      <c r="CV149" s="150"/>
      <c r="CW149" s="150"/>
      <c r="CX149" s="150"/>
      <c r="CY149" s="150"/>
      <c r="CZ149" s="150"/>
      <c r="DA149" s="150"/>
      <c r="DB149" s="150"/>
      <c r="DC149" s="150"/>
      <c r="DD149" s="150"/>
      <c r="DE149" s="150"/>
      <c r="DF149" s="150"/>
      <c r="DG149" s="150"/>
      <c r="DH149" s="150"/>
      <c r="DI149" s="150"/>
      <c r="DJ149" s="150"/>
      <c r="DK149" s="150"/>
    </row>
    <row r="150" spans="1:115" s="227" customFormat="1" x14ac:dyDescent="0.25">
      <c r="A150" s="258"/>
      <c r="B150" s="258"/>
      <c r="C150" s="584"/>
      <c r="D150" s="560"/>
      <c r="E150" s="537"/>
      <c r="F150" s="541"/>
      <c r="G150" s="541"/>
      <c r="H150" s="540">
        <f t="shared" si="18"/>
        <v>0</v>
      </c>
      <c r="I150" s="537"/>
      <c r="J150" s="541"/>
      <c r="K150" s="541"/>
      <c r="L150" s="540">
        <f t="shared" si="19"/>
        <v>0</v>
      </c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  <c r="BM150" s="150"/>
      <c r="BN150" s="150"/>
      <c r="BO150" s="150"/>
      <c r="BP150" s="150"/>
      <c r="BQ150" s="150"/>
      <c r="BR150" s="150"/>
      <c r="BS150" s="150"/>
      <c r="BT150" s="150"/>
      <c r="BU150" s="150"/>
      <c r="BV150" s="150"/>
      <c r="BW150" s="150"/>
      <c r="BX150" s="150"/>
      <c r="BY150" s="150"/>
      <c r="BZ150" s="150"/>
      <c r="CA150" s="150"/>
      <c r="CB150" s="150"/>
      <c r="CC150" s="150"/>
      <c r="CD150" s="150"/>
      <c r="CE150" s="150"/>
      <c r="CF150" s="150"/>
      <c r="CG150" s="150"/>
      <c r="CH150" s="150"/>
      <c r="CI150" s="150"/>
      <c r="CJ150" s="150"/>
      <c r="CK150" s="150"/>
      <c r="CL150" s="150"/>
      <c r="CM150" s="150"/>
      <c r="CN150" s="150"/>
      <c r="CO150" s="150"/>
      <c r="CP150" s="150"/>
      <c r="CQ150" s="150"/>
      <c r="CR150" s="150"/>
      <c r="CS150" s="150"/>
      <c r="CT150" s="150"/>
      <c r="CU150" s="150"/>
      <c r="CV150" s="150"/>
      <c r="CW150" s="150"/>
      <c r="CX150" s="150"/>
      <c r="CY150" s="150"/>
      <c r="CZ150" s="150"/>
      <c r="DA150" s="150"/>
      <c r="DB150" s="150"/>
      <c r="DC150" s="150"/>
      <c r="DD150" s="150"/>
      <c r="DE150" s="150"/>
      <c r="DF150" s="150"/>
      <c r="DG150" s="150"/>
      <c r="DH150" s="150"/>
      <c r="DI150" s="150"/>
      <c r="DJ150" s="150"/>
      <c r="DK150" s="150"/>
    </row>
    <row r="151" spans="1:115" s="227" customFormat="1" x14ac:dyDescent="0.25">
      <c r="A151" s="258"/>
      <c r="B151" s="258"/>
      <c r="C151" s="584"/>
      <c r="D151" s="560"/>
      <c r="E151" s="537"/>
      <c r="F151" s="541"/>
      <c r="G151" s="541"/>
      <c r="H151" s="540">
        <f t="shared" si="18"/>
        <v>0</v>
      </c>
      <c r="I151" s="537"/>
      <c r="J151" s="541"/>
      <c r="K151" s="541"/>
      <c r="L151" s="540">
        <f t="shared" si="19"/>
        <v>0</v>
      </c>
      <c r="M151" s="150"/>
      <c r="N151" s="150"/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  <c r="BM151" s="150"/>
      <c r="BN151" s="150"/>
      <c r="BO151" s="150"/>
      <c r="BP151" s="150"/>
      <c r="BQ151" s="150"/>
      <c r="BR151" s="150"/>
      <c r="BS151" s="150"/>
      <c r="BT151" s="150"/>
      <c r="BU151" s="150"/>
      <c r="BV151" s="150"/>
      <c r="BW151" s="150"/>
      <c r="BX151" s="150"/>
      <c r="BY151" s="150"/>
      <c r="BZ151" s="150"/>
      <c r="CA151" s="150"/>
      <c r="CB151" s="150"/>
      <c r="CC151" s="150"/>
      <c r="CD151" s="150"/>
      <c r="CE151" s="150"/>
      <c r="CF151" s="150"/>
      <c r="CG151" s="150"/>
      <c r="CH151" s="150"/>
      <c r="CI151" s="150"/>
      <c r="CJ151" s="150"/>
      <c r="CK151" s="150"/>
      <c r="CL151" s="150"/>
      <c r="CM151" s="150"/>
      <c r="CN151" s="150"/>
      <c r="CO151" s="150"/>
      <c r="CP151" s="150"/>
      <c r="CQ151" s="150"/>
      <c r="CR151" s="150"/>
      <c r="CS151" s="150"/>
      <c r="CT151" s="150"/>
      <c r="CU151" s="150"/>
      <c r="CV151" s="150"/>
      <c r="CW151" s="150"/>
      <c r="CX151" s="150"/>
      <c r="CY151" s="150"/>
      <c r="CZ151" s="150"/>
      <c r="DA151" s="150"/>
      <c r="DB151" s="150"/>
      <c r="DC151" s="150"/>
      <c r="DD151" s="150"/>
      <c r="DE151" s="150"/>
      <c r="DF151" s="150"/>
      <c r="DG151" s="150"/>
      <c r="DH151" s="150"/>
      <c r="DI151" s="150"/>
      <c r="DJ151" s="150"/>
      <c r="DK151" s="150"/>
    </row>
    <row r="152" spans="1:115" s="227" customFormat="1" x14ac:dyDescent="0.25">
      <c r="A152" s="258"/>
      <c r="B152" s="258"/>
      <c r="C152" s="584"/>
      <c r="D152" s="560"/>
      <c r="E152" s="537"/>
      <c r="F152" s="541"/>
      <c r="G152" s="541"/>
      <c r="H152" s="540">
        <f t="shared" si="18"/>
        <v>0</v>
      </c>
      <c r="I152" s="537"/>
      <c r="J152" s="541"/>
      <c r="K152" s="541"/>
      <c r="L152" s="540">
        <f t="shared" si="19"/>
        <v>0</v>
      </c>
      <c r="M152" s="150"/>
      <c r="N152" s="150"/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  <c r="BM152" s="150"/>
      <c r="BN152" s="150"/>
      <c r="BO152" s="150"/>
      <c r="BP152" s="150"/>
      <c r="BQ152" s="150"/>
      <c r="BR152" s="150"/>
      <c r="BS152" s="150"/>
      <c r="BT152" s="150"/>
      <c r="BU152" s="150"/>
      <c r="BV152" s="150"/>
      <c r="BW152" s="150"/>
      <c r="BX152" s="150"/>
      <c r="BY152" s="150"/>
      <c r="BZ152" s="150"/>
      <c r="CA152" s="150"/>
      <c r="CB152" s="150"/>
      <c r="CC152" s="150"/>
      <c r="CD152" s="150"/>
      <c r="CE152" s="150"/>
      <c r="CF152" s="150"/>
      <c r="CG152" s="150"/>
      <c r="CH152" s="150"/>
      <c r="CI152" s="150"/>
      <c r="CJ152" s="150"/>
      <c r="CK152" s="150"/>
      <c r="CL152" s="150"/>
      <c r="CM152" s="150"/>
      <c r="CN152" s="150"/>
      <c r="CO152" s="150"/>
      <c r="CP152" s="150"/>
      <c r="CQ152" s="150"/>
      <c r="CR152" s="150"/>
      <c r="CS152" s="150"/>
      <c r="CT152" s="150"/>
      <c r="CU152" s="150"/>
      <c r="CV152" s="150"/>
      <c r="CW152" s="150"/>
      <c r="CX152" s="150"/>
      <c r="CY152" s="150"/>
      <c r="CZ152" s="150"/>
      <c r="DA152" s="150"/>
      <c r="DB152" s="150"/>
      <c r="DC152" s="150"/>
      <c r="DD152" s="150"/>
      <c r="DE152" s="150"/>
      <c r="DF152" s="150"/>
      <c r="DG152" s="150"/>
      <c r="DH152" s="150"/>
      <c r="DI152" s="150"/>
      <c r="DJ152" s="150"/>
      <c r="DK152" s="150"/>
    </row>
    <row r="153" spans="1:115" s="227" customFormat="1" x14ac:dyDescent="0.25">
      <c r="A153" s="258"/>
      <c r="B153" s="258"/>
      <c r="C153" s="584"/>
      <c r="D153" s="560"/>
      <c r="E153" s="537"/>
      <c r="F153" s="541"/>
      <c r="G153" s="541"/>
      <c r="H153" s="540">
        <f t="shared" si="18"/>
        <v>0</v>
      </c>
      <c r="I153" s="537"/>
      <c r="J153" s="541"/>
      <c r="K153" s="541"/>
      <c r="L153" s="540">
        <f t="shared" si="19"/>
        <v>0</v>
      </c>
      <c r="M153" s="150"/>
      <c r="N153" s="150"/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  <c r="BM153" s="150"/>
      <c r="BN153" s="150"/>
      <c r="BO153" s="150"/>
      <c r="BP153" s="150"/>
      <c r="BQ153" s="150"/>
      <c r="BR153" s="150"/>
      <c r="BS153" s="150"/>
      <c r="BT153" s="150"/>
      <c r="BU153" s="150"/>
      <c r="BV153" s="150"/>
      <c r="BW153" s="150"/>
      <c r="BX153" s="150"/>
      <c r="BY153" s="150"/>
      <c r="BZ153" s="150"/>
      <c r="CA153" s="150"/>
      <c r="CB153" s="150"/>
      <c r="CC153" s="150"/>
      <c r="CD153" s="150"/>
      <c r="CE153" s="150"/>
      <c r="CF153" s="150"/>
      <c r="CG153" s="150"/>
      <c r="CH153" s="150"/>
      <c r="CI153" s="150"/>
      <c r="CJ153" s="150"/>
      <c r="CK153" s="150"/>
      <c r="CL153" s="150"/>
      <c r="CM153" s="150"/>
      <c r="CN153" s="150"/>
      <c r="CO153" s="150"/>
      <c r="CP153" s="150"/>
      <c r="CQ153" s="150"/>
      <c r="CR153" s="150"/>
      <c r="CS153" s="150"/>
      <c r="CT153" s="150"/>
      <c r="CU153" s="150"/>
      <c r="CV153" s="150"/>
      <c r="CW153" s="150"/>
      <c r="CX153" s="150"/>
      <c r="CY153" s="150"/>
      <c r="CZ153" s="150"/>
      <c r="DA153" s="150"/>
      <c r="DB153" s="150"/>
      <c r="DC153" s="150"/>
      <c r="DD153" s="150"/>
      <c r="DE153" s="150"/>
      <c r="DF153" s="150"/>
      <c r="DG153" s="150"/>
      <c r="DH153" s="150"/>
      <c r="DI153" s="150"/>
      <c r="DJ153" s="150"/>
      <c r="DK153" s="150"/>
    </row>
    <row r="154" spans="1:115" s="227" customFormat="1" x14ac:dyDescent="0.25">
      <c r="A154" s="258"/>
      <c r="B154" s="258"/>
      <c r="C154" s="584"/>
      <c r="D154" s="560"/>
      <c r="E154" s="537"/>
      <c r="F154" s="541"/>
      <c r="G154" s="541"/>
      <c r="H154" s="540">
        <f t="shared" si="18"/>
        <v>0</v>
      </c>
      <c r="I154" s="537"/>
      <c r="J154" s="541"/>
      <c r="K154" s="541"/>
      <c r="L154" s="540">
        <f t="shared" si="19"/>
        <v>0</v>
      </c>
      <c r="M154" s="150"/>
      <c r="N154" s="150"/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  <c r="BM154" s="150"/>
      <c r="BN154" s="150"/>
      <c r="BO154" s="150"/>
      <c r="BP154" s="150"/>
      <c r="BQ154" s="150"/>
      <c r="BR154" s="150"/>
      <c r="BS154" s="150"/>
      <c r="BT154" s="150"/>
      <c r="BU154" s="150"/>
      <c r="BV154" s="150"/>
      <c r="BW154" s="150"/>
      <c r="BX154" s="150"/>
      <c r="BY154" s="150"/>
      <c r="BZ154" s="150"/>
      <c r="CA154" s="150"/>
      <c r="CB154" s="150"/>
      <c r="CC154" s="150"/>
      <c r="CD154" s="150"/>
      <c r="CE154" s="150"/>
      <c r="CF154" s="150"/>
      <c r="CG154" s="150"/>
      <c r="CH154" s="150"/>
      <c r="CI154" s="150"/>
      <c r="CJ154" s="150"/>
      <c r="CK154" s="150"/>
      <c r="CL154" s="150"/>
      <c r="CM154" s="150"/>
      <c r="CN154" s="150"/>
      <c r="CO154" s="150"/>
      <c r="CP154" s="150"/>
      <c r="CQ154" s="150"/>
      <c r="CR154" s="150"/>
      <c r="CS154" s="150"/>
      <c r="CT154" s="150"/>
      <c r="CU154" s="150"/>
      <c r="CV154" s="150"/>
      <c r="CW154" s="150"/>
      <c r="CX154" s="150"/>
      <c r="CY154" s="150"/>
      <c r="CZ154" s="150"/>
      <c r="DA154" s="150"/>
      <c r="DB154" s="150"/>
      <c r="DC154" s="150"/>
      <c r="DD154" s="150"/>
      <c r="DE154" s="150"/>
      <c r="DF154" s="150"/>
      <c r="DG154" s="150"/>
      <c r="DH154" s="150"/>
      <c r="DI154" s="150"/>
      <c r="DJ154" s="150"/>
      <c r="DK154" s="150"/>
    </row>
    <row r="155" spans="1:115" s="227" customFormat="1" x14ac:dyDescent="0.25">
      <c r="A155" s="258"/>
      <c r="B155" s="258"/>
      <c r="C155" s="584"/>
      <c r="D155" s="595"/>
      <c r="E155" s="537"/>
      <c r="F155" s="541"/>
      <c r="G155" s="541"/>
      <c r="H155" s="540">
        <f t="shared" si="18"/>
        <v>0</v>
      </c>
      <c r="I155" s="537"/>
      <c r="J155" s="541"/>
      <c r="K155" s="541"/>
      <c r="L155" s="540">
        <f t="shared" si="19"/>
        <v>0</v>
      </c>
      <c r="M155" s="150"/>
      <c r="N155" s="150"/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  <c r="BM155" s="150"/>
      <c r="BN155" s="150"/>
      <c r="BO155" s="150"/>
      <c r="BP155" s="150"/>
      <c r="BQ155" s="150"/>
      <c r="BR155" s="150"/>
      <c r="BS155" s="150"/>
      <c r="BT155" s="150"/>
      <c r="BU155" s="150"/>
      <c r="BV155" s="150"/>
      <c r="BW155" s="150"/>
      <c r="BX155" s="150"/>
      <c r="BY155" s="150"/>
      <c r="BZ155" s="150"/>
      <c r="CA155" s="150"/>
      <c r="CB155" s="150"/>
      <c r="CC155" s="150"/>
      <c r="CD155" s="150"/>
      <c r="CE155" s="150"/>
      <c r="CF155" s="150"/>
      <c r="CG155" s="150"/>
      <c r="CH155" s="150"/>
      <c r="CI155" s="150"/>
      <c r="CJ155" s="150"/>
      <c r="CK155" s="150"/>
      <c r="CL155" s="150"/>
      <c r="CM155" s="150"/>
      <c r="CN155" s="150"/>
      <c r="CO155" s="150"/>
      <c r="CP155" s="150"/>
      <c r="CQ155" s="150"/>
      <c r="CR155" s="150"/>
      <c r="CS155" s="150"/>
      <c r="CT155" s="150"/>
      <c r="CU155" s="150"/>
      <c r="CV155" s="150"/>
      <c r="CW155" s="150"/>
      <c r="CX155" s="150"/>
      <c r="CY155" s="150"/>
      <c r="CZ155" s="150"/>
      <c r="DA155" s="150"/>
      <c r="DB155" s="150"/>
      <c r="DC155" s="150"/>
      <c r="DD155" s="150"/>
      <c r="DE155" s="150"/>
      <c r="DF155" s="150"/>
      <c r="DG155" s="150"/>
      <c r="DH155" s="150"/>
      <c r="DI155" s="150"/>
      <c r="DJ155" s="150"/>
      <c r="DK155" s="150"/>
    </row>
    <row r="156" spans="1:115" s="227" customFormat="1" x14ac:dyDescent="0.25">
      <c r="A156" s="258"/>
      <c r="B156" s="258"/>
      <c r="C156" s="584"/>
      <c r="D156" s="595"/>
      <c r="E156" s="537"/>
      <c r="F156" s="541"/>
      <c r="G156" s="541"/>
      <c r="H156" s="540">
        <f t="shared" si="18"/>
        <v>0</v>
      </c>
      <c r="I156" s="537"/>
      <c r="J156" s="541"/>
      <c r="K156" s="541"/>
      <c r="L156" s="540">
        <f t="shared" si="19"/>
        <v>0</v>
      </c>
      <c r="M156" s="150"/>
      <c r="N156" s="150"/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  <c r="BM156" s="150"/>
      <c r="BN156" s="150"/>
      <c r="BO156" s="150"/>
      <c r="BP156" s="150"/>
      <c r="BQ156" s="150"/>
      <c r="BR156" s="150"/>
      <c r="BS156" s="150"/>
      <c r="BT156" s="150"/>
      <c r="BU156" s="150"/>
      <c r="BV156" s="150"/>
      <c r="BW156" s="150"/>
      <c r="BX156" s="150"/>
      <c r="BY156" s="150"/>
      <c r="BZ156" s="150"/>
      <c r="CA156" s="150"/>
      <c r="CB156" s="150"/>
      <c r="CC156" s="150"/>
      <c r="CD156" s="150"/>
      <c r="CE156" s="150"/>
      <c r="CF156" s="150"/>
      <c r="CG156" s="150"/>
      <c r="CH156" s="150"/>
      <c r="CI156" s="150"/>
      <c r="CJ156" s="150"/>
      <c r="CK156" s="150"/>
      <c r="CL156" s="150"/>
      <c r="CM156" s="150"/>
      <c r="CN156" s="150"/>
      <c r="CO156" s="150"/>
      <c r="CP156" s="150"/>
      <c r="CQ156" s="150"/>
      <c r="CR156" s="150"/>
      <c r="CS156" s="150"/>
      <c r="CT156" s="150"/>
      <c r="CU156" s="150"/>
      <c r="CV156" s="150"/>
      <c r="CW156" s="150"/>
      <c r="CX156" s="150"/>
      <c r="CY156" s="150"/>
      <c r="CZ156" s="150"/>
      <c r="DA156" s="150"/>
      <c r="DB156" s="150"/>
      <c r="DC156" s="150"/>
      <c r="DD156" s="150"/>
      <c r="DE156" s="150"/>
      <c r="DF156" s="150"/>
      <c r="DG156" s="150"/>
      <c r="DH156" s="150"/>
      <c r="DI156" s="150"/>
      <c r="DJ156" s="150"/>
      <c r="DK156" s="150"/>
    </row>
    <row r="157" spans="1:115" s="25" customFormat="1" x14ac:dyDescent="0.25">
      <c r="A157" s="610"/>
      <c r="B157" s="610"/>
      <c r="C157" s="611"/>
      <c r="D157" s="612"/>
      <c r="E157" s="613"/>
      <c r="F157" s="614"/>
      <c r="G157" s="615"/>
      <c r="H157" s="540">
        <f t="shared" si="18"/>
        <v>0</v>
      </c>
      <c r="I157" s="613"/>
      <c r="J157" s="614"/>
      <c r="K157" s="615"/>
      <c r="L157" s="540">
        <f t="shared" si="19"/>
        <v>0</v>
      </c>
    </row>
    <row r="158" spans="1:115" x14ac:dyDescent="0.25">
      <c r="A158" s="258"/>
      <c r="B158" s="258"/>
      <c r="C158" s="584"/>
      <c r="D158" s="559"/>
      <c r="E158" s="534"/>
      <c r="F158" s="262"/>
      <c r="G158" s="262"/>
      <c r="H158" s="536">
        <f t="shared" si="18"/>
        <v>0</v>
      </c>
      <c r="I158" s="534"/>
      <c r="J158" s="262"/>
      <c r="K158" s="262"/>
      <c r="L158" s="536">
        <f t="shared" si="19"/>
        <v>0</v>
      </c>
    </row>
    <row r="159" spans="1:115" x14ac:dyDescent="0.25">
      <c r="A159" s="258"/>
      <c r="B159" s="258"/>
      <c r="C159" s="584"/>
      <c r="D159" s="559"/>
      <c r="E159" s="534"/>
      <c r="F159" s="262"/>
      <c r="G159" s="262"/>
      <c r="H159" s="536">
        <f t="shared" si="18"/>
        <v>0</v>
      </c>
      <c r="I159" s="534"/>
      <c r="J159" s="262"/>
      <c r="K159" s="262"/>
      <c r="L159" s="536">
        <f t="shared" si="19"/>
        <v>0</v>
      </c>
    </row>
    <row r="160" spans="1:115" s="260" customFormat="1" x14ac:dyDescent="0.25">
      <c r="A160" s="258"/>
      <c r="B160" s="258"/>
      <c r="C160" s="584"/>
      <c r="D160" s="549"/>
      <c r="E160" s="552"/>
      <c r="F160" s="263"/>
      <c r="G160" s="553"/>
      <c r="H160" s="536">
        <f t="shared" si="18"/>
        <v>0</v>
      </c>
      <c r="I160" s="552"/>
      <c r="J160" s="263"/>
      <c r="K160" s="553"/>
      <c r="L160" s="536">
        <f t="shared" si="19"/>
        <v>0</v>
      </c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150"/>
      <c r="AQ160" s="150"/>
      <c r="AR160" s="150"/>
      <c r="AS160" s="150"/>
      <c r="AT160" s="150"/>
      <c r="AU160" s="150"/>
      <c r="AV160" s="150"/>
      <c r="AW160" s="150"/>
      <c r="AX160" s="150"/>
      <c r="AY160" s="150"/>
      <c r="AZ160" s="150"/>
      <c r="BA160" s="150"/>
      <c r="BB160" s="150"/>
      <c r="BC160" s="150"/>
      <c r="BD160" s="150"/>
      <c r="BE160" s="150"/>
      <c r="BF160" s="150"/>
      <c r="BG160" s="150"/>
      <c r="BH160" s="150"/>
      <c r="BI160" s="150"/>
      <c r="BJ160" s="150"/>
      <c r="BK160" s="150"/>
      <c r="BL160" s="150"/>
      <c r="BM160" s="150"/>
      <c r="BN160" s="150"/>
      <c r="BO160" s="150"/>
      <c r="BP160" s="150"/>
      <c r="BQ160" s="150"/>
      <c r="BR160" s="150"/>
      <c r="BS160" s="150"/>
      <c r="BT160" s="150"/>
      <c r="BU160" s="150"/>
      <c r="BV160" s="150"/>
      <c r="BW160" s="150"/>
      <c r="BX160" s="150"/>
      <c r="BY160" s="150"/>
      <c r="BZ160" s="150"/>
      <c r="CA160" s="150"/>
      <c r="CB160" s="150"/>
      <c r="CC160" s="150"/>
      <c r="CD160" s="150"/>
      <c r="CE160" s="150"/>
      <c r="CF160" s="150"/>
      <c r="CG160" s="150"/>
      <c r="CH160" s="150"/>
      <c r="CI160" s="150"/>
      <c r="CJ160" s="150"/>
      <c r="CK160" s="150"/>
      <c r="CL160" s="150"/>
      <c r="CM160" s="150"/>
      <c r="CN160" s="150"/>
      <c r="CO160" s="150"/>
      <c r="CP160" s="150"/>
      <c r="CQ160" s="150"/>
      <c r="CR160" s="150"/>
      <c r="CS160" s="150"/>
      <c r="CT160" s="150"/>
      <c r="CU160" s="150"/>
      <c r="CV160" s="150"/>
      <c r="CW160" s="150"/>
      <c r="CX160" s="150"/>
      <c r="CY160" s="150"/>
      <c r="CZ160" s="150"/>
      <c r="DA160" s="150"/>
      <c r="DB160" s="150"/>
      <c r="DC160" s="150"/>
      <c r="DD160" s="150"/>
      <c r="DE160" s="150"/>
      <c r="DF160" s="150"/>
      <c r="DG160" s="150"/>
      <c r="DH160" s="150"/>
      <c r="DI160" s="150"/>
      <c r="DJ160" s="150"/>
      <c r="DK160" s="150"/>
    </row>
    <row r="161" spans="1:115" s="260" customFormat="1" x14ac:dyDescent="0.25">
      <c r="A161" s="258"/>
      <c r="B161" s="258"/>
      <c r="C161" s="584"/>
      <c r="D161" s="549"/>
      <c r="E161" s="552"/>
      <c r="F161" s="263"/>
      <c r="G161" s="553"/>
      <c r="H161" s="536">
        <f t="shared" si="18"/>
        <v>0</v>
      </c>
      <c r="I161" s="552"/>
      <c r="J161" s="263"/>
      <c r="K161" s="553"/>
      <c r="L161" s="536">
        <f t="shared" si="19"/>
        <v>0</v>
      </c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0"/>
      <c r="AQ161" s="150"/>
      <c r="AR161" s="150"/>
      <c r="AS161" s="150"/>
      <c r="AT161" s="150"/>
      <c r="AU161" s="150"/>
      <c r="AV161" s="150"/>
      <c r="AW161" s="150"/>
      <c r="AX161" s="150"/>
      <c r="AY161" s="150"/>
      <c r="AZ161" s="150"/>
      <c r="BA161" s="150"/>
      <c r="BB161" s="150"/>
      <c r="BC161" s="150"/>
      <c r="BD161" s="150"/>
      <c r="BE161" s="150"/>
      <c r="BF161" s="150"/>
      <c r="BG161" s="150"/>
      <c r="BH161" s="150"/>
      <c r="BI161" s="150"/>
      <c r="BJ161" s="150"/>
      <c r="BK161" s="150"/>
      <c r="BL161" s="150"/>
      <c r="BM161" s="150"/>
      <c r="BN161" s="150"/>
      <c r="BO161" s="150"/>
      <c r="BP161" s="150"/>
      <c r="BQ161" s="150"/>
      <c r="BR161" s="150"/>
      <c r="BS161" s="150"/>
      <c r="BT161" s="150"/>
      <c r="BU161" s="150"/>
      <c r="BV161" s="150"/>
      <c r="BW161" s="150"/>
      <c r="BX161" s="150"/>
      <c r="BY161" s="150"/>
      <c r="BZ161" s="150"/>
      <c r="CA161" s="150"/>
      <c r="CB161" s="150"/>
      <c r="CC161" s="150"/>
      <c r="CD161" s="150"/>
      <c r="CE161" s="150"/>
      <c r="CF161" s="150"/>
      <c r="CG161" s="150"/>
      <c r="CH161" s="150"/>
      <c r="CI161" s="150"/>
      <c r="CJ161" s="150"/>
      <c r="CK161" s="150"/>
      <c r="CL161" s="150"/>
      <c r="CM161" s="150"/>
      <c r="CN161" s="150"/>
      <c r="CO161" s="150"/>
      <c r="CP161" s="150"/>
      <c r="CQ161" s="150"/>
      <c r="CR161" s="150"/>
      <c r="CS161" s="150"/>
      <c r="CT161" s="150"/>
      <c r="CU161" s="150"/>
      <c r="CV161" s="150"/>
      <c r="CW161" s="150"/>
      <c r="CX161" s="150"/>
      <c r="CY161" s="150"/>
      <c r="CZ161" s="150"/>
      <c r="DA161" s="150"/>
      <c r="DB161" s="150"/>
      <c r="DC161" s="150"/>
      <c r="DD161" s="150"/>
      <c r="DE161" s="150"/>
      <c r="DF161" s="150"/>
      <c r="DG161" s="150"/>
      <c r="DH161" s="150"/>
      <c r="DI161" s="150"/>
      <c r="DJ161" s="150"/>
      <c r="DK161" s="150"/>
    </row>
    <row r="162" spans="1:115" x14ac:dyDescent="0.25">
      <c r="A162" s="258"/>
      <c r="B162" s="258"/>
      <c r="C162" s="584"/>
      <c r="D162" s="559" t="s">
        <v>0</v>
      </c>
      <c r="E162" s="534"/>
      <c r="F162" s="542">
        <f>SUM(F145:F161)</f>
        <v>587</v>
      </c>
      <c r="G162" s="543">
        <f>H162/F162</f>
        <v>81.107325383304939</v>
      </c>
      <c r="H162" s="544">
        <f>SUM(H145:H161)</f>
        <v>47610</v>
      </c>
      <c r="I162" s="534"/>
      <c r="J162" s="542">
        <f>SUM(J145:J161)</f>
        <v>0</v>
      </c>
      <c r="K162" s="543" t="e">
        <f>L162/J162</f>
        <v>#DIV/0!</v>
      </c>
      <c r="L162" s="544">
        <f>SUM(L145:L161)</f>
        <v>0</v>
      </c>
    </row>
    <row r="163" spans="1:115" x14ac:dyDescent="0.25">
      <c r="A163" s="545"/>
      <c r="B163" s="545"/>
      <c r="C163" s="586"/>
      <c r="D163" s="561"/>
      <c r="E163" s="546"/>
      <c r="F163" s="546"/>
      <c r="G163" s="547"/>
      <c r="H163" s="548"/>
      <c r="I163" s="546"/>
      <c r="J163" s="546"/>
      <c r="K163" s="547"/>
      <c r="L163" s="548"/>
    </row>
    <row r="164" spans="1:115" x14ac:dyDescent="0.25">
      <c r="A164" s="258"/>
      <c r="B164" s="258"/>
      <c r="C164" s="584"/>
      <c r="D164" s="558"/>
      <c r="E164" s="534"/>
      <c r="F164" s="253"/>
      <c r="G164" s="262"/>
      <c r="H164" s="536">
        <f t="shared" ref="H164:H178" si="20">F164*G164</f>
        <v>0</v>
      </c>
      <c r="I164" s="534"/>
      <c r="J164" s="253"/>
      <c r="K164" s="262"/>
      <c r="L164" s="536">
        <f t="shared" ref="L164:L178" si="21">J164*K164</f>
        <v>0</v>
      </c>
    </row>
    <row r="165" spans="1:115" x14ac:dyDescent="0.25">
      <c r="A165" s="258"/>
      <c r="B165" s="258"/>
      <c r="C165" s="585"/>
      <c r="D165" s="558">
        <f>D146+1</f>
        <v>45635</v>
      </c>
      <c r="E165" s="534"/>
      <c r="F165" s="253"/>
      <c r="G165" s="253"/>
      <c r="H165" s="536">
        <f t="shared" si="20"/>
        <v>0</v>
      </c>
      <c r="I165" s="534"/>
      <c r="J165" s="253"/>
      <c r="K165" s="253"/>
      <c r="L165" s="536">
        <f t="shared" si="21"/>
        <v>0</v>
      </c>
    </row>
    <row r="166" spans="1:115" x14ac:dyDescent="0.25">
      <c r="A166" s="258" t="s">
        <v>6</v>
      </c>
      <c r="B166" s="258" t="s">
        <v>340</v>
      </c>
      <c r="C166" s="585" t="s">
        <v>341</v>
      </c>
      <c r="D166" s="595"/>
      <c r="E166" s="537">
        <v>172651</v>
      </c>
      <c r="F166" s="253">
        <v>500</v>
      </c>
      <c r="G166" s="541">
        <v>85</v>
      </c>
      <c r="H166" s="536">
        <f>F166*G166</f>
        <v>42500</v>
      </c>
      <c r="I166" s="537"/>
      <c r="J166" s="253"/>
      <c r="K166" s="541"/>
      <c r="L166" s="536">
        <f>J166*K166</f>
        <v>0</v>
      </c>
    </row>
    <row r="167" spans="1:115" s="227" customFormat="1" x14ac:dyDescent="0.25">
      <c r="A167" s="258" t="s">
        <v>6</v>
      </c>
      <c r="B167" s="258" t="s">
        <v>340</v>
      </c>
      <c r="C167" s="584" t="s">
        <v>341</v>
      </c>
      <c r="D167" s="595"/>
      <c r="E167" s="537">
        <v>172670</v>
      </c>
      <c r="F167" s="541">
        <v>500</v>
      </c>
      <c r="G167" s="541">
        <v>84</v>
      </c>
      <c r="H167" s="540">
        <f t="shared" si="20"/>
        <v>42000</v>
      </c>
      <c r="I167" s="537"/>
      <c r="J167" s="541"/>
      <c r="K167" s="541"/>
      <c r="L167" s="540">
        <f t="shared" si="21"/>
        <v>0</v>
      </c>
      <c r="M167" s="150"/>
      <c r="N167" s="150"/>
      <c r="O167" s="150"/>
      <c r="P167" s="150"/>
      <c r="Q167" s="150"/>
      <c r="R167" s="150"/>
      <c r="S167" s="150"/>
      <c r="T167" s="150"/>
      <c r="U167" s="150"/>
      <c r="V167" s="150"/>
      <c r="W167" s="150"/>
      <c r="X167" s="150"/>
      <c r="Y167" s="150"/>
      <c r="Z167" s="150"/>
      <c r="AA167" s="150"/>
      <c r="AB167" s="150"/>
      <c r="AC167" s="150"/>
      <c r="AD167" s="150"/>
      <c r="AE167" s="150"/>
      <c r="AF167" s="150"/>
      <c r="AG167" s="150"/>
      <c r="AH167" s="150"/>
      <c r="AI167" s="150"/>
      <c r="AJ167" s="150"/>
      <c r="AK167" s="150"/>
      <c r="AL167" s="150"/>
      <c r="AM167" s="150"/>
      <c r="AN167" s="150"/>
      <c r="AO167" s="150"/>
      <c r="AP167" s="150"/>
      <c r="AQ167" s="150"/>
      <c r="AR167" s="150"/>
      <c r="AS167" s="150"/>
      <c r="AT167" s="150"/>
      <c r="AU167" s="150"/>
      <c r="AV167" s="150"/>
      <c r="AW167" s="150"/>
      <c r="AX167" s="150"/>
      <c r="AY167" s="150"/>
      <c r="AZ167" s="150"/>
      <c r="BA167" s="150"/>
      <c r="BB167" s="150"/>
      <c r="BC167" s="150"/>
      <c r="BD167" s="150"/>
      <c r="BE167" s="150"/>
      <c r="BF167" s="150"/>
      <c r="BG167" s="150"/>
      <c r="BH167" s="150"/>
      <c r="BI167" s="150"/>
      <c r="BJ167" s="150"/>
      <c r="BK167" s="150"/>
      <c r="BL167" s="150"/>
      <c r="BM167" s="150"/>
      <c r="BN167" s="150"/>
      <c r="BO167" s="150"/>
      <c r="BP167" s="150"/>
      <c r="BQ167" s="150"/>
      <c r="BR167" s="150"/>
      <c r="BS167" s="150"/>
      <c r="BT167" s="150"/>
      <c r="BU167" s="150"/>
      <c r="BV167" s="150"/>
      <c r="BW167" s="150"/>
      <c r="BX167" s="150"/>
      <c r="BY167" s="150"/>
      <c r="BZ167" s="150"/>
      <c r="CA167" s="150"/>
      <c r="CB167" s="150"/>
      <c r="CC167" s="150"/>
      <c r="CD167" s="150"/>
      <c r="CE167" s="150"/>
      <c r="CF167" s="150"/>
      <c r="CG167" s="150"/>
      <c r="CH167" s="150"/>
      <c r="CI167" s="150"/>
      <c r="CJ167" s="150"/>
      <c r="CK167" s="150"/>
      <c r="CL167" s="150"/>
      <c r="CM167" s="150"/>
      <c r="CN167" s="150"/>
      <c r="CO167" s="150"/>
      <c r="CP167" s="150"/>
      <c r="CQ167" s="150"/>
      <c r="CR167" s="150"/>
      <c r="CS167" s="150"/>
      <c r="CT167" s="150"/>
      <c r="CU167" s="150"/>
      <c r="CV167" s="150"/>
      <c r="CW167" s="150"/>
      <c r="CX167" s="150"/>
      <c r="CY167" s="150"/>
      <c r="CZ167" s="150"/>
      <c r="DA167" s="150"/>
      <c r="DB167" s="150"/>
      <c r="DC167" s="150"/>
      <c r="DD167" s="150"/>
      <c r="DE167" s="150"/>
      <c r="DF167" s="150"/>
      <c r="DG167" s="150"/>
      <c r="DH167" s="150"/>
      <c r="DI167" s="150"/>
      <c r="DJ167" s="150"/>
      <c r="DK167" s="150"/>
    </row>
    <row r="168" spans="1:115" s="227" customFormat="1" x14ac:dyDescent="0.25">
      <c r="A168" s="258"/>
      <c r="B168" s="258"/>
      <c r="C168" s="584"/>
      <c r="D168" s="595"/>
      <c r="E168" s="537"/>
      <c r="F168" s="541"/>
      <c r="G168" s="541"/>
      <c r="H168" s="540">
        <f t="shared" si="20"/>
        <v>0</v>
      </c>
      <c r="I168" s="537"/>
      <c r="J168" s="541"/>
      <c r="K168" s="541"/>
      <c r="L168" s="540">
        <f t="shared" si="21"/>
        <v>0</v>
      </c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  <c r="AK168" s="150"/>
      <c r="AL168" s="150"/>
      <c r="AM168" s="150"/>
      <c r="AN168" s="150"/>
      <c r="AO168" s="150"/>
      <c r="AP168" s="150"/>
      <c r="AQ168" s="150"/>
      <c r="AR168" s="150"/>
      <c r="AS168" s="150"/>
      <c r="AT168" s="150"/>
      <c r="AU168" s="150"/>
      <c r="AV168" s="150"/>
      <c r="AW168" s="150"/>
      <c r="AX168" s="150"/>
      <c r="AY168" s="150"/>
      <c r="AZ168" s="150"/>
      <c r="BA168" s="150"/>
      <c r="BB168" s="150"/>
      <c r="BC168" s="150"/>
      <c r="BD168" s="150"/>
      <c r="BE168" s="150"/>
      <c r="BF168" s="150"/>
      <c r="BG168" s="150"/>
      <c r="BH168" s="150"/>
      <c r="BI168" s="150"/>
      <c r="BJ168" s="150"/>
      <c r="BK168" s="150"/>
      <c r="BL168" s="150"/>
      <c r="BM168" s="150"/>
      <c r="BN168" s="150"/>
      <c r="BO168" s="150"/>
      <c r="BP168" s="150"/>
      <c r="BQ168" s="150"/>
      <c r="BR168" s="150"/>
      <c r="BS168" s="150"/>
      <c r="BT168" s="150"/>
      <c r="BU168" s="150"/>
      <c r="BV168" s="150"/>
      <c r="BW168" s="150"/>
      <c r="BX168" s="150"/>
      <c r="BY168" s="150"/>
      <c r="BZ168" s="150"/>
      <c r="CA168" s="150"/>
      <c r="CB168" s="150"/>
      <c r="CC168" s="150"/>
      <c r="CD168" s="150"/>
      <c r="CE168" s="150"/>
      <c r="CF168" s="150"/>
      <c r="CG168" s="150"/>
      <c r="CH168" s="150"/>
      <c r="CI168" s="150"/>
      <c r="CJ168" s="150"/>
      <c r="CK168" s="150"/>
      <c r="CL168" s="150"/>
      <c r="CM168" s="150"/>
      <c r="CN168" s="150"/>
      <c r="CO168" s="150"/>
      <c r="CP168" s="150"/>
      <c r="CQ168" s="150"/>
      <c r="CR168" s="150"/>
      <c r="CS168" s="150"/>
      <c r="CT168" s="150"/>
      <c r="CU168" s="150"/>
      <c r="CV168" s="150"/>
      <c r="CW168" s="150"/>
      <c r="CX168" s="150"/>
      <c r="CY168" s="150"/>
      <c r="CZ168" s="150"/>
      <c r="DA168" s="150"/>
      <c r="DB168" s="150"/>
      <c r="DC168" s="150"/>
      <c r="DD168" s="150"/>
      <c r="DE168" s="150"/>
      <c r="DF168" s="150"/>
      <c r="DG168" s="150"/>
      <c r="DH168" s="150"/>
      <c r="DI168" s="150"/>
      <c r="DJ168" s="150"/>
      <c r="DK168" s="150"/>
    </row>
    <row r="169" spans="1:115" s="227" customFormat="1" x14ac:dyDescent="0.25">
      <c r="A169" s="258"/>
      <c r="B169" s="258"/>
      <c r="C169" s="584"/>
      <c r="D169" s="595"/>
      <c r="E169" s="537"/>
      <c r="F169" s="541"/>
      <c r="G169" s="541"/>
      <c r="H169" s="540">
        <f t="shared" si="20"/>
        <v>0</v>
      </c>
      <c r="I169" s="537"/>
      <c r="J169" s="541"/>
      <c r="K169" s="541"/>
      <c r="L169" s="540">
        <f t="shared" si="21"/>
        <v>0</v>
      </c>
      <c r="M169" s="150"/>
      <c r="N169" s="150"/>
      <c r="O169" s="150"/>
      <c r="P169" s="150"/>
      <c r="Q169" s="150"/>
      <c r="R169" s="150"/>
      <c r="S169" s="150"/>
      <c r="T169" s="150"/>
      <c r="U169" s="150"/>
      <c r="V169" s="150"/>
      <c r="W169" s="15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  <c r="AN169" s="150"/>
      <c r="AO169" s="150"/>
      <c r="AP169" s="150"/>
      <c r="AQ169" s="150"/>
      <c r="AR169" s="150"/>
      <c r="AS169" s="150"/>
      <c r="AT169" s="150"/>
      <c r="AU169" s="150"/>
      <c r="AV169" s="150"/>
      <c r="AW169" s="150"/>
      <c r="AX169" s="150"/>
      <c r="AY169" s="150"/>
      <c r="AZ169" s="150"/>
      <c r="BA169" s="150"/>
      <c r="BB169" s="150"/>
      <c r="BC169" s="150"/>
      <c r="BD169" s="150"/>
      <c r="BE169" s="150"/>
      <c r="BF169" s="150"/>
      <c r="BG169" s="150"/>
      <c r="BH169" s="150"/>
      <c r="BI169" s="150"/>
      <c r="BJ169" s="150"/>
      <c r="BK169" s="150"/>
      <c r="BL169" s="150"/>
      <c r="BM169" s="150"/>
      <c r="BN169" s="150"/>
      <c r="BO169" s="150"/>
      <c r="BP169" s="150"/>
      <c r="BQ169" s="150"/>
      <c r="BR169" s="150"/>
      <c r="BS169" s="150"/>
      <c r="BT169" s="150"/>
      <c r="BU169" s="150"/>
      <c r="BV169" s="150"/>
      <c r="BW169" s="150"/>
      <c r="BX169" s="150"/>
      <c r="BY169" s="150"/>
      <c r="BZ169" s="150"/>
      <c r="CA169" s="150"/>
      <c r="CB169" s="150"/>
      <c r="CC169" s="150"/>
      <c r="CD169" s="150"/>
      <c r="CE169" s="150"/>
      <c r="CF169" s="150"/>
      <c r="CG169" s="150"/>
      <c r="CH169" s="150"/>
      <c r="CI169" s="150"/>
      <c r="CJ169" s="150"/>
      <c r="CK169" s="150"/>
      <c r="CL169" s="150"/>
      <c r="CM169" s="150"/>
      <c r="CN169" s="150"/>
      <c r="CO169" s="150"/>
      <c r="CP169" s="150"/>
      <c r="CQ169" s="150"/>
      <c r="CR169" s="150"/>
      <c r="CS169" s="150"/>
      <c r="CT169" s="150"/>
      <c r="CU169" s="150"/>
      <c r="CV169" s="150"/>
      <c r="CW169" s="150"/>
      <c r="CX169" s="150"/>
      <c r="CY169" s="150"/>
      <c r="CZ169" s="150"/>
      <c r="DA169" s="150"/>
      <c r="DB169" s="150"/>
      <c r="DC169" s="150"/>
      <c r="DD169" s="150"/>
      <c r="DE169" s="150"/>
      <c r="DF169" s="150"/>
      <c r="DG169" s="150"/>
      <c r="DH169" s="150"/>
      <c r="DI169" s="150"/>
      <c r="DJ169" s="150"/>
      <c r="DK169" s="150"/>
    </row>
    <row r="170" spans="1:115" s="227" customFormat="1" x14ac:dyDescent="0.25">
      <c r="A170" s="258"/>
      <c r="B170" s="258"/>
      <c r="C170" s="584"/>
      <c r="D170" s="595"/>
      <c r="E170" s="537"/>
      <c r="F170" s="541"/>
      <c r="G170" s="541"/>
      <c r="H170" s="540">
        <f t="shared" si="20"/>
        <v>0</v>
      </c>
      <c r="I170" s="537"/>
      <c r="J170" s="541"/>
      <c r="K170" s="541"/>
      <c r="L170" s="540">
        <f t="shared" si="21"/>
        <v>0</v>
      </c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  <c r="AN170" s="150"/>
      <c r="AO170" s="150"/>
      <c r="AP170" s="150"/>
      <c r="AQ170" s="150"/>
      <c r="AR170" s="150"/>
      <c r="AS170" s="150"/>
      <c r="AT170" s="150"/>
      <c r="AU170" s="150"/>
      <c r="AV170" s="150"/>
      <c r="AW170" s="150"/>
      <c r="AX170" s="150"/>
      <c r="AY170" s="150"/>
      <c r="AZ170" s="150"/>
      <c r="BA170" s="150"/>
      <c r="BB170" s="150"/>
      <c r="BC170" s="150"/>
      <c r="BD170" s="150"/>
      <c r="BE170" s="150"/>
      <c r="BF170" s="150"/>
      <c r="BG170" s="150"/>
      <c r="BH170" s="150"/>
      <c r="BI170" s="150"/>
      <c r="BJ170" s="150"/>
      <c r="BK170" s="150"/>
      <c r="BL170" s="150"/>
      <c r="BM170" s="150"/>
      <c r="BN170" s="150"/>
      <c r="BO170" s="150"/>
      <c r="BP170" s="150"/>
      <c r="BQ170" s="150"/>
      <c r="BR170" s="150"/>
      <c r="BS170" s="150"/>
      <c r="BT170" s="150"/>
      <c r="BU170" s="150"/>
      <c r="BV170" s="150"/>
      <c r="BW170" s="150"/>
      <c r="BX170" s="150"/>
      <c r="BY170" s="150"/>
      <c r="BZ170" s="150"/>
      <c r="CA170" s="150"/>
      <c r="CB170" s="150"/>
      <c r="CC170" s="150"/>
      <c r="CD170" s="150"/>
      <c r="CE170" s="150"/>
      <c r="CF170" s="150"/>
      <c r="CG170" s="150"/>
      <c r="CH170" s="150"/>
      <c r="CI170" s="150"/>
      <c r="CJ170" s="150"/>
      <c r="CK170" s="150"/>
      <c r="CL170" s="150"/>
      <c r="CM170" s="150"/>
      <c r="CN170" s="150"/>
      <c r="CO170" s="150"/>
      <c r="CP170" s="150"/>
      <c r="CQ170" s="150"/>
      <c r="CR170" s="150"/>
      <c r="CS170" s="150"/>
      <c r="CT170" s="150"/>
      <c r="CU170" s="150"/>
      <c r="CV170" s="150"/>
      <c r="CW170" s="150"/>
      <c r="CX170" s="150"/>
      <c r="CY170" s="150"/>
      <c r="CZ170" s="150"/>
      <c r="DA170" s="150"/>
      <c r="DB170" s="150"/>
      <c r="DC170" s="150"/>
      <c r="DD170" s="150"/>
      <c r="DE170" s="150"/>
      <c r="DF170" s="150"/>
      <c r="DG170" s="150"/>
      <c r="DH170" s="150"/>
      <c r="DI170" s="150"/>
      <c r="DJ170" s="150"/>
      <c r="DK170" s="150"/>
    </row>
    <row r="171" spans="1:115" s="227" customFormat="1" x14ac:dyDescent="0.25">
      <c r="A171" s="258"/>
      <c r="B171" s="258"/>
      <c r="C171" s="584"/>
      <c r="D171" s="595"/>
      <c r="E171" s="537"/>
      <c r="F171" s="541"/>
      <c r="G171" s="541"/>
      <c r="H171" s="540">
        <f t="shared" si="20"/>
        <v>0</v>
      </c>
      <c r="I171" s="537"/>
      <c r="J171" s="541"/>
      <c r="K171" s="541"/>
      <c r="L171" s="540">
        <f t="shared" si="21"/>
        <v>0</v>
      </c>
      <c r="M171" s="150"/>
      <c r="N171" s="150"/>
      <c r="O171" s="150"/>
      <c r="P171" s="150"/>
      <c r="Q171" s="150"/>
      <c r="R171" s="150"/>
      <c r="S171" s="150"/>
      <c r="T171" s="150"/>
      <c r="U171" s="150"/>
      <c r="V171" s="150"/>
      <c r="W171" s="150"/>
      <c r="X171" s="150"/>
      <c r="Y171" s="150"/>
      <c r="Z171" s="150"/>
      <c r="AA171" s="150"/>
      <c r="AB171" s="150"/>
      <c r="AC171" s="150"/>
      <c r="AD171" s="150"/>
      <c r="AE171" s="150"/>
      <c r="AF171" s="150"/>
      <c r="AG171" s="150"/>
      <c r="AH171" s="150"/>
      <c r="AI171" s="150"/>
      <c r="AJ171" s="150"/>
      <c r="AK171" s="150"/>
      <c r="AL171" s="150"/>
      <c r="AM171" s="150"/>
      <c r="AN171" s="150"/>
      <c r="AO171" s="150"/>
      <c r="AP171" s="150"/>
      <c r="AQ171" s="150"/>
      <c r="AR171" s="150"/>
      <c r="AS171" s="150"/>
      <c r="AT171" s="150"/>
      <c r="AU171" s="150"/>
      <c r="AV171" s="150"/>
      <c r="AW171" s="150"/>
      <c r="AX171" s="150"/>
      <c r="AY171" s="150"/>
      <c r="AZ171" s="150"/>
      <c r="BA171" s="150"/>
      <c r="BB171" s="150"/>
      <c r="BC171" s="150"/>
      <c r="BD171" s="150"/>
      <c r="BE171" s="150"/>
      <c r="BF171" s="150"/>
      <c r="BG171" s="150"/>
      <c r="BH171" s="150"/>
      <c r="BI171" s="150"/>
      <c r="BJ171" s="150"/>
      <c r="BK171" s="150"/>
      <c r="BL171" s="150"/>
      <c r="BM171" s="150"/>
      <c r="BN171" s="150"/>
      <c r="BO171" s="150"/>
      <c r="BP171" s="150"/>
      <c r="BQ171" s="150"/>
      <c r="BR171" s="150"/>
      <c r="BS171" s="150"/>
      <c r="BT171" s="150"/>
      <c r="BU171" s="150"/>
      <c r="BV171" s="150"/>
      <c r="BW171" s="150"/>
      <c r="BX171" s="150"/>
      <c r="BY171" s="150"/>
      <c r="BZ171" s="150"/>
      <c r="CA171" s="150"/>
      <c r="CB171" s="150"/>
      <c r="CC171" s="150"/>
      <c r="CD171" s="150"/>
      <c r="CE171" s="150"/>
      <c r="CF171" s="150"/>
      <c r="CG171" s="150"/>
      <c r="CH171" s="150"/>
      <c r="CI171" s="150"/>
      <c r="CJ171" s="150"/>
      <c r="CK171" s="150"/>
      <c r="CL171" s="150"/>
      <c r="CM171" s="150"/>
      <c r="CN171" s="150"/>
      <c r="CO171" s="150"/>
      <c r="CP171" s="150"/>
      <c r="CQ171" s="150"/>
      <c r="CR171" s="150"/>
      <c r="CS171" s="150"/>
      <c r="CT171" s="150"/>
      <c r="CU171" s="150"/>
      <c r="CV171" s="150"/>
      <c r="CW171" s="150"/>
      <c r="CX171" s="150"/>
      <c r="CY171" s="150"/>
      <c r="CZ171" s="150"/>
      <c r="DA171" s="150"/>
      <c r="DB171" s="150"/>
      <c r="DC171" s="150"/>
      <c r="DD171" s="150"/>
      <c r="DE171" s="150"/>
      <c r="DF171" s="150"/>
      <c r="DG171" s="150"/>
      <c r="DH171" s="150"/>
      <c r="DI171" s="150"/>
      <c r="DJ171" s="150"/>
      <c r="DK171" s="150"/>
    </row>
    <row r="172" spans="1:115" s="227" customFormat="1" x14ac:dyDescent="0.25">
      <c r="A172" s="258"/>
      <c r="B172" s="258"/>
      <c r="C172" s="584"/>
      <c r="D172" s="595"/>
      <c r="E172" s="537"/>
      <c r="F172" s="541"/>
      <c r="G172" s="541"/>
      <c r="H172" s="540">
        <f t="shared" si="20"/>
        <v>0</v>
      </c>
      <c r="I172" s="537"/>
      <c r="J172" s="541"/>
      <c r="K172" s="541"/>
      <c r="L172" s="540">
        <f t="shared" si="21"/>
        <v>0</v>
      </c>
      <c r="M172" s="150"/>
      <c r="N172" s="150"/>
      <c r="O172" s="150"/>
      <c r="P172" s="150"/>
      <c r="Q172" s="150"/>
      <c r="R172" s="150"/>
      <c r="S172" s="150"/>
      <c r="T172" s="150"/>
      <c r="U172" s="150"/>
      <c r="V172" s="150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0"/>
      <c r="AQ172" s="150"/>
      <c r="AR172" s="150"/>
      <c r="AS172" s="150"/>
      <c r="AT172" s="150"/>
      <c r="AU172" s="150"/>
      <c r="AV172" s="150"/>
      <c r="AW172" s="150"/>
      <c r="AX172" s="150"/>
      <c r="AY172" s="150"/>
      <c r="AZ172" s="150"/>
      <c r="BA172" s="150"/>
      <c r="BB172" s="150"/>
      <c r="BC172" s="150"/>
      <c r="BD172" s="150"/>
      <c r="BE172" s="150"/>
      <c r="BF172" s="150"/>
      <c r="BG172" s="150"/>
      <c r="BH172" s="150"/>
      <c r="BI172" s="150"/>
      <c r="BJ172" s="150"/>
      <c r="BK172" s="150"/>
      <c r="BL172" s="150"/>
      <c r="BM172" s="150"/>
      <c r="BN172" s="150"/>
      <c r="BO172" s="150"/>
      <c r="BP172" s="150"/>
      <c r="BQ172" s="150"/>
      <c r="BR172" s="150"/>
      <c r="BS172" s="150"/>
      <c r="BT172" s="150"/>
      <c r="BU172" s="150"/>
      <c r="BV172" s="150"/>
      <c r="BW172" s="150"/>
      <c r="BX172" s="150"/>
      <c r="BY172" s="150"/>
      <c r="BZ172" s="150"/>
      <c r="CA172" s="150"/>
      <c r="CB172" s="150"/>
      <c r="CC172" s="150"/>
      <c r="CD172" s="150"/>
      <c r="CE172" s="150"/>
      <c r="CF172" s="150"/>
      <c r="CG172" s="150"/>
      <c r="CH172" s="150"/>
      <c r="CI172" s="150"/>
      <c r="CJ172" s="150"/>
      <c r="CK172" s="150"/>
      <c r="CL172" s="150"/>
      <c r="CM172" s="150"/>
      <c r="CN172" s="150"/>
      <c r="CO172" s="150"/>
      <c r="CP172" s="150"/>
      <c r="CQ172" s="150"/>
      <c r="CR172" s="150"/>
      <c r="CS172" s="150"/>
      <c r="CT172" s="150"/>
      <c r="CU172" s="150"/>
      <c r="CV172" s="150"/>
      <c r="CW172" s="150"/>
      <c r="CX172" s="150"/>
      <c r="CY172" s="150"/>
      <c r="CZ172" s="150"/>
      <c r="DA172" s="150"/>
      <c r="DB172" s="150"/>
      <c r="DC172" s="150"/>
      <c r="DD172" s="150"/>
      <c r="DE172" s="150"/>
      <c r="DF172" s="150"/>
      <c r="DG172" s="150"/>
      <c r="DH172" s="150"/>
      <c r="DI172" s="150"/>
      <c r="DJ172" s="150"/>
      <c r="DK172" s="150"/>
    </row>
    <row r="173" spans="1:115" s="227" customFormat="1" x14ac:dyDescent="0.25">
      <c r="A173" s="258"/>
      <c r="B173" s="258"/>
      <c r="C173" s="584"/>
      <c r="D173" s="560"/>
      <c r="E173" s="537"/>
      <c r="F173" s="541"/>
      <c r="G173" s="541"/>
      <c r="H173" s="540">
        <f t="shared" si="20"/>
        <v>0</v>
      </c>
      <c r="I173" s="537"/>
      <c r="J173" s="541"/>
      <c r="K173" s="541"/>
      <c r="L173" s="540">
        <f t="shared" si="21"/>
        <v>0</v>
      </c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0"/>
      <c r="Y173" s="150"/>
      <c r="Z173" s="150"/>
      <c r="AA173" s="150"/>
      <c r="AB173" s="150"/>
      <c r="AC173" s="150"/>
      <c r="AD173" s="150"/>
      <c r="AE173" s="150"/>
      <c r="AF173" s="150"/>
      <c r="AG173" s="150"/>
      <c r="AH173" s="150"/>
      <c r="AI173" s="150"/>
      <c r="AJ173" s="150"/>
      <c r="AK173" s="150"/>
      <c r="AL173" s="150"/>
      <c r="AM173" s="150"/>
      <c r="AN173" s="150"/>
      <c r="AO173" s="150"/>
      <c r="AP173" s="150"/>
      <c r="AQ173" s="150"/>
      <c r="AR173" s="150"/>
      <c r="AS173" s="150"/>
      <c r="AT173" s="150"/>
      <c r="AU173" s="150"/>
      <c r="AV173" s="150"/>
      <c r="AW173" s="150"/>
      <c r="AX173" s="150"/>
      <c r="AY173" s="150"/>
      <c r="AZ173" s="150"/>
      <c r="BA173" s="150"/>
      <c r="BB173" s="150"/>
      <c r="BC173" s="150"/>
      <c r="BD173" s="150"/>
      <c r="BE173" s="150"/>
      <c r="BF173" s="150"/>
      <c r="BG173" s="150"/>
      <c r="BH173" s="150"/>
      <c r="BI173" s="150"/>
      <c r="BJ173" s="150"/>
      <c r="BK173" s="150"/>
      <c r="BL173" s="150"/>
      <c r="BM173" s="150"/>
      <c r="BN173" s="150"/>
      <c r="BO173" s="150"/>
      <c r="BP173" s="150"/>
      <c r="BQ173" s="150"/>
      <c r="BR173" s="150"/>
      <c r="BS173" s="150"/>
      <c r="BT173" s="150"/>
      <c r="BU173" s="150"/>
      <c r="BV173" s="150"/>
      <c r="BW173" s="150"/>
      <c r="BX173" s="150"/>
      <c r="BY173" s="150"/>
      <c r="BZ173" s="150"/>
      <c r="CA173" s="150"/>
      <c r="CB173" s="150"/>
      <c r="CC173" s="150"/>
      <c r="CD173" s="150"/>
      <c r="CE173" s="150"/>
      <c r="CF173" s="150"/>
      <c r="CG173" s="150"/>
      <c r="CH173" s="150"/>
      <c r="CI173" s="150"/>
      <c r="CJ173" s="150"/>
      <c r="CK173" s="150"/>
      <c r="CL173" s="150"/>
      <c r="CM173" s="150"/>
      <c r="CN173" s="150"/>
      <c r="CO173" s="150"/>
      <c r="CP173" s="150"/>
      <c r="CQ173" s="150"/>
      <c r="CR173" s="150"/>
      <c r="CS173" s="150"/>
      <c r="CT173" s="150"/>
      <c r="CU173" s="150"/>
      <c r="CV173" s="150"/>
      <c r="CW173" s="150"/>
      <c r="CX173" s="150"/>
      <c r="CY173" s="150"/>
      <c r="CZ173" s="150"/>
      <c r="DA173" s="150"/>
      <c r="DB173" s="150"/>
      <c r="DC173" s="150"/>
      <c r="DD173" s="150"/>
      <c r="DE173" s="150"/>
      <c r="DF173" s="150"/>
      <c r="DG173" s="150"/>
      <c r="DH173" s="150"/>
      <c r="DI173" s="150"/>
      <c r="DJ173" s="150"/>
      <c r="DK173" s="150"/>
    </row>
    <row r="174" spans="1:115" x14ac:dyDescent="0.25">
      <c r="A174" s="258"/>
      <c r="B174" s="258"/>
      <c r="C174" s="584"/>
      <c r="D174" s="558"/>
      <c r="E174" s="534"/>
      <c r="F174" s="253"/>
      <c r="G174" s="253"/>
      <c r="H174" s="536">
        <f t="shared" si="20"/>
        <v>0</v>
      </c>
      <c r="I174" s="537"/>
      <c r="J174" s="541"/>
      <c r="K174" s="541"/>
      <c r="L174" s="536">
        <f t="shared" si="21"/>
        <v>0</v>
      </c>
    </row>
    <row r="175" spans="1:115" x14ac:dyDescent="0.25">
      <c r="A175" s="258"/>
      <c r="B175" s="258"/>
      <c r="C175" s="584"/>
      <c r="D175" s="558"/>
      <c r="E175" s="534"/>
      <c r="F175" s="262"/>
      <c r="G175" s="262"/>
      <c r="H175" s="536">
        <f t="shared" si="20"/>
        <v>0</v>
      </c>
      <c r="I175" s="534"/>
      <c r="J175" s="262"/>
      <c r="K175" s="262"/>
      <c r="L175" s="536">
        <f t="shared" si="21"/>
        <v>0</v>
      </c>
    </row>
    <row r="176" spans="1:115" x14ac:dyDescent="0.25">
      <c r="A176" s="257"/>
      <c r="B176" s="257"/>
      <c r="C176" s="585"/>
      <c r="D176" s="558"/>
      <c r="E176" s="534"/>
      <c r="F176" s="253"/>
      <c r="G176" s="253"/>
      <c r="H176" s="536">
        <f t="shared" si="20"/>
        <v>0</v>
      </c>
      <c r="I176" s="534"/>
      <c r="J176" s="253"/>
      <c r="K176" s="253"/>
      <c r="L176" s="536">
        <f t="shared" si="21"/>
        <v>0</v>
      </c>
    </row>
    <row r="177" spans="1:13" x14ac:dyDescent="0.25">
      <c r="A177" s="258"/>
      <c r="B177" s="258"/>
      <c r="C177" s="584"/>
      <c r="D177" s="558"/>
      <c r="E177" s="534"/>
      <c r="F177" s="262"/>
      <c r="G177" s="535"/>
      <c r="H177" s="536">
        <f t="shared" si="20"/>
        <v>0</v>
      </c>
      <c r="I177" s="534"/>
      <c r="J177" s="262"/>
      <c r="K177" s="535"/>
      <c r="L177" s="536">
        <f t="shared" si="21"/>
        <v>0</v>
      </c>
    </row>
    <row r="178" spans="1:13" x14ac:dyDescent="0.25">
      <c r="A178" s="258"/>
      <c r="B178" s="258"/>
      <c r="C178" s="584"/>
      <c r="D178" s="558"/>
      <c r="E178" s="534"/>
      <c r="F178" s="262"/>
      <c r="G178" s="535"/>
      <c r="H178" s="536">
        <f t="shared" si="20"/>
        <v>0</v>
      </c>
      <c r="I178" s="534"/>
      <c r="J178" s="262"/>
      <c r="K178" s="535"/>
      <c r="L178" s="536">
        <f t="shared" si="21"/>
        <v>0</v>
      </c>
    </row>
    <row r="179" spans="1:13" x14ac:dyDescent="0.25">
      <c r="A179" s="258"/>
      <c r="B179" s="258"/>
      <c r="C179" s="584"/>
      <c r="D179" s="559" t="s">
        <v>0</v>
      </c>
      <c r="E179" s="534"/>
      <c r="F179" s="542">
        <f>SUM(F164:F178)</f>
        <v>1000</v>
      </c>
      <c r="G179" s="543">
        <f>H179/F179</f>
        <v>84.5</v>
      </c>
      <c r="H179" s="544">
        <f>SUM(H164:H178)</f>
        <v>84500</v>
      </c>
      <c r="I179" s="534"/>
      <c r="J179" s="542">
        <f>SUM(J164:J178)</f>
        <v>0</v>
      </c>
      <c r="K179" s="543" t="e">
        <f>L179/J179</f>
        <v>#DIV/0!</v>
      </c>
      <c r="L179" s="544">
        <f>SUM(L164:L178)</f>
        <v>0</v>
      </c>
    </row>
    <row r="180" spans="1:13" x14ac:dyDescent="0.25">
      <c r="A180" s="545"/>
      <c r="B180" s="545"/>
      <c r="C180" s="586"/>
      <c r="D180" s="561"/>
      <c r="E180" s="546"/>
      <c r="F180" s="546"/>
      <c r="G180" s="547"/>
      <c r="H180" s="548"/>
      <c r="I180" s="546"/>
      <c r="J180" s="546"/>
      <c r="K180" s="547"/>
      <c r="L180" s="548"/>
    </row>
    <row r="181" spans="1:13" x14ac:dyDescent="0.25">
      <c r="A181" s="258"/>
      <c r="B181" s="258"/>
      <c r="C181" s="584"/>
      <c r="D181" s="558"/>
      <c r="E181" s="534"/>
      <c r="F181" s="253"/>
      <c r="G181" s="535"/>
      <c r="H181" s="536">
        <f>F181*G181</f>
        <v>0</v>
      </c>
      <c r="I181" s="534"/>
      <c r="J181" s="253"/>
      <c r="K181" s="535"/>
      <c r="L181" s="536">
        <f>J181*K181</f>
        <v>0</v>
      </c>
    </row>
    <row r="182" spans="1:13" x14ac:dyDescent="0.25">
      <c r="A182" s="258"/>
      <c r="B182" s="258"/>
      <c r="C182" s="585"/>
      <c r="D182" s="559">
        <f>D165+1</f>
        <v>45636</v>
      </c>
      <c r="E182" s="534"/>
      <c r="F182" s="253"/>
      <c r="G182" s="541"/>
      <c r="H182" s="536">
        <f>F182*G182</f>
        <v>0</v>
      </c>
      <c r="I182" s="534"/>
      <c r="J182" s="253"/>
      <c r="K182" s="541"/>
      <c r="L182" s="536">
        <f>J182*K182</f>
        <v>0</v>
      </c>
    </row>
    <row r="183" spans="1:13" x14ac:dyDescent="0.25">
      <c r="A183" s="258" t="s">
        <v>6</v>
      </c>
      <c r="B183" s="258" t="s">
        <v>340</v>
      </c>
      <c r="C183" s="585" t="s">
        <v>374</v>
      </c>
      <c r="D183" s="595"/>
      <c r="E183" s="537">
        <v>172754</v>
      </c>
      <c r="F183" s="253">
        <v>300</v>
      </c>
      <c r="G183" s="541">
        <v>83.5</v>
      </c>
      <c r="H183" s="536">
        <f t="shared" ref="H183:H186" si="22">F183*G183</f>
        <v>25050</v>
      </c>
      <c r="I183" s="537"/>
      <c r="J183" s="253"/>
      <c r="K183" s="541"/>
      <c r="L183" s="536">
        <f t="shared" ref="L183:L186" si="23">J183*K183</f>
        <v>0</v>
      </c>
    </row>
    <row r="184" spans="1:13" x14ac:dyDescent="0.25">
      <c r="A184" s="258" t="s">
        <v>6</v>
      </c>
      <c r="B184" s="258" t="s">
        <v>340</v>
      </c>
      <c r="C184" s="585" t="s">
        <v>382</v>
      </c>
      <c r="D184" s="595"/>
      <c r="E184" s="537">
        <v>172759</v>
      </c>
      <c r="F184" s="253">
        <v>300</v>
      </c>
      <c r="G184" s="541">
        <v>83.5</v>
      </c>
      <c r="H184" s="536">
        <f t="shared" si="22"/>
        <v>25050</v>
      </c>
      <c r="I184" s="537"/>
      <c r="J184" s="253"/>
      <c r="K184" s="541"/>
      <c r="L184" s="536">
        <f t="shared" si="23"/>
        <v>0</v>
      </c>
    </row>
    <row r="185" spans="1:13" x14ac:dyDescent="0.25">
      <c r="A185" s="258" t="s">
        <v>6</v>
      </c>
      <c r="B185" s="258" t="s">
        <v>340</v>
      </c>
      <c r="C185" s="585" t="s">
        <v>341</v>
      </c>
      <c r="D185" s="595"/>
      <c r="E185" s="537">
        <v>172763</v>
      </c>
      <c r="F185" s="253">
        <v>500</v>
      </c>
      <c r="G185" s="541">
        <v>83.35</v>
      </c>
      <c r="H185" s="536">
        <f t="shared" si="22"/>
        <v>41675</v>
      </c>
      <c r="I185" s="537"/>
      <c r="J185" s="253"/>
      <c r="K185" s="541"/>
      <c r="L185" s="536">
        <f t="shared" si="23"/>
        <v>0</v>
      </c>
    </row>
    <row r="186" spans="1:13" x14ac:dyDescent="0.25">
      <c r="A186" s="258" t="s">
        <v>6</v>
      </c>
      <c r="B186" s="258" t="s">
        <v>340</v>
      </c>
      <c r="C186" s="585" t="s">
        <v>374</v>
      </c>
      <c r="D186" s="595"/>
      <c r="E186" s="537">
        <v>172789</v>
      </c>
      <c r="F186" s="253">
        <v>272</v>
      </c>
      <c r="G186" s="541">
        <v>84</v>
      </c>
      <c r="H186" s="536">
        <f t="shared" si="22"/>
        <v>22848</v>
      </c>
      <c r="I186" s="537"/>
      <c r="J186" s="253"/>
      <c r="K186" s="541"/>
      <c r="L186" s="536">
        <f t="shared" si="23"/>
        <v>0</v>
      </c>
    </row>
    <row r="187" spans="1:13" x14ac:dyDescent="0.25">
      <c r="A187" s="258" t="s">
        <v>6</v>
      </c>
      <c r="B187" s="258" t="s">
        <v>340</v>
      </c>
      <c r="C187" s="584" t="s">
        <v>374</v>
      </c>
      <c r="D187" s="596"/>
      <c r="E187" s="534">
        <v>172790</v>
      </c>
      <c r="F187" s="262">
        <v>128</v>
      </c>
      <c r="G187" s="262">
        <v>84</v>
      </c>
      <c r="H187" s="536">
        <f t="shared" ref="H187:H188" si="24">F187*G187</f>
        <v>10752</v>
      </c>
      <c r="I187" s="534"/>
      <c r="J187" s="262"/>
      <c r="K187" s="262"/>
      <c r="L187" s="536">
        <f t="shared" ref="L187:L196" si="25">J187*K187</f>
        <v>0</v>
      </c>
    </row>
    <row r="188" spans="1:13" x14ac:dyDescent="0.25">
      <c r="A188" s="258"/>
      <c r="B188" s="258"/>
      <c r="C188" s="584"/>
      <c r="D188" s="596"/>
      <c r="E188" s="534"/>
      <c r="F188" s="262"/>
      <c r="G188" s="262"/>
      <c r="H188" s="536">
        <f t="shared" si="24"/>
        <v>0</v>
      </c>
      <c r="I188" s="534"/>
      <c r="J188" s="262"/>
      <c r="K188" s="262"/>
      <c r="L188" s="536">
        <f t="shared" si="25"/>
        <v>0</v>
      </c>
    </row>
    <row r="189" spans="1:13" x14ac:dyDescent="0.25">
      <c r="A189" s="258"/>
      <c r="B189" s="258"/>
      <c r="C189" s="584"/>
      <c r="D189" s="596"/>
      <c r="E189" s="534"/>
      <c r="F189" s="262"/>
      <c r="G189" s="262"/>
      <c r="H189" s="536">
        <f t="shared" ref="H189:H196" si="26">F189*G189</f>
        <v>0</v>
      </c>
      <c r="I189" s="534"/>
      <c r="J189" s="262"/>
      <c r="K189" s="262"/>
      <c r="L189" s="536">
        <f t="shared" si="25"/>
        <v>0</v>
      </c>
      <c r="M189" s="236"/>
    </row>
    <row r="190" spans="1:13" x14ac:dyDescent="0.25">
      <c r="A190" s="258"/>
      <c r="B190" s="258"/>
      <c r="C190" s="584"/>
      <c r="D190" s="596"/>
      <c r="E190" s="534"/>
      <c r="F190" s="262"/>
      <c r="G190" s="262"/>
      <c r="H190" s="536">
        <f t="shared" si="26"/>
        <v>0</v>
      </c>
      <c r="I190" s="534"/>
      <c r="J190" s="262"/>
      <c r="K190" s="262"/>
      <c r="L190" s="536">
        <f t="shared" si="25"/>
        <v>0</v>
      </c>
    </row>
    <row r="191" spans="1:13" x14ac:dyDescent="0.25">
      <c r="A191" s="258"/>
      <c r="B191" s="258"/>
      <c r="C191" s="584"/>
      <c r="D191" s="596"/>
      <c r="E191" s="534"/>
      <c r="F191" s="262"/>
      <c r="G191" s="262"/>
      <c r="H191" s="536">
        <f t="shared" si="26"/>
        <v>0</v>
      </c>
      <c r="I191" s="534"/>
      <c r="J191" s="262"/>
      <c r="K191" s="262"/>
      <c r="L191" s="536">
        <f t="shared" si="25"/>
        <v>0</v>
      </c>
    </row>
    <row r="192" spans="1:13" x14ac:dyDescent="0.25">
      <c r="A192" s="258"/>
      <c r="B192" s="258"/>
      <c r="C192" s="584"/>
      <c r="D192" s="596"/>
      <c r="E192" s="534"/>
      <c r="F192" s="262"/>
      <c r="G192" s="262"/>
      <c r="H192" s="536">
        <f t="shared" si="26"/>
        <v>0</v>
      </c>
      <c r="I192" s="534"/>
      <c r="J192" s="262"/>
      <c r="K192" s="262"/>
      <c r="L192" s="536">
        <f t="shared" si="25"/>
        <v>0</v>
      </c>
    </row>
    <row r="193" spans="1:115" x14ac:dyDescent="0.25">
      <c r="A193" s="258"/>
      <c r="B193" s="258"/>
      <c r="C193" s="584"/>
      <c r="D193" s="596"/>
      <c r="E193" s="534"/>
      <c r="F193" s="262"/>
      <c r="G193" s="262"/>
      <c r="H193" s="536">
        <f t="shared" si="26"/>
        <v>0</v>
      </c>
      <c r="I193" s="534"/>
      <c r="J193" s="262"/>
      <c r="K193" s="262"/>
      <c r="L193" s="536">
        <f t="shared" si="25"/>
        <v>0</v>
      </c>
    </row>
    <row r="194" spans="1:115" x14ac:dyDescent="0.25">
      <c r="A194" s="258"/>
      <c r="B194" s="258"/>
      <c r="C194" s="584"/>
      <c r="D194" s="596"/>
      <c r="E194" s="534"/>
      <c r="F194" s="262"/>
      <c r="G194" s="262"/>
      <c r="H194" s="536">
        <f t="shared" si="26"/>
        <v>0</v>
      </c>
      <c r="I194" s="534"/>
      <c r="J194" s="262"/>
      <c r="K194" s="262"/>
      <c r="L194" s="536">
        <f t="shared" si="25"/>
        <v>0</v>
      </c>
    </row>
    <row r="195" spans="1:115" x14ac:dyDescent="0.25">
      <c r="A195" s="258"/>
      <c r="B195" s="258"/>
      <c r="C195" s="584"/>
      <c r="D195" s="596"/>
      <c r="E195" s="534"/>
      <c r="F195" s="262"/>
      <c r="G195" s="262"/>
      <c r="H195" s="536">
        <f t="shared" si="26"/>
        <v>0</v>
      </c>
      <c r="I195" s="534"/>
      <c r="J195" s="262"/>
      <c r="K195" s="262"/>
      <c r="L195" s="536">
        <f t="shared" si="25"/>
        <v>0</v>
      </c>
    </row>
    <row r="196" spans="1:115" x14ac:dyDescent="0.25">
      <c r="A196" s="258"/>
      <c r="B196" s="258"/>
      <c r="C196" s="584"/>
      <c r="D196" s="603"/>
      <c r="E196" s="534"/>
      <c r="F196" s="262"/>
      <c r="G196" s="535"/>
      <c r="H196" s="536">
        <f t="shared" si="26"/>
        <v>0</v>
      </c>
      <c r="I196" s="534"/>
      <c r="J196" s="262"/>
      <c r="K196" s="535"/>
      <c r="L196" s="536">
        <f t="shared" si="25"/>
        <v>0</v>
      </c>
    </row>
    <row r="197" spans="1:115" x14ac:dyDescent="0.25">
      <c r="A197" s="258"/>
      <c r="B197" s="258"/>
      <c r="C197" s="584"/>
      <c r="D197" s="559" t="s">
        <v>0</v>
      </c>
      <c r="E197" s="534"/>
      <c r="F197" s="542">
        <f>SUM(F181:F196)</f>
        <v>1500</v>
      </c>
      <c r="G197" s="543">
        <f>H197/F197</f>
        <v>83.583333333333329</v>
      </c>
      <c r="H197" s="544">
        <f>SUM(H181:H196)</f>
        <v>125375</v>
      </c>
      <c r="I197" s="534"/>
      <c r="J197" s="542">
        <f>SUM(J181:J196)</f>
        <v>0</v>
      </c>
      <c r="K197" s="543" t="e">
        <f>L197/J197</f>
        <v>#DIV/0!</v>
      </c>
      <c r="L197" s="544">
        <f>SUM(L181:L196)</f>
        <v>0</v>
      </c>
    </row>
    <row r="198" spans="1:115" x14ac:dyDescent="0.25">
      <c r="A198" s="545"/>
      <c r="B198" s="545"/>
      <c r="C198" s="586"/>
      <c r="D198" s="561"/>
      <c r="E198" s="546"/>
      <c r="F198" s="546"/>
      <c r="G198" s="547"/>
      <c r="H198" s="548"/>
      <c r="I198" s="546"/>
      <c r="J198" s="546"/>
      <c r="K198" s="547"/>
      <c r="L198" s="548"/>
    </row>
    <row r="199" spans="1:115" x14ac:dyDescent="0.25">
      <c r="A199" s="258"/>
      <c r="B199" s="258"/>
      <c r="C199" s="584"/>
      <c r="D199" s="558"/>
      <c r="E199" s="534"/>
      <c r="F199" s="253"/>
      <c r="G199" s="535"/>
      <c r="H199" s="536">
        <f t="shared" ref="H199:H211" si="27">F199*G199</f>
        <v>0</v>
      </c>
      <c r="I199" s="534"/>
      <c r="J199" s="253"/>
      <c r="K199" s="535"/>
      <c r="L199" s="536">
        <f t="shared" ref="L199:L211" si="28">J199*K199</f>
        <v>0</v>
      </c>
    </row>
    <row r="200" spans="1:115" x14ac:dyDescent="0.25">
      <c r="A200" s="258" t="s">
        <v>6</v>
      </c>
      <c r="B200" s="258" t="s">
        <v>340</v>
      </c>
      <c r="C200" s="585" t="s">
        <v>341</v>
      </c>
      <c r="D200" s="596">
        <f>D182+1</f>
        <v>45637</v>
      </c>
      <c r="E200" s="537">
        <v>172814</v>
      </c>
      <c r="F200" s="253">
        <v>500</v>
      </c>
      <c r="G200" s="541">
        <v>82.7</v>
      </c>
      <c r="H200" s="536">
        <f t="shared" si="27"/>
        <v>41350</v>
      </c>
      <c r="I200" s="537"/>
      <c r="J200" s="253"/>
      <c r="K200" s="541"/>
      <c r="L200" s="536">
        <f t="shared" si="28"/>
        <v>0</v>
      </c>
    </row>
    <row r="201" spans="1:115" s="227" customFormat="1" x14ac:dyDescent="0.25">
      <c r="A201" s="258" t="s">
        <v>6</v>
      </c>
      <c r="B201" s="258" t="s">
        <v>340</v>
      </c>
      <c r="C201" s="585" t="s">
        <v>357</v>
      </c>
      <c r="D201" s="595"/>
      <c r="E201" s="537">
        <v>172816</v>
      </c>
      <c r="F201" s="541">
        <v>500</v>
      </c>
      <c r="G201" s="541">
        <v>82.7</v>
      </c>
      <c r="H201" s="540">
        <f t="shared" si="27"/>
        <v>41350</v>
      </c>
      <c r="I201" s="537"/>
      <c r="J201" s="541"/>
      <c r="K201" s="541"/>
      <c r="L201" s="540">
        <f t="shared" si="28"/>
        <v>0</v>
      </c>
      <c r="M201" s="150"/>
      <c r="N201" s="150"/>
      <c r="O201" s="150"/>
      <c r="P201" s="150"/>
      <c r="Q201" s="150"/>
      <c r="R201" s="150"/>
      <c r="S201" s="150"/>
      <c r="T201" s="150"/>
      <c r="U201" s="150"/>
      <c r="V201" s="150"/>
      <c r="W201" s="150"/>
      <c r="X201" s="150"/>
      <c r="Y201" s="150"/>
      <c r="Z201" s="150"/>
      <c r="AA201" s="150"/>
      <c r="AB201" s="150"/>
      <c r="AC201" s="150"/>
      <c r="AD201" s="150"/>
      <c r="AE201" s="150"/>
      <c r="AF201" s="150"/>
      <c r="AG201" s="150"/>
      <c r="AH201" s="150"/>
      <c r="AI201" s="150"/>
      <c r="AJ201" s="150"/>
      <c r="AK201" s="150"/>
      <c r="AL201" s="150"/>
      <c r="AM201" s="150"/>
      <c r="AN201" s="150"/>
      <c r="AO201" s="150"/>
      <c r="AP201" s="150"/>
      <c r="AQ201" s="150"/>
      <c r="AR201" s="150"/>
      <c r="AS201" s="150"/>
      <c r="AT201" s="150"/>
      <c r="AU201" s="150"/>
      <c r="AV201" s="150"/>
      <c r="AW201" s="150"/>
      <c r="AX201" s="150"/>
      <c r="AY201" s="150"/>
      <c r="AZ201" s="150"/>
      <c r="BA201" s="150"/>
      <c r="BB201" s="150"/>
      <c r="BC201" s="150"/>
      <c r="BD201" s="150"/>
      <c r="BE201" s="150"/>
      <c r="BF201" s="150"/>
      <c r="BG201" s="150"/>
      <c r="BH201" s="150"/>
      <c r="BI201" s="150"/>
      <c r="BJ201" s="150"/>
      <c r="BK201" s="150"/>
      <c r="BL201" s="150"/>
      <c r="BM201" s="150"/>
      <c r="BN201" s="150"/>
      <c r="BO201" s="150"/>
      <c r="BP201" s="150"/>
      <c r="BQ201" s="150"/>
      <c r="BR201" s="150"/>
      <c r="BS201" s="150"/>
      <c r="BT201" s="150"/>
      <c r="BU201" s="150"/>
      <c r="BV201" s="150"/>
      <c r="BW201" s="150"/>
      <c r="BX201" s="150"/>
      <c r="BY201" s="150"/>
      <c r="BZ201" s="150"/>
      <c r="CA201" s="150"/>
      <c r="CB201" s="150"/>
      <c r="CC201" s="150"/>
      <c r="CD201" s="150"/>
      <c r="CE201" s="150"/>
      <c r="CF201" s="150"/>
      <c r="CG201" s="150"/>
      <c r="CH201" s="150"/>
      <c r="CI201" s="150"/>
      <c r="CJ201" s="150"/>
      <c r="CK201" s="150"/>
      <c r="CL201" s="150"/>
      <c r="CM201" s="150"/>
      <c r="CN201" s="150"/>
      <c r="CO201" s="150"/>
      <c r="CP201" s="150"/>
      <c r="CQ201" s="150"/>
      <c r="CR201" s="150"/>
      <c r="CS201" s="150"/>
      <c r="CT201" s="150"/>
      <c r="CU201" s="150"/>
      <c r="CV201" s="150"/>
      <c r="CW201" s="150"/>
      <c r="CX201" s="150"/>
      <c r="CY201" s="150"/>
      <c r="CZ201" s="150"/>
      <c r="DA201" s="150"/>
      <c r="DB201" s="150"/>
      <c r="DC201" s="150"/>
      <c r="DD201" s="150"/>
      <c r="DE201" s="150"/>
      <c r="DF201" s="150"/>
      <c r="DG201" s="150"/>
      <c r="DH201" s="150"/>
      <c r="DI201" s="150"/>
      <c r="DJ201" s="150"/>
      <c r="DK201" s="150"/>
    </row>
    <row r="202" spans="1:115" s="227" customFormat="1" x14ac:dyDescent="0.25">
      <c r="A202" s="258" t="s">
        <v>6</v>
      </c>
      <c r="B202" s="258" t="s">
        <v>340</v>
      </c>
      <c r="C202" s="585" t="s">
        <v>341</v>
      </c>
      <c r="D202" s="595"/>
      <c r="E202" s="537">
        <v>172827</v>
      </c>
      <c r="F202" s="541">
        <v>500</v>
      </c>
      <c r="G202" s="541">
        <v>82.7</v>
      </c>
      <c r="H202" s="540">
        <f t="shared" si="27"/>
        <v>41350</v>
      </c>
      <c r="I202" s="537"/>
      <c r="J202" s="541"/>
      <c r="K202" s="541"/>
      <c r="L202" s="540">
        <f t="shared" si="28"/>
        <v>0</v>
      </c>
      <c r="M202" s="150"/>
      <c r="N202" s="150"/>
      <c r="O202" s="150"/>
      <c r="P202" s="150"/>
      <c r="Q202" s="150"/>
      <c r="R202" s="150"/>
      <c r="S202" s="150"/>
      <c r="T202" s="150"/>
      <c r="U202" s="150"/>
      <c r="V202" s="150"/>
      <c r="W202" s="150"/>
      <c r="X202" s="150"/>
      <c r="Y202" s="150"/>
      <c r="Z202" s="150"/>
      <c r="AA202" s="150"/>
      <c r="AB202" s="150"/>
      <c r="AC202" s="150"/>
      <c r="AD202" s="150"/>
      <c r="AE202" s="150"/>
      <c r="AF202" s="150"/>
      <c r="AG202" s="150"/>
      <c r="AH202" s="150"/>
      <c r="AI202" s="150"/>
      <c r="AJ202" s="150"/>
      <c r="AK202" s="150"/>
      <c r="AL202" s="150"/>
      <c r="AM202" s="150"/>
      <c r="AN202" s="150"/>
      <c r="AO202" s="150"/>
      <c r="AP202" s="150"/>
      <c r="AQ202" s="150"/>
      <c r="AR202" s="150"/>
      <c r="AS202" s="150"/>
      <c r="AT202" s="150"/>
      <c r="AU202" s="150"/>
      <c r="AV202" s="150"/>
      <c r="AW202" s="150"/>
      <c r="AX202" s="150"/>
      <c r="AY202" s="150"/>
      <c r="AZ202" s="150"/>
      <c r="BA202" s="150"/>
      <c r="BB202" s="150"/>
      <c r="BC202" s="150"/>
      <c r="BD202" s="150"/>
      <c r="BE202" s="150"/>
      <c r="BF202" s="150"/>
      <c r="BG202" s="150"/>
      <c r="BH202" s="150"/>
      <c r="BI202" s="150"/>
      <c r="BJ202" s="150"/>
      <c r="BK202" s="150"/>
      <c r="BL202" s="150"/>
      <c r="BM202" s="150"/>
      <c r="BN202" s="150"/>
      <c r="BO202" s="150"/>
      <c r="BP202" s="150"/>
      <c r="BQ202" s="150"/>
      <c r="BR202" s="150"/>
      <c r="BS202" s="150"/>
      <c r="BT202" s="150"/>
      <c r="BU202" s="150"/>
      <c r="BV202" s="150"/>
      <c r="BW202" s="150"/>
      <c r="BX202" s="150"/>
      <c r="BY202" s="150"/>
      <c r="BZ202" s="150"/>
      <c r="CA202" s="150"/>
      <c r="CB202" s="150"/>
      <c r="CC202" s="150"/>
      <c r="CD202" s="150"/>
      <c r="CE202" s="150"/>
      <c r="CF202" s="150"/>
      <c r="CG202" s="150"/>
      <c r="CH202" s="150"/>
      <c r="CI202" s="150"/>
      <c r="CJ202" s="150"/>
      <c r="CK202" s="150"/>
      <c r="CL202" s="150"/>
      <c r="CM202" s="150"/>
      <c r="CN202" s="150"/>
      <c r="CO202" s="150"/>
      <c r="CP202" s="150"/>
      <c r="CQ202" s="150"/>
      <c r="CR202" s="150"/>
      <c r="CS202" s="150"/>
      <c r="CT202" s="150"/>
      <c r="CU202" s="150"/>
      <c r="CV202" s="150"/>
      <c r="CW202" s="150"/>
      <c r="CX202" s="150"/>
      <c r="CY202" s="150"/>
      <c r="CZ202" s="150"/>
      <c r="DA202" s="150"/>
      <c r="DB202" s="150"/>
      <c r="DC202" s="150"/>
      <c r="DD202" s="150"/>
      <c r="DE202" s="150"/>
      <c r="DF202" s="150"/>
      <c r="DG202" s="150"/>
      <c r="DH202" s="150"/>
      <c r="DI202" s="150"/>
      <c r="DJ202" s="150"/>
      <c r="DK202" s="150"/>
    </row>
    <row r="203" spans="1:115" s="227" customFormat="1" x14ac:dyDescent="0.25">
      <c r="A203" s="258" t="s">
        <v>6</v>
      </c>
      <c r="B203" s="258" t="s">
        <v>340</v>
      </c>
      <c r="C203" s="585" t="s">
        <v>341</v>
      </c>
      <c r="D203" s="595"/>
      <c r="E203" s="537">
        <v>172847</v>
      </c>
      <c r="F203" s="541">
        <v>300</v>
      </c>
      <c r="G203" s="541">
        <v>83</v>
      </c>
      <c r="H203" s="540">
        <f t="shared" si="27"/>
        <v>24900</v>
      </c>
      <c r="I203" s="537"/>
      <c r="J203" s="541"/>
      <c r="K203" s="541"/>
      <c r="L203" s="540">
        <f t="shared" si="28"/>
        <v>0</v>
      </c>
      <c r="M203" s="150"/>
      <c r="N203" s="150"/>
      <c r="O203" s="150"/>
      <c r="P203" s="150"/>
      <c r="Q203" s="150"/>
      <c r="R203" s="150"/>
      <c r="S203" s="150"/>
      <c r="T203" s="150"/>
      <c r="U203" s="150"/>
      <c r="V203" s="150"/>
      <c r="W203" s="150"/>
      <c r="X203" s="150"/>
      <c r="Y203" s="150"/>
      <c r="Z203" s="150"/>
      <c r="AA203" s="150"/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150"/>
      <c r="AQ203" s="150"/>
      <c r="AR203" s="150"/>
      <c r="AS203" s="150"/>
      <c r="AT203" s="150"/>
      <c r="AU203" s="150"/>
      <c r="AV203" s="150"/>
      <c r="AW203" s="150"/>
      <c r="AX203" s="150"/>
      <c r="AY203" s="150"/>
      <c r="AZ203" s="150"/>
      <c r="BA203" s="150"/>
      <c r="BB203" s="150"/>
      <c r="BC203" s="150"/>
      <c r="BD203" s="150"/>
      <c r="BE203" s="150"/>
      <c r="BF203" s="150"/>
      <c r="BG203" s="150"/>
      <c r="BH203" s="150"/>
      <c r="BI203" s="150"/>
      <c r="BJ203" s="150"/>
      <c r="BK203" s="150"/>
      <c r="BL203" s="150"/>
      <c r="BM203" s="150"/>
      <c r="BN203" s="150"/>
      <c r="BO203" s="150"/>
      <c r="BP203" s="150"/>
      <c r="BQ203" s="150"/>
      <c r="BR203" s="150"/>
      <c r="BS203" s="150"/>
      <c r="BT203" s="150"/>
      <c r="BU203" s="150"/>
      <c r="BV203" s="150"/>
      <c r="BW203" s="150"/>
      <c r="BX203" s="150"/>
      <c r="BY203" s="150"/>
      <c r="BZ203" s="150"/>
      <c r="CA203" s="150"/>
      <c r="CB203" s="150"/>
      <c r="CC203" s="150"/>
      <c r="CD203" s="150"/>
      <c r="CE203" s="150"/>
      <c r="CF203" s="150"/>
      <c r="CG203" s="150"/>
      <c r="CH203" s="150"/>
      <c r="CI203" s="150"/>
      <c r="CJ203" s="150"/>
      <c r="CK203" s="150"/>
      <c r="CL203" s="150"/>
      <c r="CM203" s="150"/>
      <c r="CN203" s="150"/>
      <c r="CO203" s="150"/>
      <c r="CP203" s="150"/>
      <c r="CQ203" s="150"/>
      <c r="CR203" s="150"/>
      <c r="CS203" s="150"/>
      <c r="CT203" s="150"/>
      <c r="CU203" s="150"/>
      <c r="CV203" s="150"/>
      <c r="CW203" s="150"/>
      <c r="CX203" s="150"/>
      <c r="CY203" s="150"/>
      <c r="CZ203" s="150"/>
      <c r="DA203" s="150"/>
      <c r="DB203" s="150"/>
      <c r="DC203" s="150"/>
      <c r="DD203" s="150"/>
      <c r="DE203" s="150"/>
      <c r="DF203" s="150"/>
      <c r="DG203" s="150"/>
      <c r="DH203" s="150"/>
      <c r="DI203" s="150"/>
      <c r="DJ203" s="150"/>
      <c r="DK203" s="150"/>
    </row>
    <row r="204" spans="1:115" s="227" customFormat="1" x14ac:dyDescent="0.25">
      <c r="A204" s="258" t="s">
        <v>6</v>
      </c>
      <c r="B204" s="258" t="s">
        <v>340</v>
      </c>
      <c r="C204" s="585" t="s">
        <v>341</v>
      </c>
      <c r="D204" s="595"/>
      <c r="E204" s="537">
        <v>172850</v>
      </c>
      <c r="F204" s="541">
        <v>100</v>
      </c>
      <c r="G204" s="541">
        <v>83</v>
      </c>
      <c r="H204" s="540">
        <f t="shared" si="27"/>
        <v>8300</v>
      </c>
      <c r="I204" s="537"/>
      <c r="J204" s="541"/>
      <c r="K204" s="541"/>
      <c r="L204" s="540">
        <f t="shared" si="28"/>
        <v>0</v>
      </c>
      <c r="M204" s="150"/>
      <c r="N204" s="150"/>
      <c r="O204" s="150"/>
      <c r="P204" s="150"/>
      <c r="Q204" s="150"/>
      <c r="R204" s="150"/>
      <c r="S204" s="150"/>
      <c r="T204" s="150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150"/>
      <c r="AQ204" s="150"/>
      <c r="AR204" s="150"/>
      <c r="AS204" s="150"/>
      <c r="AT204" s="150"/>
      <c r="AU204" s="150"/>
      <c r="AV204" s="150"/>
      <c r="AW204" s="150"/>
      <c r="AX204" s="150"/>
      <c r="AY204" s="150"/>
      <c r="AZ204" s="150"/>
      <c r="BA204" s="150"/>
      <c r="BB204" s="150"/>
      <c r="BC204" s="150"/>
      <c r="BD204" s="150"/>
      <c r="BE204" s="150"/>
      <c r="BF204" s="150"/>
      <c r="BG204" s="150"/>
      <c r="BH204" s="150"/>
      <c r="BI204" s="150"/>
      <c r="BJ204" s="150"/>
      <c r="BK204" s="150"/>
      <c r="BL204" s="150"/>
      <c r="BM204" s="150"/>
      <c r="BN204" s="150"/>
      <c r="BO204" s="150"/>
      <c r="BP204" s="150"/>
      <c r="BQ204" s="150"/>
      <c r="BR204" s="150"/>
      <c r="BS204" s="150"/>
      <c r="BT204" s="150"/>
      <c r="BU204" s="150"/>
      <c r="BV204" s="150"/>
      <c r="BW204" s="150"/>
      <c r="BX204" s="150"/>
      <c r="BY204" s="150"/>
      <c r="BZ204" s="150"/>
      <c r="CA204" s="150"/>
      <c r="CB204" s="150"/>
      <c r="CC204" s="150"/>
      <c r="CD204" s="150"/>
      <c r="CE204" s="150"/>
      <c r="CF204" s="150"/>
      <c r="CG204" s="150"/>
      <c r="CH204" s="150"/>
      <c r="CI204" s="150"/>
      <c r="CJ204" s="150"/>
      <c r="CK204" s="150"/>
      <c r="CL204" s="150"/>
      <c r="CM204" s="150"/>
      <c r="CN204" s="150"/>
      <c r="CO204" s="150"/>
      <c r="CP204" s="150"/>
      <c r="CQ204" s="150"/>
      <c r="CR204" s="150"/>
      <c r="CS204" s="150"/>
      <c r="CT204" s="150"/>
      <c r="CU204" s="150"/>
      <c r="CV204" s="150"/>
      <c r="CW204" s="150"/>
      <c r="CX204" s="150"/>
      <c r="CY204" s="150"/>
      <c r="CZ204" s="150"/>
      <c r="DA204" s="150"/>
      <c r="DB204" s="150"/>
      <c r="DC204" s="150"/>
      <c r="DD204" s="150"/>
      <c r="DE204" s="150"/>
      <c r="DF204" s="150"/>
      <c r="DG204" s="150"/>
      <c r="DH204" s="150"/>
      <c r="DI204" s="150"/>
      <c r="DJ204" s="150"/>
      <c r="DK204" s="150"/>
    </row>
    <row r="205" spans="1:115" s="617" customFormat="1" x14ac:dyDescent="0.25">
      <c r="A205" s="610" t="s">
        <v>6</v>
      </c>
      <c r="B205" s="610" t="s">
        <v>346</v>
      </c>
      <c r="C205" s="611" t="s">
        <v>381</v>
      </c>
      <c r="D205" s="612"/>
      <c r="E205" s="613"/>
      <c r="F205" s="615"/>
      <c r="G205" s="615"/>
      <c r="H205" s="630">
        <f t="shared" si="27"/>
        <v>0</v>
      </c>
      <c r="I205" s="613">
        <v>172880</v>
      </c>
      <c r="J205" s="615">
        <v>400</v>
      </c>
      <c r="K205" s="615">
        <v>83.45</v>
      </c>
      <c r="L205" s="630">
        <f t="shared" si="28"/>
        <v>33380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</row>
    <row r="206" spans="1:115" s="227" customFormat="1" x14ac:dyDescent="0.25">
      <c r="A206" s="258"/>
      <c r="B206" s="258"/>
      <c r="C206" s="584"/>
      <c r="D206" s="595"/>
      <c r="E206" s="537"/>
      <c r="F206" s="541"/>
      <c r="G206" s="541"/>
      <c r="H206" s="540">
        <f t="shared" si="27"/>
        <v>0</v>
      </c>
      <c r="I206" s="537"/>
      <c r="J206" s="541"/>
      <c r="K206" s="541"/>
      <c r="L206" s="540">
        <f t="shared" si="28"/>
        <v>0</v>
      </c>
      <c r="M206" s="150"/>
      <c r="N206" s="150"/>
      <c r="O206" s="150"/>
      <c r="P206" s="150"/>
      <c r="Q206" s="150"/>
      <c r="R206" s="150"/>
      <c r="S206" s="150"/>
      <c r="T206" s="150"/>
      <c r="U206" s="150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150"/>
      <c r="AQ206" s="150"/>
      <c r="AR206" s="150"/>
      <c r="AS206" s="150"/>
      <c r="AT206" s="150"/>
      <c r="AU206" s="150"/>
      <c r="AV206" s="150"/>
      <c r="AW206" s="150"/>
      <c r="AX206" s="150"/>
      <c r="AY206" s="150"/>
      <c r="AZ206" s="150"/>
      <c r="BA206" s="150"/>
      <c r="BB206" s="150"/>
      <c r="BC206" s="150"/>
      <c r="BD206" s="150"/>
      <c r="BE206" s="150"/>
      <c r="BF206" s="150"/>
      <c r="BG206" s="150"/>
      <c r="BH206" s="150"/>
      <c r="BI206" s="150"/>
      <c r="BJ206" s="150"/>
      <c r="BK206" s="150"/>
      <c r="BL206" s="150"/>
      <c r="BM206" s="150"/>
      <c r="BN206" s="150"/>
      <c r="BO206" s="150"/>
      <c r="BP206" s="150"/>
      <c r="BQ206" s="150"/>
      <c r="BR206" s="150"/>
      <c r="BS206" s="150"/>
      <c r="BT206" s="150"/>
      <c r="BU206" s="150"/>
      <c r="BV206" s="150"/>
      <c r="BW206" s="150"/>
      <c r="BX206" s="150"/>
      <c r="BY206" s="150"/>
      <c r="BZ206" s="150"/>
      <c r="CA206" s="150"/>
      <c r="CB206" s="150"/>
      <c r="CC206" s="150"/>
      <c r="CD206" s="150"/>
      <c r="CE206" s="150"/>
      <c r="CF206" s="150"/>
      <c r="CG206" s="150"/>
      <c r="CH206" s="150"/>
      <c r="CI206" s="150"/>
      <c r="CJ206" s="150"/>
      <c r="CK206" s="150"/>
      <c r="CL206" s="150"/>
      <c r="CM206" s="150"/>
      <c r="CN206" s="150"/>
      <c r="CO206" s="150"/>
      <c r="CP206" s="150"/>
      <c r="CQ206" s="150"/>
      <c r="CR206" s="150"/>
      <c r="CS206" s="150"/>
      <c r="CT206" s="150"/>
      <c r="CU206" s="150"/>
      <c r="CV206" s="150"/>
      <c r="CW206" s="150"/>
      <c r="CX206" s="150"/>
      <c r="CY206" s="150"/>
      <c r="CZ206" s="150"/>
      <c r="DA206" s="150"/>
      <c r="DB206" s="150"/>
      <c r="DC206" s="150"/>
      <c r="DD206" s="150"/>
      <c r="DE206" s="150"/>
      <c r="DF206" s="150"/>
      <c r="DG206" s="150"/>
      <c r="DH206" s="150"/>
      <c r="DI206" s="150"/>
      <c r="DJ206" s="150"/>
      <c r="DK206" s="150"/>
    </row>
    <row r="207" spans="1:115" s="227" customFormat="1" x14ac:dyDescent="0.25">
      <c r="A207" s="258"/>
      <c r="B207" s="258"/>
      <c r="C207" s="584"/>
      <c r="D207" s="595"/>
      <c r="E207" s="537"/>
      <c r="F207" s="541"/>
      <c r="G207" s="541"/>
      <c r="H207" s="540">
        <f t="shared" si="27"/>
        <v>0</v>
      </c>
      <c r="I207" s="537"/>
      <c r="J207" s="541"/>
      <c r="K207" s="541"/>
      <c r="L207" s="540">
        <f t="shared" si="28"/>
        <v>0</v>
      </c>
      <c r="M207" s="236"/>
      <c r="N207" s="150"/>
      <c r="O207" s="150"/>
      <c r="P207" s="150"/>
      <c r="Q207" s="150"/>
      <c r="R207" s="150"/>
      <c r="S207" s="150"/>
      <c r="T207" s="150"/>
      <c r="U207" s="150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  <c r="AN207" s="150"/>
      <c r="AO207" s="150"/>
      <c r="AP207" s="150"/>
      <c r="AQ207" s="150"/>
      <c r="AR207" s="150"/>
      <c r="AS207" s="150"/>
      <c r="AT207" s="150"/>
      <c r="AU207" s="150"/>
      <c r="AV207" s="150"/>
      <c r="AW207" s="150"/>
      <c r="AX207" s="150"/>
      <c r="AY207" s="150"/>
      <c r="AZ207" s="150"/>
      <c r="BA207" s="150"/>
      <c r="BB207" s="150"/>
      <c r="BC207" s="150"/>
      <c r="BD207" s="150"/>
      <c r="BE207" s="150"/>
      <c r="BF207" s="150"/>
      <c r="BG207" s="150"/>
      <c r="BH207" s="150"/>
      <c r="BI207" s="150"/>
      <c r="BJ207" s="150"/>
      <c r="BK207" s="150"/>
      <c r="BL207" s="150"/>
      <c r="BM207" s="150"/>
      <c r="BN207" s="150"/>
      <c r="BO207" s="150"/>
      <c r="BP207" s="150"/>
      <c r="BQ207" s="150"/>
      <c r="BR207" s="150"/>
      <c r="BS207" s="150"/>
      <c r="BT207" s="150"/>
      <c r="BU207" s="150"/>
      <c r="BV207" s="150"/>
      <c r="BW207" s="150"/>
      <c r="BX207" s="150"/>
      <c r="BY207" s="150"/>
      <c r="BZ207" s="150"/>
      <c r="CA207" s="150"/>
      <c r="CB207" s="150"/>
      <c r="CC207" s="150"/>
      <c r="CD207" s="150"/>
      <c r="CE207" s="150"/>
      <c r="CF207" s="150"/>
      <c r="CG207" s="150"/>
      <c r="CH207" s="150"/>
      <c r="CI207" s="150"/>
      <c r="CJ207" s="150"/>
      <c r="CK207" s="150"/>
      <c r="CL207" s="150"/>
      <c r="CM207" s="150"/>
      <c r="CN207" s="150"/>
      <c r="CO207" s="150"/>
      <c r="CP207" s="150"/>
      <c r="CQ207" s="150"/>
      <c r="CR207" s="150"/>
      <c r="CS207" s="150"/>
      <c r="CT207" s="150"/>
      <c r="CU207" s="150"/>
      <c r="CV207" s="150"/>
      <c r="CW207" s="150"/>
      <c r="CX207" s="150"/>
      <c r="CY207" s="150"/>
      <c r="CZ207" s="150"/>
      <c r="DA207" s="150"/>
      <c r="DB207" s="150"/>
      <c r="DC207" s="150"/>
      <c r="DD207" s="150"/>
      <c r="DE207" s="150"/>
      <c r="DF207" s="150"/>
      <c r="DG207" s="150"/>
      <c r="DH207" s="150"/>
      <c r="DI207" s="150"/>
      <c r="DJ207" s="150"/>
      <c r="DK207" s="150"/>
    </row>
    <row r="208" spans="1:115" s="227" customFormat="1" x14ac:dyDescent="0.25">
      <c r="A208" s="258"/>
      <c r="B208" s="258"/>
      <c r="C208" s="584"/>
      <c r="D208" s="595"/>
      <c r="E208" s="537"/>
      <c r="F208" s="541"/>
      <c r="G208" s="541"/>
      <c r="H208" s="540">
        <f t="shared" si="27"/>
        <v>0</v>
      </c>
      <c r="I208" s="537"/>
      <c r="J208" s="541"/>
      <c r="K208" s="541"/>
      <c r="L208" s="540">
        <f t="shared" si="28"/>
        <v>0</v>
      </c>
      <c r="M208" s="150"/>
      <c r="N208" s="150"/>
      <c r="O208" s="150"/>
      <c r="P208" s="150"/>
      <c r="Q208" s="150"/>
      <c r="R208" s="150"/>
      <c r="S208" s="150"/>
      <c r="T208" s="150"/>
      <c r="U208" s="150"/>
      <c r="V208" s="150"/>
      <c r="W208" s="150"/>
      <c r="X208" s="150"/>
      <c r="Y208" s="150"/>
      <c r="Z208" s="150"/>
      <c r="AA208" s="150"/>
      <c r="AB208" s="150"/>
      <c r="AC208" s="150"/>
      <c r="AD208" s="150"/>
      <c r="AE208" s="150"/>
      <c r="AF208" s="150"/>
      <c r="AG208" s="150"/>
      <c r="AH208" s="150"/>
      <c r="AI208" s="150"/>
      <c r="AJ208" s="150"/>
      <c r="AK208" s="150"/>
      <c r="AL208" s="150"/>
      <c r="AM208" s="150"/>
      <c r="AN208" s="150"/>
      <c r="AO208" s="150"/>
      <c r="AP208" s="150"/>
      <c r="AQ208" s="150"/>
      <c r="AR208" s="150"/>
      <c r="AS208" s="150"/>
      <c r="AT208" s="150"/>
      <c r="AU208" s="150"/>
      <c r="AV208" s="150"/>
      <c r="AW208" s="150"/>
      <c r="AX208" s="150"/>
      <c r="AY208" s="150"/>
      <c r="AZ208" s="150"/>
      <c r="BA208" s="150"/>
      <c r="BB208" s="150"/>
      <c r="BC208" s="150"/>
      <c r="BD208" s="150"/>
      <c r="BE208" s="150"/>
      <c r="BF208" s="150"/>
      <c r="BG208" s="150"/>
      <c r="BH208" s="150"/>
      <c r="BI208" s="150"/>
      <c r="BJ208" s="150"/>
      <c r="BK208" s="150"/>
      <c r="BL208" s="150"/>
      <c r="BM208" s="150"/>
      <c r="BN208" s="150"/>
      <c r="BO208" s="150"/>
      <c r="BP208" s="150"/>
      <c r="BQ208" s="150"/>
      <c r="BR208" s="150"/>
      <c r="BS208" s="150"/>
      <c r="BT208" s="150"/>
      <c r="BU208" s="150"/>
      <c r="BV208" s="150"/>
      <c r="BW208" s="150"/>
      <c r="BX208" s="150"/>
      <c r="BY208" s="150"/>
      <c r="BZ208" s="150"/>
      <c r="CA208" s="150"/>
      <c r="CB208" s="150"/>
      <c r="CC208" s="150"/>
      <c r="CD208" s="150"/>
      <c r="CE208" s="150"/>
      <c r="CF208" s="150"/>
      <c r="CG208" s="150"/>
      <c r="CH208" s="150"/>
      <c r="CI208" s="150"/>
      <c r="CJ208" s="150"/>
      <c r="CK208" s="150"/>
      <c r="CL208" s="150"/>
      <c r="CM208" s="150"/>
      <c r="CN208" s="150"/>
      <c r="CO208" s="150"/>
      <c r="CP208" s="150"/>
      <c r="CQ208" s="150"/>
      <c r="CR208" s="150"/>
      <c r="CS208" s="150"/>
      <c r="CT208" s="150"/>
      <c r="CU208" s="150"/>
      <c r="CV208" s="150"/>
      <c r="CW208" s="150"/>
      <c r="CX208" s="150"/>
      <c r="CY208" s="150"/>
      <c r="CZ208" s="150"/>
      <c r="DA208" s="150"/>
      <c r="DB208" s="150"/>
      <c r="DC208" s="150"/>
      <c r="DD208" s="150"/>
      <c r="DE208" s="150"/>
      <c r="DF208" s="150"/>
      <c r="DG208" s="150"/>
      <c r="DH208" s="150"/>
      <c r="DI208" s="150"/>
      <c r="DJ208" s="150"/>
      <c r="DK208" s="150"/>
    </row>
    <row r="209" spans="1:115" s="227" customFormat="1" x14ac:dyDescent="0.25">
      <c r="A209" s="258"/>
      <c r="B209" s="258"/>
      <c r="C209" s="584"/>
      <c r="D209" s="595"/>
      <c r="E209" s="537"/>
      <c r="F209" s="541"/>
      <c r="G209" s="541"/>
      <c r="H209" s="540">
        <f t="shared" si="27"/>
        <v>0</v>
      </c>
      <c r="I209" s="537"/>
      <c r="J209" s="541"/>
      <c r="K209" s="541"/>
      <c r="L209" s="540">
        <f t="shared" si="28"/>
        <v>0</v>
      </c>
      <c r="M209" s="150"/>
      <c r="N209" s="150"/>
      <c r="O209" s="150"/>
      <c r="P209" s="150"/>
      <c r="Q209" s="150"/>
      <c r="R209" s="150"/>
      <c r="S209" s="150"/>
      <c r="T209" s="150"/>
      <c r="U209" s="150"/>
      <c r="V209" s="150"/>
      <c r="W209" s="150"/>
      <c r="X209" s="150"/>
      <c r="Y209" s="150"/>
      <c r="Z209" s="150"/>
      <c r="AA209" s="150"/>
      <c r="AB209" s="150"/>
      <c r="AC209" s="150"/>
      <c r="AD209" s="150"/>
      <c r="AE209" s="150"/>
      <c r="AF209" s="150"/>
      <c r="AG209" s="150"/>
      <c r="AH209" s="150"/>
      <c r="AI209" s="150"/>
      <c r="AJ209" s="150"/>
      <c r="AK209" s="150"/>
      <c r="AL209" s="150"/>
      <c r="AM209" s="150"/>
      <c r="AN209" s="150"/>
      <c r="AO209" s="150"/>
      <c r="AP209" s="150"/>
      <c r="AQ209" s="150"/>
      <c r="AR209" s="150"/>
      <c r="AS209" s="150"/>
      <c r="AT209" s="150"/>
      <c r="AU209" s="150"/>
      <c r="AV209" s="150"/>
      <c r="AW209" s="150"/>
      <c r="AX209" s="150"/>
      <c r="AY209" s="150"/>
      <c r="AZ209" s="150"/>
      <c r="BA209" s="150"/>
      <c r="BB209" s="150"/>
      <c r="BC209" s="150"/>
      <c r="BD209" s="150"/>
      <c r="BE209" s="150"/>
      <c r="BF209" s="150"/>
      <c r="BG209" s="150"/>
      <c r="BH209" s="150"/>
      <c r="BI209" s="150"/>
      <c r="BJ209" s="150"/>
      <c r="BK209" s="150"/>
      <c r="BL209" s="150"/>
      <c r="BM209" s="150"/>
      <c r="BN209" s="150"/>
      <c r="BO209" s="150"/>
      <c r="BP209" s="150"/>
      <c r="BQ209" s="150"/>
      <c r="BR209" s="150"/>
      <c r="BS209" s="150"/>
      <c r="BT209" s="150"/>
      <c r="BU209" s="150"/>
      <c r="BV209" s="150"/>
      <c r="BW209" s="150"/>
      <c r="BX209" s="150"/>
      <c r="BY209" s="150"/>
      <c r="BZ209" s="150"/>
      <c r="CA209" s="150"/>
      <c r="CB209" s="150"/>
      <c r="CC209" s="150"/>
      <c r="CD209" s="150"/>
      <c r="CE209" s="150"/>
      <c r="CF209" s="150"/>
      <c r="CG209" s="150"/>
      <c r="CH209" s="150"/>
      <c r="CI209" s="150"/>
      <c r="CJ209" s="150"/>
      <c r="CK209" s="150"/>
      <c r="CL209" s="150"/>
      <c r="CM209" s="150"/>
      <c r="CN209" s="150"/>
      <c r="CO209" s="150"/>
      <c r="CP209" s="150"/>
      <c r="CQ209" s="150"/>
      <c r="CR209" s="150"/>
      <c r="CS209" s="150"/>
      <c r="CT209" s="150"/>
      <c r="CU209" s="150"/>
      <c r="CV209" s="150"/>
      <c r="CW209" s="150"/>
      <c r="CX209" s="150"/>
      <c r="CY209" s="150"/>
      <c r="CZ209" s="150"/>
      <c r="DA209" s="150"/>
      <c r="DB209" s="150"/>
      <c r="DC209" s="150"/>
      <c r="DD209" s="150"/>
      <c r="DE209" s="150"/>
      <c r="DF209" s="150"/>
      <c r="DG209" s="150"/>
      <c r="DH209" s="150"/>
      <c r="DI209" s="150"/>
      <c r="DJ209" s="150"/>
      <c r="DK209" s="150"/>
    </row>
    <row r="210" spans="1:115" s="227" customFormat="1" x14ac:dyDescent="0.25">
      <c r="A210" s="258"/>
      <c r="B210" s="258"/>
      <c r="C210" s="584"/>
      <c r="D210" s="595"/>
      <c r="E210" s="537"/>
      <c r="F210" s="541"/>
      <c r="G210" s="541"/>
      <c r="H210" s="540">
        <f t="shared" si="27"/>
        <v>0</v>
      </c>
      <c r="I210" s="537"/>
      <c r="J210" s="541"/>
      <c r="K210" s="541"/>
      <c r="L210" s="540">
        <f t="shared" si="28"/>
        <v>0</v>
      </c>
      <c r="M210" s="150"/>
      <c r="N210" s="150"/>
      <c r="O210" s="150"/>
      <c r="P210" s="150"/>
      <c r="Q210" s="150"/>
      <c r="R210" s="150"/>
      <c r="S210" s="150"/>
      <c r="T210" s="150"/>
      <c r="U210" s="150"/>
      <c r="V210" s="150"/>
      <c r="W210" s="150"/>
      <c r="X210" s="150"/>
      <c r="Y210" s="150"/>
      <c r="Z210" s="150"/>
      <c r="AA210" s="150"/>
      <c r="AB210" s="150"/>
      <c r="AC210" s="150"/>
      <c r="AD210" s="150"/>
      <c r="AE210" s="150"/>
      <c r="AF210" s="150"/>
      <c r="AG210" s="150"/>
      <c r="AH210" s="150"/>
      <c r="AI210" s="150"/>
      <c r="AJ210" s="150"/>
      <c r="AK210" s="150"/>
      <c r="AL210" s="150"/>
      <c r="AM210" s="150"/>
      <c r="AN210" s="150"/>
      <c r="AO210" s="150"/>
      <c r="AP210" s="150"/>
      <c r="AQ210" s="150"/>
      <c r="AR210" s="150"/>
      <c r="AS210" s="150"/>
      <c r="AT210" s="150"/>
      <c r="AU210" s="150"/>
      <c r="AV210" s="150"/>
      <c r="AW210" s="150"/>
      <c r="AX210" s="150"/>
      <c r="AY210" s="150"/>
      <c r="AZ210" s="150"/>
      <c r="BA210" s="150"/>
      <c r="BB210" s="150"/>
      <c r="BC210" s="150"/>
      <c r="BD210" s="150"/>
      <c r="BE210" s="150"/>
      <c r="BF210" s="150"/>
      <c r="BG210" s="150"/>
      <c r="BH210" s="150"/>
      <c r="BI210" s="150"/>
      <c r="BJ210" s="150"/>
      <c r="BK210" s="150"/>
      <c r="BL210" s="150"/>
      <c r="BM210" s="150"/>
      <c r="BN210" s="150"/>
      <c r="BO210" s="150"/>
      <c r="BP210" s="150"/>
      <c r="BQ210" s="150"/>
      <c r="BR210" s="150"/>
      <c r="BS210" s="150"/>
      <c r="BT210" s="150"/>
      <c r="BU210" s="150"/>
      <c r="BV210" s="150"/>
      <c r="BW210" s="150"/>
      <c r="BX210" s="150"/>
      <c r="BY210" s="150"/>
      <c r="BZ210" s="150"/>
      <c r="CA210" s="150"/>
      <c r="CB210" s="150"/>
      <c r="CC210" s="150"/>
      <c r="CD210" s="150"/>
      <c r="CE210" s="150"/>
      <c r="CF210" s="150"/>
      <c r="CG210" s="150"/>
      <c r="CH210" s="150"/>
      <c r="CI210" s="150"/>
      <c r="CJ210" s="150"/>
      <c r="CK210" s="150"/>
      <c r="CL210" s="150"/>
      <c r="CM210" s="150"/>
      <c r="CN210" s="150"/>
      <c r="CO210" s="150"/>
      <c r="CP210" s="150"/>
      <c r="CQ210" s="150"/>
      <c r="CR210" s="150"/>
      <c r="CS210" s="150"/>
      <c r="CT210" s="150"/>
      <c r="CU210" s="150"/>
      <c r="CV210" s="150"/>
      <c r="CW210" s="150"/>
      <c r="CX210" s="150"/>
      <c r="CY210" s="150"/>
      <c r="CZ210" s="150"/>
      <c r="DA210" s="150"/>
      <c r="DB210" s="150"/>
      <c r="DC210" s="150"/>
      <c r="DD210" s="150"/>
      <c r="DE210" s="150"/>
      <c r="DF210" s="150"/>
      <c r="DG210" s="150"/>
      <c r="DH210" s="150"/>
      <c r="DI210" s="150"/>
      <c r="DJ210" s="150"/>
      <c r="DK210" s="150"/>
    </row>
    <row r="211" spans="1:115" s="227" customFormat="1" x14ac:dyDescent="0.25">
      <c r="A211" s="258"/>
      <c r="B211" s="258"/>
      <c r="C211" s="584"/>
      <c r="D211" s="595"/>
      <c r="E211" s="537"/>
      <c r="F211" s="541"/>
      <c r="G211" s="541"/>
      <c r="H211" s="540">
        <f t="shared" si="27"/>
        <v>0</v>
      </c>
      <c r="I211" s="537"/>
      <c r="J211" s="541"/>
      <c r="K211" s="541"/>
      <c r="L211" s="540">
        <f t="shared" si="28"/>
        <v>0</v>
      </c>
      <c r="M211" s="150"/>
      <c r="N211" s="150"/>
      <c r="O211" s="150"/>
      <c r="P211" s="150"/>
      <c r="Q211" s="150"/>
      <c r="R211" s="150"/>
      <c r="S211" s="150"/>
      <c r="T211" s="150"/>
      <c r="U211" s="150"/>
      <c r="V211" s="150"/>
      <c r="W211" s="150"/>
      <c r="X211" s="150"/>
      <c r="Y211" s="150"/>
      <c r="Z211" s="150"/>
      <c r="AA211" s="150"/>
      <c r="AB211" s="150"/>
      <c r="AC211" s="150"/>
      <c r="AD211" s="150"/>
      <c r="AE211" s="150"/>
      <c r="AF211" s="150"/>
      <c r="AG211" s="150"/>
      <c r="AH211" s="150"/>
      <c r="AI211" s="150"/>
      <c r="AJ211" s="150"/>
      <c r="AK211" s="150"/>
      <c r="AL211" s="150"/>
      <c r="AM211" s="150"/>
      <c r="AN211" s="150"/>
      <c r="AO211" s="150"/>
      <c r="AP211" s="150"/>
      <c r="AQ211" s="150"/>
      <c r="AR211" s="150"/>
      <c r="AS211" s="150"/>
      <c r="AT211" s="150"/>
      <c r="AU211" s="150"/>
      <c r="AV211" s="150"/>
      <c r="AW211" s="150"/>
      <c r="AX211" s="150"/>
      <c r="AY211" s="150"/>
      <c r="AZ211" s="150"/>
      <c r="BA211" s="150"/>
      <c r="BB211" s="150"/>
      <c r="BC211" s="150"/>
      <c r="BD211" s="150"/>
      <c r="BE211" s="150"/>
      <c r="BF211" s="150"/>
      <c r="BG211" s="150"/>
      <c r="BH211" s="150"/>
      <c r="BI211" s="150"/>
      <c r="BJ211" s="150"/>
      <c r="BK211" s="150"/>
      <c r="BL211" s="150"/>
      <c r="BM211" s="150"/>
      <c r="BN211" s="150"/>
      <c r="BO211" s="150"/>
      <c r="BP211" s="150"/>
      <c r="BQ211" s="150"/>
      <c r="BR211" s="150"/>
      <c r="BS211" s="150"/>
      <c r="BT211" s="150"/>
      <c r="BU211" s="150"/>
      <c r="BV211" s="150"/>
      <c r="BW211" s="150"/>
      <c r="BX211" s="150"/>
      <c r="BY211" s="150"/>
      <c r="BZ211" s="150"/>
      <c r="CA211" s="150"/>
      <c r="CB211" s="150"/>
      <c r="CC211" s="150"/>
      <c r="CD211" s="150"/>
      <c r="CE211" s="150"/>
      <c r="CF211" s="150"/>
      <c r="CG211" s="150"/>
      <c r="CH211" s="150"/>
      <c r="CI211" s="150"/>
      <c r="CJ211" s="150"/>
      <c r="CK211" s="150"/>
      <c r="CL211" s="150"/>
      <c r="CM211" s="150"/>
      <c r="CN211" s="150"/>
      <c r="CO211" s="150"/>
      <c r="CP211" s="150"/>
      <c r="CQ211" s="150"/>
      <c r="CR211" s="150"/>
      <c r="CS211" s="150"/>
      <c r="CT211" s="150"/>
      <c r="CU211" s="150"/>
      <c r="CV211" s="150"/>
      <c r="CW211" s="150"/>
      <c r="CX211" s="150"/>
      <c r="CY211" s="150"/>
      <c r="CZ211" s="150"/>
      <c r="DA211" s="150"/>
      <c r="DB211" s="150"/>
      <c r="DC211" s="150"/>
      <c r="DD211" s="150"/>
      <c r="DE211" s="150"/>
      <c r="DF211" s="150"/>
      <c r="DG211" s="150"/>
      <c r="DH211" s="150"/>
      <c r="DI211" s="150"/>
      <c r="DJ211" s="150"/>
      <c r="DK211" s="150"/>
    </row>
    <row r="212" spans="1:115" s="227" customFormat="1" x14ac:dyDescent="0.25">
      <c r="A212" s="258"/>
      <c r="B212" s="258"/>
      <c r="C212" s="584"/>
      <c r="D212" s="560"/>
      <c r="E212" s="537"/>
      <c r="F212" s="541"/>
      <c r="G212" s="541"/>
      <c r="H212" s="540">
        <f>F212*G212</f>
        <v>0</v>
      </c>
      <c r="I212" s="537"/>
      <c r="J212" s="541"/>
      <c r="K212" s="541"/>
      <c r="L212" s="540">
        <f>J212*K212</f>
        <v>0</v>
      </c>
      <c r="M212" s="150"/>
      <c r="N212" s="150"/>
      <c r="O212" s="150"/>
      <c r="P212" s="150"/>
      <c r="Q212" s="150"/>
      <c r="R212" s="150"/>
      <c r="S212" s="150"/>
      <c r="T212" s="150"/>
      <c r="U212" s="150"/>
      <c r="V212" s="150"/>
      <c r="W212" s="150"/>
      <c r="X212" s="150"/>
      <c r="Y212" s="150"/>
      <c r="Z212" s="150"/>
      <c r="AA212" s="150"/>
      <c r="AB212" s="150"/>
      <c r="AC212" s="150"/>
      <c r="AD212" s="150"/>
      <c r="AE212" s="150"/>
      <c r="AF212" s="150"/>
      <c r="AG212" s="150"/>
      <c r="AH212" s="150"/>
      <c r="AI212" s="150"/>
      <c r="AJ212" s="150"/>
      <c r="AK212" s="150"/>
      <c r="AL212" s="150"/>
      <c r="AM212" s="150"/>
      <c r="AN212" s="150"/>
      <c r="AO212" s="150"/>
      <c r="AP212" s="150"/>
      <c r="AQ212" s="150"/>
      <c r="AR212" s="150"/>
      <c r="AS212" s="150"/>
      <c r="AT212" s="150"/>
      <c r="AU212" s="150"/>
      <c r="AV212" s="150"/>
      <c r="AW212" s="150"/>
      <c r="AX212" s="150"/>
      <c r="AY212" s="150"/>
      <c r="AZ212" s="150"/>
      <c r="BA212" s="150"/>
      <c r="BB212" s="150"/>
      <c r="BC212" s="150"/>
      <c r="BD212" s="150"/>
      <c r="BE212" s="150"/>
      <c r="BF212" s="150"/>
      <c r="BG212" s="150"/>
      <c r="BH212" s="150"/>
      <c r="BI212" s="150"/>
      <c r="BJ212" s="150"/>
      <c r="BK212" s="150"/>
      <c r="BL212" s="150"/>
      <c r="BM212" s="150"/>
      <c r="BN212" s="150"/>
      <c r="BO212" s="150"/>
      <c r="BP212" s="150"/>
      <c r="BQ212" s="150"/>
      <c r="BR212" s="150"/>
      <c r="BS212" s="150"/>
      <c r="BT212" s="150"/>
      <c r="BU212" s="150"/>
      <c r="BV212" s="150"/>
      <c r="BW212" s="150"/>
      <c r="BX212" s="150"/>
      <c r="BY212" s="150"/>
      <c r="BZ212" s="150"/>
      <c r="CA212" s="150"/>
      <c r="CB212" s="150"/>
      <c r="CC212" s="150"/>
      <c r="CD212" s="150"/>
      <c r="CE212" s="150"/>
      <c r="CF212" s="150"/>
      <c r="CG212" s="150"/>
      <c r="CH212" s="150"/>
      <c r="CI212" s="150"/>
      <c r="CJ212" s="150"/>
      <c r="CK212" s="150"/>
      <c r="CL212" s="150"/>
      <c r="CM212" s="150"/>
      <c r="CN212" s="150"/>
      <c r="CO212" s="150"/>
      <c r="CP212" s="150"/>
      <c r="CQ212" s="150"/>
      <c r="CR212" s="150"/>
      <c r="CS212" s="150"/>
      <c r="CT212" s="150"/>
      <c r="CU212" s="150"/>
      <c r="CV212" s="150"/>
      <c r="CW212" s="150"/>
      <c r="CX212" s="150"/>
      <c r="CY212" s="150"/>
      <c r="CZ212" s="150"/>
      <c r="DA212" s="150"/>
      <c r="DB212" s="150"/>
      <c r="DC212" s="150"/>
      <c r="DD212" s="150"/>
      <c r="DE212" s="150"/>
      <c r="DF212" s="150"/>
      <c r="DG212" s="150"/>
      <c r="DH212" s="150"/>
      <c r="DI212" s="150"/>
      <c r="DJ212" s="150"/>
      <c r="DK212" s="150"/>
    </row>
    <row r="213" spans="1:115" x14ac:dyDescent="0.25">
      <c r="A213" s="258"/>
      <c r="B213" s="258"/>
      <c r="C213" s="584"/>
      <c r="D213" s="559" t="s">
        <v>0</v>
      </c>
      <c r="E213" s="534"/>
      <c r="F213" s="542">
        <f>SUM(F199:F212)</f>
        <v>1900</v>
      </c>
      <c r="G213" s="543">
        <f>H213/F213</f>
        <v>82.763157894736835</v>
      </c>
      <c r="H213" s="544">
        <f>SUM(H199:H212)</f>
        <v>157250</v>
      </c>
      <c r="I213" s="534"/>
      <c r="J213" s="542">
        <f>SUM(J199:J212)</f>
        <v>400</v>
      </c>
      <c r="K213" s="543">
        <f>L213/J213</f>
        <v>83.45</v>
      </c>
      <c r="L213" s="544">
        <f>SUM(L199:L212)</f>
        <v>33380</v>
      </c>
    </row>
    <row r="214" spans="1:115" x14ac:dyDescent="0.25">
      <c r="A214" s="545"/>
      <c r="B214" s="545"/>
      <c r="C214" s="586"/>
      <c r="D214" s="561"/>
      <c r="E214" s="546"/>
      <c r="F214" s="546"/>
      <c r="G214" s="547"/>
      <c r="H214" s="548"/>
      <c r="I214" s="546"/>
      <c r="J214" s="546"/>
      <c r="K214" s="547"/>
      <c r="L214" s="548"/>
    </row>
    <row r="215" spans="1:115" x14ac:dyDescent="0.25">
      <c r="A215" s="258"/>
      <c r="B215" s="258"/>
      <c r="C215" s="584"/>
      <c r="D215" s="558"/>
      <c r="E215" s="534"/>
      <c r="F215" s="253"/>
      <c r="G215" s="535"/>
      <c r="H215" s="536">
        <f t="shared" ref="H215:H231" si="29">F215*G215</f>
        <v>0</v>
      </c>
      <c r="I215" s="534"/>
      <c r="J215" s="253"/>
      <c r="K215" s="535"/>
      <c r="L215" s="536">
        <f t="shared" ref="L215:L231" si="30">J215*K215</f>
        <v>0</v>
      </c>
    </row>
    <row r="216" spans="1:115" x14ac:dyDescent="0.25">
      <c r="A216" s="258"/>
      <c r="B216" s="258"/>
      <c r="C216" s="585"/>
      <c r="D216" s="559">
        <f>D200+1</f>
        <v>45638</v>
      </c>
      <c r="E216" s="534"/>
      <c r="F216" s="253"/>
      <c r="G216" s="541"/>
      <c r="H216" s="536">
        <f t="shared" si="29"/>
        <v>0</v>
      </c>
      <c r="I216" s="534"/>
      <c r="J216" s="253"/>
      <c r="K216" s="541"/>
      <c r="L216" s="536">
        <f t="shared" si="30"/>
        <v>0</v>
      </c>
    </row>
    <row r="217" spans="1:115" ht="30" x14ac:dyDescent="0.25">
      <c r="A217" s="258" t="s">
        <v>6</v>
      </c>
      <c r="B217" s="258" t="s">
        <v>340</v>
      </c>
      <c r="C217" s="584" t="s">
        <v>351</v>
      </c>
      <c r="D217" s="596"/>
      <c r="E217" s="534">
        <v>172901</v>
      </c>
      <c r="F217" s="253">
        <v>300</v>
      </c>
      <c r="G217" s="541">
        <v>83.4</v>
      </c>
      <c r="H217" s="536">
        <f t="shared" si="29"/>
        <v>25020</v>
      </c>
      <c r="I217" s="534"/>
      <c r="J217" s="253"/>
      <c r="K217" s="541"/>
      <c r="L217" s="536">
        <f t="shared" si="30"/>
        <v>0</v>
      </c>
      <c r="M217" s="236"/>
    </row>
    <row r="218" spans="1:115" x14ac:dyDescent="0.25">
      <c r="A218" s="258" t="s">
        <v>6</v>
      </c>
      <c r="B218" s="258" t="s">
        <v>340</v>
      </c>
      <c r="C218" s="584" t="s">
        <v>374</v>
      </c>
      <c r="D218" s="596"/>
      <c r="E218" s="534">
        <v>172915</v>
      </c>
      <c r="F218" s="253">
        <v>300</v>
      </c>
      <c r="G218" s="541">
        <v>83.2</v>
      </c>
      <c r="H218" s="536">
        <f t="shared" si="29"/>
        <v>24960</v>
      </c>
      <c r="I218" s="534"/>
      <c r="J218" s="253"/>
      <c r="K218" s="541"/>
      <c r="L218" s="536">
        <f t="shared" si="30"/>
        <v>0</v>
      </c>
      <c r="M218" s="236"/>
    </row>
    <row r="219" spans="1:115" x14ac:dyDescent="0.25">
      <c r="A219" s="258" t="s">
        <v>6</v>
      </c>
      <c r="B219" s="258" t="s">
        <v>340</v>
      </c>
      <c r="C219" s="584" t="s">
        <v>341</v>
      </c>
      <c r="D219" s="596"/>
      <c r="E219" s="534">
        <v>172921</v>
      </c>
      <c r="F219" s="253">
        <v>500</v>
      </c>
      <c r="G219" s="541">
        <v>83.05</v>
      </c>
      <c r="H219" s="536">
        <f t="shared" si="29"/>
        <v>41525</v>
      </c>
      <c r="I219" s="534"/>
      <c r="J219" s="253"/>
      <c r="K219" s="541"/>
      <c r="L219" s="536">
        <f t="shared" si="30"/>
        <v>0</v>
      </c>
    </row>
    <row r="220" spans="1:115" ht="30" x14ac:dyDescent="0.25">
      <c r="A220" s="258" t="s">
        <v>6</v>
      </c>
      <c r="B220" s="258" t="s">
        <v>340</v>
      </c>
      <c r="C220" s="584" t="s">
        <v>351</v>
      </c>
      <c r="D220" s="596"/>
      <c r="E220" s="534">
        <v>172933</v>
      </c>
      <c r="F220" s="253">
        <v>400</v>
      </c>
      <c r="G220" s="541">
        <v>83</v>
      </c>
      <c r="H220" s="536">
        <f t="shared" si="29"/>
        <v>33200</v>
      </c>
      <c r="I220" s="534"/>
      <c r="J220" s="253"/>
      <c r="K220" s="541"/>
      <c r="L220" s="536">
        <f t="shared" si="30"/>
        <v>0</v>
      </c>
      <c r="M220" s="236"/>
    </row>
    <row r="221" spans="1:115" x14ac:dyDescent="0.25">
      <c r="A221" s="258"/>
      <c r="B221" s="258"/>
      <c r="C221" s="584"/>
      <c r="D221" s="596"/>
      <c r="E221" s="534"/>
      <c r="F221" s="253"/>
      <c r="G221" s="541"/>
      <c r="H221" s="536">
        <f t="shared" si="29"/>
        <v>0</v>
      </c>
      <c r="I221" s="534"/>
      <c r="J221" s="253"/>
      <c r="K221" s="541"/>
      <c r="L221" s="536">
        <f t="shared" si="30"/>
        <v>0</v>
      </c>
      <c r="M221" s="236"/>
    </row>
    <row r="222" spans="1:115" s="25" customFormat="1" x14ac:dyDescent="0.25">
      <c r="A222" s="610"/>
      <c r="B222" s="610"/>
      <c r="C222" s="631"/>
      <c r="D222" s="632"/>
      <c r="E222" s="633"/>
      <c r="F222" s="614"/>
      <c r="G222" s="615"/>
      <c r="H222" s="616">
        <f t="shared" si="29"/>
        <v>0</v>
      </c>
      <c r="I222" s="633"/>
      <c r="J222" s="614"/>
      <c r="K222" s="615"/>
      <c r="L222" s="616">
        <f t="shared" si="30"/>
        <v>0</v>
      </c>
      <c r="M222" s="634"/>
    </row>
    <row r="223" spans="1:115" s="25" customFormat="1" x14ac:dyDescent="0.25">
      <c r="A223" s="610"/>
      <c r="B223" s="610"/>
      <c r="C223" s="631"/>
      <c r="D223" s="632"/>
      <c r="E223" s="633"/>
      <c r="F223" s="614"/>
      <c r="G223" s="615"/>
      <c r="H223" s="616">
        <f t="shared" si="29"/>
        <v>0</v>
      </c>
      <c r="I223" s="633"/>
      <c r="J223" s="614"/>
      <c r="K223" s="615"/>
      <c r="L223" s="616">
        <f t="shared" si="30"/>
        <v>0</v>
      </c>
      <c r="M223" s="634"/>
    </row>
    <row r="224" spans="1:115" s="25" customFormat="1" x14ac:dyDescent="0.25">
      <c r="A224" s="610"/>
      <c r="B224" s="610"/>
      <c r="C224" s="631"/>
      <c r="D224" s="632"/>
      <c r="E224" s="633"/>
      <c r="F224" s="614"/>
      <c r="G224" s="615"/>
      <c r="H224" s="616">
        <f t="shared" si="29"/>
        <v>0</v>
      </c>
      <c r="I224" s="633"/>
      <c r="J224" s="614"/>
      <c r="K224" s="615"/>
      <c r="L224" s="616">
        <f t="shared" si="30"/>
        <v>0</v>
      </c>
    </row>
    <row r="225" spans="1:115" x14ac:dyDescent="0.25">
      <c r="A225" s="258"/>
      <c r="B225" s="258"/>
      <c r="C225" s="585"/>
      <c r="D225" s="596"/>
      <c r="E225" s="534"/>
      <c r="F225" s="253"/>
      <c r="G225" s="541"/>
      <c r="H225" s="536">
        <f t="shared" si="29"/>
        <v>0</v>
      </c>
      <c r="I225" s="534"/>
      <c r="J225" s="253"/>
      <c r="K225" s="541"/>
      <c r="L225" s="536">
        <f t="shared" si="30"/>
        <v>0</v>
      </c>
    </row>
    <row r="226" spans="1:115" ht="14.45" customHeight="1" x14ac:dyDescent="0.25">
      <c r="A226" s="258"/>
      <c r="B226" s="258"/>
      <c r="C226" s="585"/>
      <c r="D226" s="596"/>
      <c r="E226" s="534"/>
      <c r="F226" s="253"/>
      <c r="G226" s="541"/>
      <c r="H226" s="536">
        <f t="shared" si="29"/>
        <v>0</v>
      </c>
      <c r="I226" s="534"/>
      <c r="J226" s="253"/>
      <c r="K226" s="541"/>
      <c r="L226" s="536">
        <f t="shared" si="30"/>
        <v>0</v>
      </c>
    </row>
    <row r="227" spans="1:115" s="227" customFormat="1" x14ac:dyDescent="0.25">
      <c r="A227" s="258"/>
      <c r="B227" s="258"/>
      <c r="C227" s="584"/>
      <c r="D227" s="595"/>
      <c r="E227" s="537"/>
      <c r="F227" s="541"/>
      <c r="G227" s="541"/>
      <c r="H227" s="540">
        <f t="shared" si="29"/>
        <v>0</v>
      </c>
      <c r="I227" s="537"/>
      <c r="J227" s="541"/>
      <c r="K227" s="541"/>
      <c r="L227" s="540">
        <f t="shared" si="30"/>
        <v>0</v>
      </c>
      <c r="M227" s="150"/>
      <c r="N227" s="150"/>
      <c r="O227" s="150"/>
      <c r="P227" s="150"/>
      <c r="Q227" s="150"/>
      <c r="R227" s="150"/>
      <c r="S227" s="150"/>
      <c r="T227" s="150"/>
      <c r="U227" s="150"/>
      <c r="V227" s="150"/>
      <c r="W227" s="150"/>
      <c r="X227" s="150"/>
      <c r="Y227" s="150"/>
      <c r="Z227" s="150"/>
      <c r="AA227" s="150"/>
      <c r="AB227" s="150"/>
      <c r="AC227" s="150"/>
      <c r="AD227" s="150"/>
      <c r="AE227" s="150"/>
      <c r="AF227" s="150"/>
      <c r="AG227" s="150"/>
      <c r="AH227" s="150"/>
      <c r="AI227" s="150"/>
      <c r="AJ227" s="150"/>
      <c r="AK227" s="150"/>
      <c r="AL227" s="150"/>
      <c r="AM227" s="150"/>
      <c r="AN227" s="150"/>
      <c r="AO227" s="150"/>
      <c r="AP227" s="150"/>
      <c r="AQ227" s="150"/>
      <c r="AR227" s="150"/>
      <c r="AS227" s="150"/>
      <c r="AT227" s="150"/>
      <c r="AU227" s="150"/>
      <c r="AV227" s="150"/>
      <c r="AW227" s="150"/>
      <c r="AX227" s="150"/>
      <c r="AY227" s="150"/>
      <c r="AZ227" s="150"/>
      <c r="BA227" s="150"/>
      <c r="BB227" s="150"/>
      <c r="BC227" s="150"/>
      <c r="BD227" s="150"/>
      <c r="BE227" s="150"/>
      <c r="BF227" s="150"/>
      <c r="BG227" s="150"/>
      <c r="BH227" s="150"/>
      <c r="BI227" s="150"/>
      <c r="BJ227" s="150"/>
      <c r="BK227" s="150"/>
      <c r="BL227" s="150"/>
      <c r="BM227" s="150"/>
      <c r="BN227" s="150"/>
      <c r="BO227" s="150"/>
      <c r="BP227" s="150"/>
      <c r="BQ227" s="150"/>
      <c r="BR227" s="150"/>
      <c r="BS227" s="150"/>
      <c r="BT227" s="150"/>
      <c r="BU227" s="150"/>
      <c r="BV227" s="150"/>
      <c r="BW227" s="150"/>
      <c r="BX227" s="150"/>
      <c r="BY227" s="150"/>
      <c r="BZ227" s="150"/>
      <c r="CA227" s="150"/>
      <c r="CB227" s="150"/>
      <c r="CC227" s="150"/>
      <c r="CD227" s="150"/>
      <c r="CE227" s="150"/>
      <c r="CF227" s="150"/>
      <c r="CG227" s="150"/>
      <c r="CH227" s="150"/>
      <c r="CI227" s="150"/>
      <c r="CJ227" s="150"/>
      <c r="CK227" s="150"/>
      <c r="CL227" s="150"/>
      <c r="CM227" s="150"/>
      <c r="CN227" s="150"/>
      <c r="CO227" s="150"/>
      <c r="CP227" s="150"/>
      <c r="CQ227" s="150"/>
      <c r="CR227" s="150"/>
      <c r="CS227" s="150"/>
      <c r="CT227" s="150"/>
      <c r="CU227" s="150"/>
      <c r="CV227" s="150"/>
      <c r="CW227" s="150"/>
      <c r="CX227" s="150"/>
      <c r="CY227" s="150"/>
      <c r="CZ227" s="150"/>
      <c r="DA227" s="150"/>
      <c r="DB227" s="150"/>
      <c r="DC227" s="150"/>
      <c r="DD227" s="150"/>
      <c r="DE227" s="150"/>
      <c r="DF227" s="150"/>
      <c r="DG227" s="150"/>
      <c r="DH227" s="150"/>
      <c r="DI227" s="150"/>
      <c r="DJ227" s="150"/>
      <c r="DK227" s="150"/>
    </row>
    <row r="228" spans="1:115" s="227" customFormat="1" x14ac:dyDescent="0.25">
      <c r="A228" s="258"/>
      <c r="B228" s="258"/>
      <c r="C228" s="584"/>
      <c r="D228" s="595"/>
      <c r="E228" s="537"/>
      <c r="F228" s="541"/>
      <c r="G228" s="541"/>
      <c r="H228" s="540">
        <f t="shared" si="29"/>
        <v>0</v>
      </c>
      <c r="I228" s="537"/>
      <c r="J228" s="541"/>
      <c r="K228" s="541"/>
      <c r="L228" s="540">
        <f t="shared" si="30"/>
        <v>0</v>
      </c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150"/>
      <c r="AN228" s="150"/>
      <c r="AO228" s="150"/>
      <c r="AP228" s="150"/>
      <c r="AQ228" s="150"/>
      <c r="AR228" s="150"/>
      <c r="AS228" s="150"/>
      <c r="AT228" s="150"/>
      <c r="AU228" s="150"/>
      <c r="AV228" s="150"/>
      <c r="AW228" s="150"/>
      <c r="AX228" s="150"/>
      <c r="AY228" s="150"/>
      <c r="AZ228" s="150"/>
      <c r="BA228" s="150"/>
      <c r="BB228" s="150"/>
      <c r="BC228" s="150"/>
      <c r="BD228" s="150"/>
      <c r="BE228" s="150"/>
      <c r="BF228" s="150"/>
      <c r="BG228" s="150"/>
      <c r="BH228" s="150"/>
      <c r="BI228" s="150"/>
      <c r="BJ228" s="150"/>
      <c r="BK228" s="150"/>
      <c r="BL228" s="150"/>
      <c r="BM228" s="150"/>
      <c r="BN228" s="150"/>
      <c r="BO228" s="150"/>
      <c r="BP228" s="150"/>
      <c r="BQ228" s="150"/>
      <c r="BR228" s="150"/>
      <c r="BS228" s="150"/>
      <c r="BT228" s="150"/>
      <c r="BU228" s="150"/>
      <c r="BV228" s="150"/>
      <c r="BW228" s="150"/>
      <c r="BX228" s="150"/>
      <c r="BY228" s="150"/>
      <c r="BZ228" s="150"/>
      <c r="CA228" s="150"/>
      <c r="CB228" s="150"/>
      <c r="CC228" s="150"/>
      <c r="CD228" s="150"/>
      <c r="CE228" s="150"/>
      <c r="CF228" s="150"/>
      <c r="CG228" s="150"/>
      <c r="CH228" s="150"/>
      <c r="CI228" s="150"/>
      <c r="CJ228" s="150"/>
      <c r="CK228" s="150"/>
      <c r="CL228" s="150"/>
      <c r="CM228" s="150"/>
      <c r="CN228" s="150"/>
      <c r="CO228" s="150"/>
      <c r="CP228" s="150"/>
      <c r="CQ228" s="150"/>
      <c r="CR228" s="150"/>
      <c r="CS228" s="150"/>
      <c r="CT228" s="150"/>
      <c r="CU228" s="150"/>
      <c r="CV228" s="150"/>
      <c r="CW228" s="150"/>
      <c r="CX228" s="150"/>
      <c r="CY228" s="150"/>
      <c r="CZ228" s="150"/>
      <c r="DA228" s="150"/>
      <c r="DB228" s="150"/>
      <c r="DC228" s="150"/>
      <c r="DD228" s="150"/>
      <c r="DE228" s="150"/>
      <c r="DF228" s="150"/>
      <c r="DG228" s="150"/>
      <c r="DH228" s="150"/>
      <c r="DI228" s="150"/>
      <c r="DJ228" s="150"/>
      <c r="DK228" s="150"/>
    </row>
    <row r="229" spans="1:115" s="227" customFormat="1" x14ac:dyDescent="0.25">
      <c r="A229" s="258"/>
      <c r="B229" s="258"/>
      <c r="C229" s="584"/>
      <c r="D229" s="595"/>
      <c r="E229" s="537"/>
      <c r="F229" s="541"/>
      <c r="G229" s="541"/>
      <c r="H229" s="540">
        <f t="shared" si="29"/>
        <v>0</v>
      </c>
      <c r="I229" s="537"/>
      <c r="J229" s="541"/>
      <c r="K229" s="541"/>
      <c r="L229" s="540">
        <f t="shared" si="30"/>
        <v>0</v>
      </c>
      <c r="M229" s="150"/>
      <c r="N229" s="150"/>
      <c r="O229" s="150"/>
      <c r="P229" s="150"/>
      <c r="Q229" s="150"/>
      <c r="R229" s="150"/>
      <c r="S229" s="150"/>
      <c r="T229" s="150"/>
      <c r="U229" s="150"/>
      <c r="V229" s="150"/>
      <c r="W229" s="15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  <c r="AK229" s="150"/>
      <c r="AL229" s="150"/>
      <c r="AM229" s="150"/>
      <c r="AN229" s="150"/>
      <c r="AO229" s="150"/>
      <c r="AP229" s="150"/>
      <c r="AQ229" s="150"/>
      <c r="AR229" s="150"/>
      <c r="AS229" s="150"/>
      <c r="AT229" s="150"/>
      <c r="AU229" s="150"/>
      <c r="AV229" s="150"/>
      <c r="AW229" s="150"/>
      <c r="AX229" s="150"/>
      <c r="AY229" s="150"/>
      <c r="AZ229" s="150"/>
      <c r="BA229" s="150"/>
      <c r="BB229" s="150"/>
      <c r="BC229" s="150"/>
      <c r="BD229" s="150"/>
      <c r="BE229" s="150"/>
      <c r="BF229" s="150"/>
      <c r="BG229" s="150"/>
      <c r="BH229" s="150"/>
      <c r="BI229" s="150"/>
      <c r="BJ229" s="150"/>
      <c r="BK229" s="150"/>
      <c r="BL229" s="150"/>
      <c r="BM229" s="150"/>
      <c r="BN229" s="150"/>
      <c r="BO229" s="150"/>
      <c r="BP229" s="150"/>
      <c r="BQ229" s="150"/>
      <c r="BR229" s="150"/>
      <c r="BS229" s="150"/>
      <c r="BT229" s="150"/>
      <c r="BU229" s="150"/>
      <c r="BV229" s="150"/>
      <c r="BW229" s="150"/>
      <c r="BX229" s="150"/>
      <c r="BY229" s="150"/>
      <c r="BZ229" s="150"/>
      <c r="CA229" s="150"/>
      <c r="CB229" s="150"/>
      <c r="CC229" s="150"/>
      <c r="CD229" s="150"/>
      <c r="CE229" s="150"/>
      <c r="CF229" s="150"/>
      <c r="CG229" s="150"/>
      <c r="CH229" s="150"/>
      <c r="CI229" s="150"/>
      <c r="CJ229" s="150"/>
      <c r="CK229" s="150"/>
      <c r="CL229" s="150"/>
      <c r="CM229" s="150"/>
      <c r="CN229" s="150"/>
      <c r="CO229" s="150"/>
      <c r="CP229" s="150"/>
      <c r="CQ229" s="150"/>
      <c r="CR229" s="150"/>
      <c r="CS229" s="150"/>
      <c r="CT229" s="150"/>
      <c r="CU229" s="150"/>
      <c r="CV229" s="150"/>
      <c r="CW229" s="150"/>
      <c r="CX229" s="150"/>
      <c r="CY229" s="150"/>
      <c r="CZ229" s="150"/>
      <c r="DA229" s="150"/>
      <c r="DB229" s="150"/>
      <c r="DC229" s="150"/>
      <c r="DD229" s="150"/>
      <c r="DE229" s="150"/>
      <c r="DF229" s="150"/>
      <c r="DG229" s="150"/>
      <c r="DH229" s="150"/>
      <c r="DI229" s="150"/>
      <c r="DJ229" s="150"/>
      <c r="DK229" s="150"/>
    </row>
    <row r="230" spans="1:115" x14ac:dyDescent="0.25">
      <c r="A230" s="258"/>
      <c r="B230" s="258"/>
      <c r="C230" s="584"/>
      <c r="D230" s="559"/>
      <c r="E230" s="534"/>
      <c r="F230" s="262"/>
      <c r="G230" s="262"/>
      <c r="H230" s="536">
        <f t="shared" si="29"/>
        <v>0</v>
      </c>
      <c r="I230" s="534"/>
      <c r="J230" s="262"/>
      <c r="K230" s="262"/>
      <c r="L230" s="536">
        <f t="shared" si="30"/>
        <v>0</v>
      </c>
    </row>
    <row r="231" spans="1:115" s="227" customFormat="1" x14ac:dyDescent="0.25">
      <c r="A231" s="257"/>
      <c r="B231" s="258"/>
      <c r="C231" s="585"/>
      <c r="D231" s="560"/>
      <c r="E231" s="537"/>
      <c r="F231" s="253"/>
      <c r="G231" s="541"/>
      <c r="H231" s="536">
        <f t="shared" si="29"/>
        <v>0</v>
      </c>
      <c r="I231" s="537"/>
      <c r="J231" s="253"/>
      <c r="K231" s="541"/>
      <c r="L231" s="536">
        <f t="shared" si="30"/>
        <v>0</v>
      </c>
      <c r="M231" s="150"/>
      <c r="N231" s="150"/>
      <c r="O231" s="150"/>
      <c r="P231" s="150"/>
      <c r="Q231" s="150"/>
      <c r="R231" s="150"/>
      <c r="S231" s="150"/>
      <c r="T231" s="150"/>
      <c r="U231" s="150"/>
      <c r="V231" s="150"/>
      <c r="W231" s="150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  <c r="AK231" s="150"/>
      <c r="AL231" s="150"/>
      <c r="AM231" s="150"/>
      <c r="AN231" s="150"/>
      <c r="AO231" s="150"/>
      <c r="AP231" s="150"/>
      <c r="AQ231" s="150"/>
      <c r="AR231" s="150"/>
      <c r="AS231" s="150"/>
      <c r="AT231" s="150"/>
      <c r="AU231" s="150"/>
      <c r="AV231" s="150"/>
      <c r="AW231" s="150"/>
      <c r="AX231" s="150"/>
      <c r="AY231" s="150"/>
      <c r="AZ231" s="150"/>
      <c r="BA231" s="150"/>
      <c r="BB231" s="150"/>
      <c r="BC231" s="150"/>
      <c r="BD231" s="150"/>
      <c r="BE231" s="150"/>
      <c r="BF231" s="150"/>
      <c r="BG231" s="150"/>
      <c r="BH231" s="150"/>
      <c r="BI231" s="150"/>
      <c r="BJ231" s="150"/>
      <c r="BK231" s="150"/>
      <c r="BL231" s="150"/>
      <c r="BM231" s="150"/>
      <c r="BN231" s="150"/>
      <c r="BO231" s="150"/>
      <c r="BP231" s="150"/>
      <c r="BQ231" s="150"/>
      <c r="BR231" s="150"/>
      <c r="BS231" s="150"/>
      <c r="BT231" s="150"/>
      <c r="BU231" s="150"/>
      <c r="BV231" s="150"/>
      <c r="BW231" s="150"/>
      <c r="BX231" s="150"/>
      <c r="BY231" s="150"/>
      <c r="BZ231" s="150"/>
      <c r="CA231" s="150"/>
      <c r="CB231" s="150"/>
      <c r="CC231" s="150"/>
      <c r="CD231" s="150"/>
      <c r="CE231" s="150"/>
      <c r="CF231" s="150"/>
      <c r="CG231" s="150"/>
      <c r="CH231" s="150"/>
      <c r="CI231" s="150"/>
      <c r="CJ231" s="150"/>
      <c r="CK231" s="150"/>
      <c r="CL231" s="150"/>
      <c r="CM231" s="150"/>
      <c r="CN231" s="150"/>
      <c r="CO231" s="150"/>
      <c r="CP231" s="150"/>
      <c r="CQ231" s="150"/>
      <c r="CR231" s="150"/>
      <c r="CS231" s="150"/>
      <c r="CT231" s="150"/>
      <c r="CU231" s="150"/>
      <c r="CV231" s="150"/>
      <c r="CW231" s="150"/>
      <c r="CX231" s="150"/>
      <c r="CY231" s="150"/>
      <c r="CZ231" s="150"/>
      <c r="DA231" s="150"/>
      <c r="DB231" s="150"/>
      <c r="DC231" s="150"/>
      <c r="DD231" s="150"/>
      <c r="DE231" s="150"/>
      <c r="DF231" s="150"/>
      <c r="DG231" s="150"/>
      <c r="DH231" s="150"/>
      <c r="DI231" s="150"/>
      <c r="DJ231" s="150"/>
      <c r="DK231" s="150"/>
    </row>
    <row r="232" spans="1:115" x14ac:dyDescent="0.25">
      <c r="A232" s="258"/>
      <c r="B232" s="258"/>
      <c r="C232" s="584"/>
      <c r="D232" s="559" t="s">
        <v>0</v>
      </c>
      <c r="E232" s="534"/>
      <c r="F232" s="542">
        <f>SUM(F215:F231)</f>
        <v>1500</v>
      </c>
      <c r="G232" s="543">
        <f>H232/F232</f>
        <v>83.13666666666667</v>
      </c>
      <c r="H232" s="544">
        <f>SUM(H215:H231)</f>
        <v>124705</v>
      </c>
      <c r="I232" s="534"/>
      <c r="J232" s="542">
        <f>SUM(J215:J231)</f>
        <v>0</v>
      </c>
      <c r="K232" s="543" t="e">
        <f>L232/J232</f>
        <v>#DIV/0!</v>
      </c>
      <c r="L232" s="544">
        <f>SUM(L215:L231)</f>
        <v>0</v>
      </c>
    </row>
    <row r="233" spans="1:115" x14ac:dyDescent="0.25">
      <c r="A233" s="545"/>
      <c r="B233" s="545"/>
      <c r="C233" s="586"/>
      <c r="D233" s="561"/>
      <c r="E233" s="546"/>
      <c r="F233" s="546"/>
      <c r="G233" s="547"/>
      <c r="H233" s="548"/>
      <c r="I233" s="546"/>
      <c r="J233" s="546"/>
      <c r="K233" s="547"/>
      <c r="L233" s="548"/>
    </row>
    <row r="234" spans="1:115" x14ac:dyDescent="0.25">
      <c r="A234" s="258"/>
      <c r="B234" s="258"/>
      <c r="C234" s="584"/>
      <c r="D234" s="558"/>
      <c r="E234" s="534"/>
      <c r="F234" s="253"/>
      <c r="G234" s="535"/>
      <c r="H234" s="536">
        <f t="shared" ref="H234:H248" si="31">F234*G234</f>
        <v>0</v>
      </c>
      <c r="I234" s="534"/>
      <c r="J234" s="253"/>
      <c r="K234" s="535"/>
      <c r="L234" s="536">
        <f t="shared" ref="L234:L248" si="32">J234*K234</f>
        <v>0</v>
      </c>
    </row>
    <row r="235" spans="1:115" x14ac:dyDescent="0.25">
      <c r="A235" s="258" t="s">
        <v>6</v>
      </c>
      <c r="B235" s="258" t="s">
        <v>340</v>
      </c>
      <c r="C235" s="585" t="s">
        <v>341</v>
      </c>
      <c r="D235" s="559">
        <f>D216+1</f>
        <v>45639</v>
      </c>
      <c r="E235" s="534">
        <v>173025</v>
      </c>
      <c r="F235" s="253">
        <v>300</v>
      </c>
      <c r="G235" s="541">
        <v>82.6</v>
      </c>
      <c r="H235" s="536">
        <f t="shared" si="31"/>
        <v>24780</v>
      </c>
      <c r="I235" s="534"/>
      <c r="J235" s="253"/>
      <c r="K235" s="541"/>
      <c r="L235" s="536">
        <f t="shared" si="32"/>
        <v>0</v>
      </c>
    </row>
    <row r="236" spans="1:115" s="227" customFormat="1" ht="30" x14ac:dyDescent="0.25">
      <c r="A236" s="258" t="s">
        <v>6</v>
      </c>
      <c r="B236" s="258" t="s">
        <v>340</v>
      </c>
      <c r="C236" s="584" t="s">
        <v>351</v>
      </c>
      <c r="D236" s="595"/>
      <c r="E236" s="537">
        <v>173031</v>
      </c>
      <c r="F236" s="537">
        <v>232</v>
      </c>
      <c r="G236" s="541">
        <v>82.7</v>
      </c>
      <c r="H236" s="540">
        <f t="shared" si="31"/>
        <v>19186.400000000001</v>
      </c>
      <c r="I236" s="537"/>
      <c r="J236" s="541"/>
      <c r="K236" s="541"/>
      <c r="L236" s="540">
        <f t="shared" si="32"/>
        <v>0</v>
      </c>
      <c r="M236" s="150"/>
      <c r="N236" s="150"/>
      <c r="O236" s="150"/>
      <c r="P236" s="150"/>
      <c r="Q236" s="150"/>
      <c r="R236" s="150"/>
      <c r="S236" s="150"/>
      <c r="T236" s="150"/>
      <c r="U236" s="150"/>
      <c r="V236" s="150"/>
      <c r="W236" s="150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  <c r="AI236" s="150"/>
      <c r="AJ236" s="150"/>
      <c r="AK236" s="150"/>
      <c r="AL236" s="150"/>
      <c r="AM236" s="150"/>
      <c r="AN236" s="150"/>
      <c r="AO236" s="150"/>
      <c r="AP236" s="150"/>
      <c r="AQ236" s="150"/>
      <c r="AR236" s="150"/>
      <c r="AS236" s="150"/>
      <c r="AT236" s="150"/>
      <c r="AU236" s="150"/>
      <c r="AV236" s="150"/>
      <c r="AW236" s="150"/>
      <c r="AX236" s="150"/>
      <c r="AY236" s="150"/>
      <c r="AZ236" s="150"/>
      <c r="BA236" s="150"/>
      <c r="BB236" s="150"/>
      <c r="BC236" s="150"/>
      <c r="BD236" s="150"/>
      <c r="BE236" s="150"/>
      <c r="BF236" s="150"/>
      <c r="BG236" s="150"/>
      <c r="BH236" s="150"/>
      <c r="BI236" s="150"/>
      <c r="BJ236" s="150"/>
      <c r="BK236" s="150"/>
      <c r="BL236" s="150"/>
      <c r="BM236" s="150"/>
      <c r="BN236" s="150"/>
      <c r="BO236" s="150"/>
      <c r="BP236" s="150"/>
      <c r="BQ236" s="150"/>
      <c r="BR236" s="150"/>
      <c r="BS236" s="150"/>
      <c r="BT236" s="150"/>
      <c r="BU236" s="150"/>
      <c r="BV236" s="150"/>
      <c r="BW236" s="150"/>
      <c r="BX236" s="150"/>
      <c r="BY236" s="150"/>
      <c r="BZ236" s="150"/>
      <c r="CA236" s="150"/>
      <c r="CB236" s="150"/>
      <c r="CC236" s="150"/>
      <c r="CD236" s="150"/>
      <c r="CE236" s="150"/>
      <c r="CF236" s="150"/>
      <c r="CG236" s="150"/>
      <c r="CH236" s="150"/>
      <c r="CI236" s="150"/>
      <c r="CJ236" s="150"/>
      <c r="CK236" s="150"/>
      <c r="CL236" s="150"/>
      <c r="CM236" s="150"/>
      <c r="CN236" s="150"/>
      <c r="CO236" s="150"/>
      <c r="CP236" s="150"/>
      <c r="CQ236" s="150"/>
      <c r="CR236" s="150"/>
      <c r="CS236" s="150"/>
      <c r="CT236" s="150"/>
      <c r="CU236" s="150"/>
      <c r="CV236" s="150"/>
      <c r="CW236" s="150"/>
      <c r="CX236" s="150"/>
      <c r="CY236" s="150"/>
      <c r="CZ236" s="150"/>
      <c r="DA236" s="150"/>
      <c r="DB236" s="150"/>
      <c r="DC236" s="150"/>
      <c r="DD236" s="150"/>
      <c r="DE236" s="150"/>
      <c r="DF236" s="150"/>
      <c r="DG236" s="150"/>
      <c r="DH236" s="150"/>
      <c r="DI236" s="150"/>
      <c r="DJ236" s="150"/>
      <c r="DK236" s="150"/>
    </row>
    <row r="237" spans="1:115" s="227" customFormat="1" x14ac:dyDescent="0.25">
      <c r="A237" s="258" t="s">
        <v>6</v>
      </c>
      <c r="B237" s="258" t="s">
        <v>340</v>
      </c>
      <c r="C237" s="584" t="s">
        <v>341</v>
      </c>
      <c r="D237" s="595"/>
      <c r="E237" s="537">
        <v>173036</v>
      </c>
      <c r="F237" s="537">
        <v>400</v>
      </c>
      <c r="G237" s="541">
        <v>82.5</v>
      </c>
      <c r="H237" s="540">
        <f t="shared" si="31"/>
        <v>33000</v>
      </c>
      <c r="I237" s="537"/>
      <c r="J237" s="541"/>
      <c r="K237" s="541"/>
      <c r="L237" s="540">
        <f t="shared" si="32"/>
        <v>0</v>
      </c>
      <c r="M237" s="150"/>
      <c r="N237" s="150"/>
      <c r="O237" s="150"/>
      <c r="P237" s="150"/>
      <c r="Q237" s="150"/>
      <c r="R237" s="150"/>
      <c r="S237" s="150"/>
      <c r="T237" s="150"/>
      <c r="U237" s="150"/>
      <c r="V237" s="150"/>
      <c r="W237" s="150"/>
      <c r="X237" s="150"/>
      <c r="Y237" s="150"/>
      <c r="Z237" s="150"/>
      <c r="AA237" s="150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  <c r="AN237" s="150"/>
      <c r="AO237" s="150"/>
      <c r="AP237" s="150"/>
      <c r="AQ237" s="150"/>
      <c r="AR237" s="150"/>
      <c r="AS237" s="150"/>
      <c r="AT237" s="150"/>
      <c r="AU237" s="150"/>
      <c r="AV237" s="150"/>
      <c r="AW237" s="150"/>
      <c r="AX237" s="150"/>
      <c r="AY237" s="150"/>
      <c r="AZ237" s="150"/>
      <c r="BA237" s="150"/>
      <c r="BB237" s="150"/>
      <c r="BC237" s="150"/>
      <c r="BD237" s="150"/>
      <c r="BE237" s="150"/>
      <c r="BF237" s="150"/>
      <c r="BG237" s="150"/>
      <c r="BH237" s="150"/>
      <c r="BI237" s="150"/>
      <c r="BJ237" s="150"/>
      <c r="BK237" s="150"/>
      <c r="BL237" s="150"/>
      <c r="BM237" s="150"/>
      <c r="BN237" s="150"/>
      <c r="BO237" s="150"/>
      <c r="BP237" s="150"/>
      <c r="BQ237" s="150"/>
      <c r="BR237" s="150"/>
      <c r="BS237" s="150"/>
      <c r="BT237" s="150"/>
      <c r="BU237" s="150"/>
      <c r="BV237" s="150"/>
      <c r="BW237" s="150"/>
      <c r="BX237" s="150"/>
      <c r="BY237" s="150"/>
      <c r="BZ237" s="150"/>
      <c r="CA237" s="150"/>
      <c r="CB237" s="150"/>
      <c r="CC237" s="150"/>
      <c r="CD237" s="150"/>
      <c r="CE237" s="150"/>
      <c r="CF237" s="150"/>
      <c r="CG237" s="150"/>
      <c r="CH237" s="150"/>
      <c r="CI237" s="150"/>
      <c r="CJ237" s="150"/>
      <c r="CK237" s="150"/>
      <c r="CL237" s="150"/>
      <c r="CM237" s="150"/>
      <c r="CN237" s="150"/>
      <c r="CO237" s="150"/>
      <c r="CP237" s="150"/>
      <c r="CQ237" s="150"/>
      <c r="CR237" s="150"/>
      <c r="CS237" s="150"/>
      <c r="CT237" s="150"/>
      <c r="CU237" s="150"/>
      <c r="CV237" s="150"/>
      <c r="CW237" s="150"/>
      <c r="CX237" s="150"/>
      <c r="CY237" s="150"/>
      <c r="CZ237" s="150"/>
      <c r="DA237" s="150"/>
      <c r="DB237" s="150"/>
      <c r="DC237" s="150"/>
      <c r="DD237" s="150"/>
      <c r="DE237" s="150"/>
      <c r="DF237" s="150"/>
      <c r="DG237" s="150"/>
      <c r="DH237" s="150"/>
      <c r="DI237" s="150"/>
      <c r="DJ237" s="150"/>
      <c r="DK237" s="150"/>
    </row>
    <row r="238" spans="1:115" s="227" customFormat="1" x14ac:dyDescent="0.25">
      <c r="A238" s="258" t="s">
        <v>6</v>
      </c>
      <c r="B238" s="258" t="s">
        <v>340</v>
      </c>
      <c r="C238" s="584" t="s">
        <v>365</v>
      </c>
      <c r="D238" s="595"/>
      <c r="E238" s="537">
        <v>173083</v>
      </c>
      <c r="F238" s="537">
        <v>568</v>
      </c>
      <c r="G238" s="541">
        <v>82.7</v>
      </c>
      <c r="H238" s="540">
        <f t="shared" si="31"/>
        <v>46973.599999999999</v>
      </c>
      <c r="I238" s="537"/>
      <c r="J238" s="541"/>
      <c r="K238" s="541"/>
      <c r="L238" s="540">
        <f t="shared" si="32"/>
        <v>0</v>
      </c>
      <c r="M238" s="150"/>
      <c r="N238" s="150"/>
      <c r="O238" s="150"/>
      <c r="P238" s="150"/>
      <c r="Q238" s="150"/>
      <c r="R238" s="150"/>
      <c r="S238" s="150"/>
      <c r="T238" s="150"/>
      <c r="U238" s="150"/>
      <c r="V238" s="150"/>
      <c r="W238" s="150"/>
      <c r="X238" s="150"/>
      <c r="Y238" s="150"/>
      <c r="Z238" s="150"/>
      <c r="AA238" s="150"/>
      <c r="AB238" s="150"/>
      <c r="AC238" s="150"/>
      <c r="AD238" s="150"/>
      <c r="AE238" s="150"/>
      <c r="AF238" s="150"/>
      <c r="AG238" s="150"/>
      <c r="AH238" s="150"/>
      <c r="AI238" s="150"/>
      <c r="AJ238" s="150"/>
      <c r="AK238" s="150"/>
      <c r="AL238" s="150"/>
      <c r="AM238" s="150"/>
      <c r="AN238" s="150"/>
      <c r="AO238" s="150"/>
      <c r="AP238" s="150"/>
      <c r="AQ238" s="150"/>
      <c r="AR238" s="150"/>
      <c r="AS238" s="150"/>
      <c r="AT238" s="150"/>
      <c r="AU238" s="150"/>
      <c r="AV238" s="150"/>
      <c r="AW238" s="150"/>
      <c r="AX238" s="150"/>
      <c r="AY238" s="150"/>
      <c r="AZ238" s="150"/>
      <c r="BA238" s="150"/>
      <c r="BB238" s="150"/>
      <c r="BC238" s="150"/>
      <c r="BD238" s="150"/>
      <c r="BE238" s="150"/>
      <c r="BF238" s="150"/>
      <c r="BG238" s="150"/>
      <c r="BH238" s="150"/>
      <c r="BI238" s="150"/>
      <c r="BJ238" s="150"/>
      <c r="BK238" s="150"/>
      <c r="BL238" s="150"/>
      <c r="BM238" s="150"/>
      <c r="BN238" s="150"/>
      <c r="BO238" s="150"/>
      <c r="BP238" s="150"/>
      <c r="BQ238" s="150"/>
      <c r="BR238" s="150"/>
      <c r="BS238" s="150"/>
      <c r="BT238" s="150"/>
      <c r="BU238" s="150"/>
      <c r="BV238" s="150"/>
      <c r="BW238" s="150"/>
      <c r="BX238" s="150"/>
      <c r="BY238" s="150"/>
      <c r="BZ238" s="150"/>
      <c r="CA238" s="150"/>
      <c r="CB238" s="150"/>
      <c r="CC238" s="150"/>
      <c r="CD238" s="150"/>
      <c r="CE238" s="150"/>
      <c r="CF238" s="150"/>
      <c r="CG238" s="150"/>
      <c r="CH238" s="150"/>
      <c r="CI238" s="150"/>
      <c r="CJ238" s="150"/>
      <c r="CK238" s="150"/>
      <c r="CL238" s="150"/>
      <c r="CM238" s="150"/>
      <c r="CN238" s="150"/>
      <c r="CO238" s="150"/>
      <c r="CP238" s="150"/>
      <c r="CQ238" s="150"/>
      <c r="CR238" s="150"/>
      <c r="CS238" s="150"/>
      <c r="CT238" s="150"/>
      <c r="CU238" s="150"/>
      <c r="CV238" s="150"/>
      <c r="CW238" s="150"/>
      <c r="CX238" s="150"/>
      <c r="CY238" s="150"/>
      <c r="CZ238" s="150"/>
      <c r="DA238" s="150"/>
      <c r="DB238" s="150"/>
      <c r="DC238" s="150"/>
      <c r="DD238" s="150"/>
      <c r="DE238" s="150"/>
      <c r="DF238" s="150"/>
      <c r="DG238" s="150"/>
      <c r="DH238" s="150"/>
      <c r="DI238" s="150"/>
      <c r="DJ238" s="150"/>
      <c r="DK238" s="150"/>
    </row>
    <row r="239" spans="1:115" s="227" customFormat="1" x14ac:dyDescent="0.25">
      <c r="A239" s="258" t="s">
        <v>6</v>
      </c>
      <c r="B239" s="258" t="s">
        <v>340</v>
      </c>
      <c r="C239" s="584" t="s">
        <v>341</v>
      </c>
      <c r="D239" s="595"/>
      <c r="E239" s="537">
        <v>173172</v>
      </c>
      <c r="F239" s="537">
        <v>100</v>
      </c>
      <c r="G239" s="541">
        <v>82</v>
      </c>
      <c r="H239" s="540">
        <f t="shared" si="31"/>
        <v>8200</v>
      </c>
      <c r="I239" s="537"/>
      <c r="J239" s="541"/>
      <c r="K239" s="541"/>
      <c r="L239" s="540">
        <f t="shared" si="32"/>
        <v>0</v>
      </c>
      <c r="M239" s="150"/>
      <c r="N239" s="150"/>
      <c r="O239" s="150"/>
      <c r="P239" s="150"/>
      <c r="Q239" s="150"/>
      <c r="R239" s="150"/>
      <c r="S239" s="150"/>
      <c r="T239" s="150"/>
      <c r="U239" s="150"/>
      <c r="V239" s="150"/>
      <c r="W239" s="150"/>
      <c r="X239" s="150"/>
      <c r="Y239" s="150"/>
      <c r="Z239" s="150"/>
      <c r="AA239" s="150"/>
      <c r="AB239" s="150"/>
      <c r="AC239" s="150"/>
      <c r="AD239" s="150"/>
      <c r="AE239" s="150"/>
      <c r="AF239" s="150"/>
      <c r="AG239" s="150"/>
      <c r="AH239" s="150"/>
      <c r="AI239" s="150"/>
      <c r="AJ239" s="150"/>
      <c r="AK239" s="150"/>
      <c r="AL239" s="150"/>
      <c r="AM239" s="150"/>
      <c r="AN239" s="150"/>
      <c r="AO239" s="150"/>
      <c r="AP239" s="150"/>
      <c r="AQ239" s="150"/>
      <c r="AR239" s="150"/>
      <c r="AS239" s="150"/>
      <c r="AT239" s="150"/>
      <c r="AU239" s="150"/>
      <c r="AV239" s="150"/>
      <c r="AW239" s="150"/>
      <c r="AX239" s="150"/>
      <c r="AY239" s="150"/>
      <c r="AZ239" s="150"/>
      <c r="BA239" s="150"/>
      <c r="BB239" s="150"/>
      <c r="BC239" s="150"/>
      <c r="BD239" s="150"/>
      <c r="BE239" s="150"/>
      <c r="BF239" s="150"/>
      <c r="BG239" s="150"/>
      <c r="BH239" s="150"/>
      <c r="BI239" s="150"/>
      <c r="BJ239" s="150"/>
      <c r="BK239" s="150"/>
      <c r="BL239" s="150"/>
      <c r="BM239" s="150"/>
      <c r="BN239" s="150"/>
      <c r="BO239" s="150"/>
      <c r="BP239" s="150"/>
      <c r="BQ239" s="150"/>
      <c r="BR239" s="150"/>
      <c r="BS239" s="150"/>
      <c r="BT239" s="150"/>
      <c r="BU239" s="150"/>
      <c r="BV239" s="150"/>
      <c r="BW239" s="150"/>
      <c r="BX239" s="150"/>
      <c r="BY239" s="150"/>
      <c r="BZ239" s="150"/>
      <c r="CA239" s="150"/>
      <c r="CB239" s="150"/>
      <c r="CC239" s="150"/>
      <c r="CD239" s="150"/>
      <c r="CE239" s="150"/>
      <c r="CF239" s="150"/>
      <c r="CG239" s="150"/>
      <c r="CH239" s="150"/>
      <c r="CI239" s="150"/>
      <c r="CJ239" s="150"/>
      <c r="CK239" s="150"/>
      <c r="CL239" s="150"/>
      <c r="CM239" s="150"/>
      <c r="CN239" s="150"/>
      <c r="CO239" s="150"/>
      <c r="CP239" s="150"/>
      <c r="CQ239" s="150"/>
      <c r="CR239" s="150"/>
      <c r="CS239" s="150"/>
      <c r="CT239" s="150"/>
      <c r="CU239" s="150"/>
      <c r="CV239" s="150"/>
      <c r="CW239" s="150"/>
      <c r="CX239" s="150"/>
      <c r="CY239" s="150"/>
      <c r="CZ239" s="150"/>
      <c r="DA239" s="150"/>
      <c r="DB239" s="150"/>
      <c r="DC239" s="150"/>
      <c r="DD239" s="150"/>
      <c r="DE239" s="150"/>
      <c r="DF239" s="150"/>
      <c r="DG239" s="150"/>
      <c r="DH239" s="150"/>
      <c r="DI239" s="150"/>
      <c r="DJ239" s="150"/>
      <c r="DK239" s="150"/>
    </row>
    <row r="240" spans="1:115" s="227" customFormat="1" x14ac:dyDescent="0.25">
      <c r="A240" s="258" t="s">
        <v>6</v>
      </c>
      <c r="B240" s="258" t="s">
        <v>340</v>
      </c>
      <c r="C240" s="584" t="s">
        <v>341</v>
      </c>
      <c r="D240" s="595"/>
      <c r="E240" s="537">
        <v>173173</v>
      </c>
      <c r="F240" s="537">
        <v>100</v>
      </c>
      <c r="G240" s="541">
        <v>81</v>
      </c>
      <c r="H240" s="540">
        <f t="shared" si="31"/>
        <v>8100</v>
      </c>
      <c r="I240" s="537"/>
      <c r="J240" s="541"/>
      <c r="K240" s="541"/>
      <c r="L240" s="540">
        <f t="shared" si="32"/>
        <v>0</v>
      </c>
      <c r="M240" s="150"/>
      <c r="N240" s="150"/>
      <c r="O240" s="150"/>
      <c r="P240" s="150"/>
      <c r="Q240" s="150"/>
      <c r="R240" s="150"/>
      <c r="S240" s="150"/>
      <c r="T240" s="150"/>
      <c r="U240" s="150"/>
      <c r="V240" s="150"/>
      <c r="W240" s="150"/>
      <c r="X240" s="150"/>
      <c r="Y240" s="150"/>
      <c r="Z240" s="150"/>
      <c r="AA240" s="150"/>
      <c r="AB240" s="150"/>
      <c r="AC240" s="150"/>
      <c r="AD240" s="150"/>
      <c r="AE240" s="150"/>
      <c r="AF240" s="150"/>
      <c r="AG240" s="150"/>
      <c r="AH240" s="150"/>
      <c r="AI240" s="150"/>
      <c r="AJ240" s="150"/>
      <c r="AK240" s="150"/>
      <c r="AL240" s="150"/>
      <c r="AM240" s="150"/>
      <c r="AN240" s="150"/>
      <c r="AO240" s="150"/>
      <c r="AP240" s="150"/>
      <c r="AQ240" s="150"/>
      <c r="AR240" s="150"/>
      <c r="AS240" s="150"/>
      <c r="AT240" s="150"/>
      <c r="AU240" s="150"/>
      <c r="AV240" s="150"/>
      <c r="AW240" s="150"/>
      <c r="AX240" s="150"/>
      <c r="AY240" s="150"/>
      <c r="AZ240" s="150"/>
      <c r="BA240" s="150"/>
      <c r="BB240" s="150"/>
      <c r="BC240" s="150"/>
      <c r="BD240" s="150"/>
      <c r="BE240" s="150"/>
      <c r="BF240" s="150"/>
      <c r="BG240" s="150"/>
      <c r="BH240" s="150"/>
      <c r="BI240" s="150"/>
      <c r="BJ240" s="150"/>
      <c r="BK240" s="150"/>
      <c r="BL240" s="150"/>
      <c r="BM240" s="150"/>
      <c r="BN240" s="150"/>
      <c r="BO240" s="150"/>
      <c r="BP240" s="150"/>
      <c r="BQ240" s="150"/>
      <c r="BR240" s="150"/>
      <c r="BS240" s="150"/>
      <c r="BT240" s="150"/>
      <c r="BU240" s="150"/>
      <c r="BV240" s="150"/>
      <c r="BW240" s="150"/>
      <c r="BX240" s="150"/>
      <c r="BY240" s="150"/>
      <c r="BZ240" s="150"/>
      <c r="CA240" s="150"/>
      <c r="CB240" s="150"/>
      <c r="CC240" s="150"/>
      <c r="CD240" s="150"/>
      <c r="CE240" s="150"/>
      <c r="CF240" s="150"/>
      <c r="CG240" s="150"/>
      <c r="CH240" s="150"/>
      <c r="CI240" s="150"/>
      <c r="CJ240" s="150"/>
      <c r="CK240" s="150"/>
      <c r="CL240" s="150"/>
      <c r="CM240" s="150"/>
      <c r="CN240" s="150"/>
      <c r="CO240" s="150"/>
      <c r="CP240" s="150"/>
      <c r="CQ240" s="150"/>
      <c r="CR240" s="150"/>
      <c r="CS240" s="150"/>
      <c r="CT240" s="150"/>
      <c r="CU240" s="150"/>
      <c r="CV240" s="150"/>
      <c r="CW240" s="150"/>
      <c r="CX240" s="150"/>
      <c r="CY240" s="150"/>
      <c r="CZ240" s="150"/>
      <c r="DA240" s="150"/>
      <c r="DB240" s="150"/>
      <c r="DC240" s="150"/>
      <c r="DD240" s="150"/>
      <c r="DE240" s="150"/>
      <c r="DF240" s="150"/>
      <c r="DG240" s="150"/>
      <c r="DH240" s="150"/>
      <c r="DI240" s="150"/>
      <c r="DJ240" s="150"/>
      <c r="DK240" s="150"/>
    </row>
    <row r="241" spans="1:115" s="227" customFormat="1" ht="23.25" customHeight="1" x14ac:dyDescent="0.25">
      <c r="A241" s="258" t="s">
        <v>6</v>
      </c>
      <c r="B241" s="258" t="s">
        <v>340</v>
      </c>
      <c r="C241" s="584" t="s">
        <v>374</v>
      </c>
      <c r="D241" s="595"/>
      <c r="E241" s="537">
        <v>173183</v>
      </c>
      <c r="F241" s="537">
        <v>100</v>
      </c>
      <c r="G241" s="541">
        <v>80.5</v>
      </c>
      <c r="H241" s="540">
        <f t="shared" si="31"/>
        <v>8050</v>
      </c>
      <c r="I241" s="537"/>
      <c r="J241" s="541"/>
      <c r="K241" s="541"/>
      <c r="L241" s="540">
        <f t="shared" si="32"/>
        <v>0</v>
      </c>
      <c r="M241" s="150"/>
      <c r="N241" s="150"/>
      <c r="O241" s="150"/>
      <c r="P241" s="150"/>
      <c r="Q241" s="150"/>
      <c r="R241" s="150"/>
      <c r="S241" s="150"/>
      <c r="T241" s="150"/>
      <c r="U241" s="150"/>
      <c r="V241" s="150"/>
      <c r="W241" s="150"/>
      <c r="X241" s="150"/>
      <c r="Y241" s="150"/>
      <c r="Z241" s="150"/>
      <c r="AA241" s="150"/>
      <c r="AB241" s="150"/>
      <c r="AC241" s="150"/>
      <c r="AD241" s="150"/>
      <c r="AE241" s="150"/>
      <c r="AF241" s="150"/>
      <c r="AG241" s="150"/>
      <c r="AH241" s="150"/>
      <c r="AI241" s="150"/>
      <c r="AJ241" s="150"/>
      <c r="AK241" s="150"/>
      <c r="AL241" s="150"/>
      <c r="AM241" s="150"/>
      <c r="AN241" s="150"/>
      <c r="AO241" s="150"/>
      <c r="AP241" s="150"/>
      <c r="AQ241" s="150"/>
      <c r="AR241" s="150"/>
      <c r="AS241" s="150"/>
      <c r="AT241" s="150"/>
      <c r="AU241" s="150"/>
      <c r="AV241" s="150"/>
      <c r="AW241" s="150"/>
      <c r="AX241" s="150"/>
      <c r="AY241" s="150"/>
      <c r="AZ241" s="150"/>
      <c r="BA241" s="150"/>
      <c r="BB241" s="150"/>
      <c r="BC241" s="150"/>
      <c r="BD241" s="150"/>
      <c r="BE241" s="150"/>
      <c r="BF241" s="150"/>
      <c r="BG241" s="150"/>
      <c r="BH241" s="150"/>
      <c r="BI241" s="150"/>
      <c r="BJ241" s="150"/>
      <c r="BK241" s="150"/>
      <c r="BL241" s="150"/>
      <c r="BM241" s="150"/>
      <c r="BN241" s="150"/>
      <c r="BO241" s="150"/>
      <c r="BP241" s="150"/>
      <c r="BQ241" s="150"/>
      <c r="BR241" s="150"/>
      <c r="BS241" s="150"/>
      <c r="BT241" s="150"/>
      <c r="BU241" s="150"/>
      <c r="BV241" s="150"/>
      <c r="BW241" s="150"/>
      <c r="BX241" s="150"/>
      <c r="BY241" s="150"/>
      <c r="BZ241" s="150"/>
      <c r="CA241" s="150"/>
      <c r="CB241" s="150"/>
      <c r="CC241" s="150"/>
      <c r="CD241" s="150"/>
      <c r="CE241" s="150"/>
      <c r="CF241" s="150"/>
      <c r="CG241" s="150"/>
      <c r="CH241" s="150"/>
      <c r="CI241" s="150"/>
      <c r="CJ241" s="150"/>
      <c r="CK241" s="150"/>
      <c r="CL241" s="150"/>
      <c r="CM241" s="150"/>
      <c r="CN241" s="150"/>
      <c r="CO241" s="150"/>
      <c r="CP241" s="150"/>
      <c r="CQ241" s="150"/>
      <c r="CR241" s="150"/>
      <c r="CS241" s="150"/>
      <c r="CT241" s="150"/>
      <c r="CU241" s="150"/>
      <c r="CV241" s="150"/>
      <c r="CW241" s="150"/>
      <c r="CX241" s="150"/>
      <c r="CY241" s="150"/>
      <c r="CZ241" s="150"/>
      <c r="DA241" s="150"/>
      <c r="DB241" s="150"/>
      <c r="DC241" s="150"/>
      <c r="DD241" s="150"/>
      <c r="DE241" s="150"/>
      <c r="DF241" s="150"/>
      <c r="DG241" s="150"/>
      <c r="DH241" s="150"/>
      <c r="DI241" s="150"/>
      <c r="DJ241" s="150"/>
      <c r="DK241" s="150"/>
    </row>
    <row r="242" spans="1:115" s="227" customFormat="1" x14ac:dyDescent="0.25">
      <c r="A242" s="258" t="s">
        <v>6</v>
      </c>
      <c r="B242" s="258" t="s">
        <v>340</v>
      </c>
      <c r="C242" s="584" t="s">
        <v>341</v>
      </c>
      <c r="D242" s="595"/>
      <c r="E242" s="537">
        <v>173193</v>
      </c>
      <c r="F242" s="537">
        <v>80</v>
      </c>
      <c r="G242" s="541">
        <v>80.5</v>
      </c>
      <c r="H242" s="540">
        <f t="shared" si="31"/>
        <v>6440</v>
      </c>
      <c r="I242" s="537"/>
      <c r="J242" s="541"/>
      <c r="K242" s="541"/>
      <c r="L242" s="540">
        <f t="shared" si="32"/>
        <v>0</v>
      </c>
      <c r="M242" s="150"/>
      <c r="N242" s="150"/>
      <c r="O242" s="150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  <c r="AI242" s="150"/>
      <c r="AJ242" s="150"/>
      <c r="AK242" s="150"/>
      <c r="AL242" s="150"/>
      <c r="AM242" s="150"/>
      <c r="AN242" s="150"/>
      <c r="AO242" s="150"/>
      <c r="AP242" s="150"/>
      <c r="AQ242" s="150"/>
      <c r="AR242" s="150"/>
      <c r="AS242" s="150"/>
      <c r="AT242" s="150"/>
      <c r="AU242" s="150"/>
      <c r="AV242" s="150"/>
      <c r="AW242" s="150"/>
      <c r="AX242" s="150"/>
      <c r="AY242" s="150"/>
      <c r="AZ242" s="150"/>
      <c r="BA242" s="150"/>
      <c r="BB242" s="150"/>
      <c r="BC242" s="150"/>
      <c r="BD242" s="150"/>
      <c r="BE242" s="150"/>
      <c r="BF242" s="150"/>
      <c r="BG242" s="150"/>
      <c r="BH242" s="150"/>
      <c r="BI242" s="150"/>
      <c r="BJ242" s="150"/>
      <c r="BK242" s="150"/>
      <c r="BL242" s="150"/>
      <c r="BM242" s="150"/>
      <c r="BN242" s="150"/>
      <c r="BO242" s="150"/>
      <c r="BP242" s="150"/>
      <c r="BQ242" s="150"/>
      <c r="BR242" s="150"/>
      <c r="BS242" s="150"/>
      <c r="BT242" s="150"/>
      <c r="BU242" s="150"/>
      <c r="BV242" s="150"/>
      <c r="BW242" s="150"/>
      <c r="BX242" s="150"/>
      <c r="BY242" s="150"/>
      <c r="BZ242" s="150"/>
      <c r="CA242" s="150"/>
      <c r="CB242" s="150"/>
      <c r="CC242" s="150"/>
      <c r="CD242" s="150"/>
      <c r="CE242" s="150"/>
      <c r="CF242" s="150"/>
      <c r="CG242" s="150"/>
      <c r="CH242" s="150"/>
      <c r="CI242" s="150"/>
      <c r="CJ242" s="150"/>
      <c r="CK242" s="150"/>
      <c r="CL242" s="150"/>
      <c r="CM242" s="150"/>
      <c r="CN242" s="150"/>
      <c r="CO242" s="150"/>
      <c r="CP242" s="150"/>
      <c r="CQ242" s="150"/>
      <c r="CR242" s="150"/>
      <c r="CS242" s="150"/>
      <c r="CT242" s="150"/>
      <c r="CU242" s="150"/>
      <c r="CV242" s="150"/>
      <c r="CW242" s="150"/>
      <c r="CX242" s="150"/>
      <c r="CY242" s="150"/>
      <c r="CZ242" s="150"/>
      <c r="DA242" s="150"/>
      <c r="DB242" s="150"/>
      <c r="DC242" s="150"/>
      <c r="DD242" s="150"/>
      <c r="DE242" s="150"/>
      <c r="DF242" s="150"/>
      <c r="DG242" s="150"/>
      <c r="DH242" s="150"/>
      <c r="DI242" s="150"/>
      <c r="DJ242" s="150"/>
      <c r="DK242" s="150"/>
    </row>
    <row r="243" spans="1:115" s="617" customFormat="1" x14ac:dyDescent="0.25">
      <c r="A243" s="610"/>
      <c r="B243" s="610"/>
      <c r="C243" s="631"/>
      <c r="D243" s="612"/>
      <c r="E243" s="613"/>
      <c r="F243" s="613"/>
      <c r="G243" s="615"/>
      <c r="H243" s="630">
        <f t="shared" si="31"/>
        <v>0</v>
      </c>
      <c r="I243" s="613"/>
      <c r="J243" s="615"/>
      <c r="K243" s="615"/>
      <c r="L243" s="630">
        <f t="shared" si="32"/>
        <v>0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</row>
    <row r="244" spans="1:115" s="617" customFormat="1" x14ac:dyDescent="0.25">
      <c r="A244" s="610"/>
      <c r="B244" s="610"/>
      <c r="C244" s="631"/>
      <c r="D244" s="612"/>
      <c r="E244" s="613"/>
      <c r="F244" s="613"/>
      <c r="G244" s="615"/>
      <c r="H244" s="630">
        <f t="shared" si="31"/>
        <v>0</v>
      </c>
      <c r="I244" s="613"/>
      <c r="J244" s="615"/>
      <c r="K244" s="615"/>
      <c r="L244" s="630">
        <f t="shared" si="32"/>
        <v>0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</row>
    <row r="245" spans="1:115" s="617" customFormat="1" x14ac:dyDescent="0.25">
      <c r="A245" s="610"/>
      <c r="B245" s="610"/>
      <c r="C245" s="631"/>
      <c r="D245" s="612"/>
      <c r="E245" s="613"/>
      <c r="F245" s="613"/>
      <c r="G245" s="615"/>
      <c r="H245" s="630">
        <f t="shared" si="31"/>
        <v>0</v>
      </c>
      <c r="I245" s="613"/>
      <c r="J245" s="615"/>
      <c r="K245" s="615"/>
      <c r="L245" s="630">
        <f t="shared" si="32"/>
        <v>0</v>
      </c>
      <c r="M245" s="634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</row>
    <row r="246" spans="1:115" s="227" customFormat="1" x14ac:dyDescent="0.25">
      <c r="A246" s="258"/>
      <c r="B246" s="258"/>
      <c r="C246" s="585"/>
      <c r="D246" s="595"/>
      <c r="E246" s="537"/>
      <c r="F246" s="537"/>
      <c r="G246" s="253"/>
      <c r="H246" s="536">
        <f t="shared" si="31"/>
        <v>0</v>
      </c>
      <c r="I246" s="537"/>
      <c r="J246" s="253"/>
      <c r="K246" s="541"/>
      <c r="L246" s="536">
        <f t="shared" si="32"/>
        <v>0</v>
      </c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  <c r="AK246" s="150"/>
      <c r="AL246" s="150"/>
      <c r="AM246" s="150"/>
      <c r="AN246" s="150"/>
      <c r="AO246" s="150"/>
      <c r="AP246" s="150"/>
      <c r="AQ246" s="150"/>
      <c r="AR246" s="150"/>
      <c r="AS246" s="150"/>
      <c r="AT246" s="150"/>
      <c r="AU246" s="150"/>
      <c r="AV246" s="150"/>
      <c r="AW246" s="150"/>
      <c r="AX246" s="150"/>
      <c r="AY246" s="150"/>
      <c r="AZ246" s="150"/>
      <c r="BA246" s="150"/>
      <c r="BB246" s="150"/>
      <c r="BC246" s="150"/>
      <c r="BD246" s="150"/>
      <c r="BE246" s="150"/>
      <c r="BF246" s="150"/>
      <c r="BG246" s="150"/>
      <c r="BH246" s="150"/>
      <c r="BI246" s="150"/>
      <c r="BJ246" s="150"/>
      <c r="BK246" s="150"/>
      <c r="BL246" s="150"/>
      <c r="BM246" s="150"/>
      <c r="BN246" s="150"/>
      <c r="BO246" s="150"/>
      <c r="BP246" s="150"/>
      <c r="BQ246" s="150"/>
      <c r="BR246" s="150"/>
      <c r="BS246" s="150"/>
      <c r="BT246" s="150"/>
      <c r="BU246" s="150"/>
      <c r="BV246" s="150"/>
      <c r="BW246" s="150"/>
      <c r="BX246" s="150"/>
      <c r="BY246" s="150"/>
      <c r="BZ246" s="150"/>
      <c r="CA246" s="150"/>
      <c r="CB246" s="150"/>
      <c r="CC246" s="150"/>
      <c r="CD246" s="150"/>
      <c r="CE246" s="150"/>
      <c r="CF246" s="150"/>
      <c r="CG246" s="150"/>
      <c r="CH246" s="150"/>
      <c r="CI246" s="150"/>
      <c r="CJ246" s="150"/>
      <c r="CK246" s="150"/>
      <c r="CL246" s="150"/>
      <c r="CM246" s="150"/>
      <c r="CN246" s="150"/>
      <c r="CO246" s="150"/>
      <c r="CP246" s="150"/>
      <c r="CQ246" s="150"/>
      <c r="CR246" s="150"/>
      <c r="CS246" s="150"/>
      <c r="CT246" s="150"/>
      <c r="CU246" s="150"/>
      <c r="CV246" s="150"/>
      <c r="CW246" s="150"/>
      <c r="CX246" s="150"/>
      <c r="CY246" s="150"/>
      <c r="CZ246" s="150"/>
      <c r="DA246" s="150"/>
      <c r="DB246" s="150"/>
      <c r="DC246" s="150"/>
      <c r="DD246" s="150"/>
      <c r="DE246" s="150"/>
      <c r="DF246" s="150"/>
      <c r="DG246" s="150"/>
      <c r="DH246" s="150"/>
      <c r="DI246" s="150"/>
      <c r="DJ246" s="150"/>
      <c r="DK246" s="150"/>
    </row>
    <row r="247" spans="1:115" x14ac:dyDescent="0.25">
      <c r="A247" s="258"/>
      <c r="B247" s="258"/>
      <c r="C247" s="585"/>
      <c r="D247" s="596"/>
      <c r="E247" s="534"/>
      <c r="F247" s="253"/>
      <c r="G247" s="541"/>
      <c r="H247" s="536">
        <f t="shared" si="31"/>
        <v>0</v>
      </c>
      <c r="I247" s="534"/>
      <c r="J247" s="253"/>
      <c r="K247" s="541"/>
      <c r="L247" s="536">
        <f t="shared" si="32"/>
        <v>0</v>
      </c>
      <c r="M247" s="236"/>
    </row>
    <row r="248" spans="1:115" x14ac:dyDescent="0.25">
      <c r="A248" s="258"/>
      <c r="B248" s="258"/>
      <c r="C248" s="585"/>
      <c r="D248" s="603"/>
      <c r="E248" s="534"/>
      <c r="F248" s="253"/>
      <c r="G248" s="253"/>
      <c r="H248" s="536">
        <f t="shared" si="31"/>
        <v>0</v>
      </c>
      <c r="I248" s="534"/>
      <c r="J248" s="253"/>
      <c r="K248" s="253"/>
      <c r="L248" s="536">
        <f t="shared" si="32"/>
        <v>0</v>
      </c>
    </row>
    <row r="249" spans="1:115" x14ac:dyDescent="0.25">
      <c r="A249" s="258"/>
      <c r="B249" s="258"/>
      <c r="C249" s="584"/>
      <c r="D249" s="559" t="s">
        <v>0</v>
      </c>
      <c r="E249" s="534"/>
      <c r="F249" s="542">
        <f>SUM(F234:F248)</f>
        <v>1880</v>
      </c>
      <c r="G249" s="543">
        <f>H249/F249</f>
        <v>82.303191489361708</v>
      </c>
      <c r="H249" s="544">
        <f>SUM(H234:H248)</f>
        <v>154730</v>
      </c>
      <c r="I249" s="534"/>
      <c r="J249" s="542">
        <f>SUM(J234:J248)</f>
        <v>0</v>
      </c>
      <c r="K249" s="543" t="e">
        <f>L249/J249</f>
        <v>#DIV/0!</v>
      </c>
      <c r="L249" s="544">
        <f>SUM(L234:L248)</f>
        <v>0</v>
      </c>
    </row>
    <row r="250" spans="1:115" x14ac:dyDescent="0.25">
      <c r="A250" s="545"/>
      <c r="B250" s="545"/>
      <c r="C250" s="586"/>
      <c r="D250" s="561"/>
      <c r="E250" s="546"/>
      <c r="F250" s="546"/>
      <c r="G250" s="547"/>
      <c r="H250" s="548"/>
      <c r="I250" s="546"/>
      <c r="J250" s="546"/>
      <c r="K250" s="547"/>
      <c r="L250" s="548"/>
      <c r="M250" s="236"/>
      <c r="N250" s="150">
        <f>+M250*1.2</f>
        <v>0</v>
      </c>
    </row>
    <row r="251" spans="1:115" x14ac:dyDescent="0.25">
      <c r="A251" s="258"/>
      <c r="B251" s="258"/>
      <c r="C251" s="584"/>
      <c r="D251" s="558"/>
      <c r="E251" s="534"/>
      <c r="F251" s="253"/>
      <c r="G251" s="535"/>
      <c r="H251" s="536">
        <f t="shared" ref="H251:H266" si="33">F251*G251</f>
        <v>0</v>
      </c>
      <c r="I251" s="534"/>
      <c r="J251" s="253"/>
      <c r="K251" s="535"/>
      <c r="L251" s="536">
        <f t="shared" ref="L251:L266" si="34">J251*K251</f>
        <v>0</v>
      </c>
    </row>
    <row r="252" spans="1:115" x14ac:dyDescent="0.25">
      <c r="A252" s="258" t="s">
        <v>6</v>
      </c>
      <c r="B252" s="258" t="s">
        <v>340</v>
      </c>
      <c r="C252" s="584" t="s">
        <v>341</v>
      </c>
      <c r="D252" s="559">
        <f>D235+1</f>
        <v>45640</v>
      </c>
      <c r="E252" s="534">
        <v>173099</v>
      </c>
      <c r="F252" s="262">
        <v>300</v>
      </c>
      <c r="G252" s="535">
        <v>82.2</v>
      </c>
      <c r="H252" s="536">
        <f t="shared" si="33"/>
        <v>24660</v>
      </c>
      <c r="I252" s="534"/>
      <c r="J252" s="262"/>
      <c r="K252" s="535"/>
      <c r="L252" s="536">
        <f t="shared" si="34"/>
        <v>0</v>
      </c>
    </row>
    <row r="253" spans="1:115" s="227" customFormat="1" ht="30" x14ac:dyDescent="0.25">
      <c r="A253" s="258" t="s">
        <v>6</v>
      </c>
      <c r="B253" s="258" t="s">
        <v>340</v>
      </c>
      <c r="C253" s="584" t="s">
        <v>351</v>
      </c>
      <c r="D253" s="595"/>
      <c r="E253" s="537">
        <v>173108</v>
      </c>
      <c r="F253" s="541">
        <v>500</v>
      </c>
      <c r="G253" s="541">
        <v>82.1</v>
      </c>
      <c r="H253" s="540">
        <f t="shared" si="33"/>
        <v>41050</v>
      </c>
      <c r="I253" s="537"/>
      <c r="J253" s="541"/>
      <c r="K253" s="541"/>
      <c r="L253" s="540">
        <f t="shared" si="34"/>
        <v>0</v>
      </c>
      <c r="M253" s="150"/>
      <c r="N253" s="150"/>
      <c r="O253" s="150"/>
      <c r="P253" s="150"/>
      <c r="Q253" s="150"/>
      <c r="R253" s="150"/>
      <c r="S253" s="150"/>
      <c r="T253" s="150"/>
      <c r="U253" s="150"/>
      <c r="V253" s="150"/>
      <c r="W253" s="150"/>
      <c r="X253" s="150"/>
      <c r="Y253" s="150"/>
      <c r="Z253" s="150"/>
      <c r="AA253" s="150"/>
      <c r="AB253" s="150"/>
      <c r="AC253" s="150"/>
      <c r="AD253" s="150"/>
      <c r="AE253" s="150"/>
      <c r="AF253" s="150"/>
      <c r="AG253" s="150"/>
      <c r="AH253" s="150"/>
      <c r="AI253" s="150"/>
      <c r="AJ253" s="150"/>
      <c r="AK253" s="150"/>
      <c r="AL253" s="150"/>
      <c r="AM253" s="150"/>
      <c r="AN253" s="150"/>
      <c r="AO253" s="150"/>
      <c r="AP253" s="150"/>
      <c r="AQ253" s="150"/>
      <c r="AR253" s="150"/>
      <c r="AS253" s="150"/>
      <c r="AT253" s="150"/>
      <c r="AU253" s="150"/>
      <c r="AV253" s="150"/>
      <c r="AW253" s="150"/>
      <c r="AX253" s="150"/>
      <c r="AY253" s="150"/>
      <c r="AZ253" s="150"/>
      <c r="BA253" s="150"/>
      <c r="BB253" s="150"/>
      <c r="BC253" s="150"/>
      <c r="BD253" s="150"/>
      <c r="BE253" s="150"/>
      <c r="BF253" s="150"/>
      <c r="BG253" s="150"/>
      <c r="BH253" s="150"/>
      <c r="BI253" s="150"/>
      <c r="BJ253" s="150"/>
      <c r="BK253" s="150"/>
      <c r="BL253" s="150"/>
      <c r="BM253" s="150"/>
      <c r="BN253" s="150"/>
      <c r="BO253" s="150"/>
      <c r="BP253" s="150"/>
      <c r="BQ253" s="150"/>
      <c r="BR253" s="150"/>
      <c r="BS253" s="150"/>
      <c r="BT253" s="150"/>
      <c r="BU253" s="150"/>
      <c r="BV253" s="150"/>
      <c r="BW253" s="150"/>
      <c r="BX253" s="150"/>
      <c r="BY253" s="150"/>
      <c r="BZ253" s="150"/>
      <c r="CA253" s="150"/>
      <c r="CB253" s="150"/>
      <c r="CC253" s="150"/>
      <c r="CD253" s="150"/>
      <c r="CE253" s="150"/>
      <c r="CF253" s="150"/>
      <c r="CG253" s="150"/>
      <c r="CH253" s="150"/>
      <c r="CI253" s="150"/>
      <c r="CJ253" s="150"/>
      <c r="CK253" s="150"/>
      <c r="CL253" s="150"/>
      <c r="CM253" s="150"/>
      <c r="CN253" s="150"/>
      <c r="CO253" s="150"/>
      <c r="CP253" s="150"/>
      <c r="CQ253" s="150"/>
      <c r="CR253" s="150"/>
      <c r="CS253" s="150"/>
      <c r="CT253" s="150"/>
      <c r="CU253" s="150"/>
      <c r="CV253" s="150"/>
      <c r="CW253" s="150"/>
      <c r="CX253" s="150"/>
      <c r="CY253" s="150"/>
      <c r="CZ253" s="150"/>
      <c r="DA253" s="150"/>
      <c r="DB253" s="150"/>
      <c r="DC253" s="150"/>
      <c r="DD253" s="150"/>
      <c r="DE253" s="150"/>
      <c r="DF253" s="150"/>
      <c r="DG253" s="150"/>
      <c r="DH253" s="150"/>
      <c r="DI253" s="150"/>
      <c r="DJ253" s="150"/>
      <c r="DK253" s="150"/>
    </row>
    <row r="254" spans="1:115" s="227" customFormat="1" x14ac:dyDescent="0.25">
      <c r="A254" s="258" t="s">
        <v>6</v>
      </c>
      <c r="B254" s="258" t="s">
        <v>340</v>
      </c>
      <c r="C254" s="584" t="s">
        <v>365</v>
      </c>
      <c r="D254" s="595"/>
      <c r="E254" s="537">
        <v>173170</v>
      </c>
      <c r="F254" s="541">
        <v>500</v>
      </c>
      <c r="G254" s="541">
        <v>81.7</v>
      </c>
      <c r="H254" s="540">
        <f t="shared" si="33"/>
        <v>40850</v>
      </c>
      <c r="I254" s="537"/>
      <c r="J254" s="541"/>
      <c r="K254" s="541"/>
      <c r="L254" s="540">
        <f t="shared" si="34"/>
        <v>0</v>
      </c>
      <c r="M254" s="150"/>
      <c r="N254" s="150"/>
      <c r="O254" s="150"/>
      <c r="P254" s="150"/>
      <c r="Q254" s="150"/>
      <c r="R254" s="150"/>
      <c r="S254" s="150"/>
      <c r="T254" s="150"/>
      <c r="U254" s="150"/>
      <c r="V254" s="150"/>
      <c r="W254" s="150"/>
      <c r="X254" s="150"/>
      <c r="Y254" s="150"/>
      <c r="Z254" s="150"/>
      <c r="AA254" s="150"/>
      <c r="AB254" s="150"/>
      <c r="AC254" s="150"/>
      <c r="AD254" s="150"/>
      <c r="AE254" s="150"/>
      <c r="AF254" s="150"/>
      <c r="AG254" s="150"/>
      <c r="AH254" s="150"/>
      <c r="AI254" s="150"/>
      <c r="AJ254" s="150"/>
      <c r="AK254" s="150"/>
      <c r="AL254" s="150"/>
      <c r="AM254" s="150"/>
      <c r="AN254" s="150"/>
      <c r="AO254" s="150"/>
      <c r="AP254" s="150"/>
      <c r="AQ254" s="150"/>
      <c r="AR254" s="150"/>
      <c r="AS254" s="150"/>
      <c r="AT254" s="150"/>
      <c r="AU254" s="150"/>
      <c r="AV254" s="150"/>
      <c r="AW254" s="150"/>
      <c r="AX254" s="150"/>
      <c r="AY254" s="150"/>
      <c r="AZ254" s="150"/>
      <c r="BA254" s="150"/>
      <c r="BB254" s="150"/>
      <c r="BC254" s="150"/>
      <c r="BD254" s="150"/>
      <c r="BE254" s="150"/>
      <c r="BF254" s="150"/>
      <c r="BG254" s="150"/>
      <c r="BH254" s="150"/>
      <c r="BI254" s="150"/>
      <c r="BJ254" s="150"/>
      <c r="BK254" s="150"/>
      <c r="BL254" s="150"/>
      <c r="BM254" s="150"/>
      <c r="BN254" s="150"/>
      <c r="BO254" s="150"/>
      <c r="BP254" s="150"/>
      <c r="BQ254" s="150"/>
      <c r="BR254" s="150"/>
      <c r="BS254" s="150"/>
      <c r="BT254" s="150"/>
      <c r="BU254" s="150"/>
      <c r="BV254" s="150"/>
      <c r="BW254" s="150"/>
      <c r="BX254" s="150"/>
      <c r="BY254" s="150"/>
      <c r="BZ254" s="150"/>
      <c r="CA254" s="150"/>
      <c r="CB254" s="150"/>
      <c r="CC254" s="150"/>
      <c r="CD254" s="150"/>
      <c r="CE254" s="150"/>
      <c r="CF254" s="150"/>
      <c r="CG254" s="150"/>
      <c r="CH254" s="150"/>
      <c r="CI254" s="150"/>
      <c r="CJ254" s="150"/>
      <c r="CK254" s="150"/>
      <c r="CL254" s="150"/>
      <c r="CM254" s="150"/>
      <c r="CN254" s="150"/>
      <c r="CO254" s="150"/>
      <c r="CP254" s="150"/>
      <c r="CQ254" s="150"/>
      <c r="CR254" s="150"/>
      <c r="CS254" s="150"/>
      <c r="CT254" s="150"/>
      <c r="CU254" s="150"/>
      <c r="CV254" s="150"/>
      <c r="CW254" s="150"/>
      <c r="CX254" s="150"/>
      <c r="CY254" s="150"/>
      <c r="CZ254" s="150"/>
      <c r="DA254" s="150"/>
      <c r="DB254" s="150"/>
      <c r="DC254" s="150"/>
      <c r="DD254" s="150"/>
      <c r="DE254" s="150"/>
      <c r="DF254" s="150"/>
      <c r="DG254" s="150"/>
      <c r="DH254" s="150"/>
      <c r="DI254" s="150"/>
      <c r="DJ254" s="150"/>
      <c r="DK254" s="150"/>
    </row>
    <row r="255" spans="1:115" s="227" customFormat="1" x14ac:dyDescent="0.25">
      <c r="A255" s="258" t="s">
        <v>6</v>
      </c>
      <c r="B255" s="258" t="s">
        <v>340</v>
      </c>
      <c r="C255" s="584" t="s">
        <v>341</v>
      </c>
      <c r="D255" s="595"/>
      <c r="E255" s="537">
        <v>173138</v>
      </c>
      <c r="F255" s="541">
        <v>200</v>
      </c>
      <c r="G255" s="541">
        <v>82</v>
      </c>
      <c r="H255" s="540">
        <f t="shared" si="33"/>
        <v>16400</v>
      </c>
      <c r="I255" s="537"/>
      <c r="J255" s="541"/>
      <c r="K255" s="541"/>
      <c r="L255" s="540">
        <f t="shared" si="34"/>
        <v>0</v>
      </c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  <c r="AN255" s="150"/>
      <c r="AO255" s="150"/>
      <c r="AP255" s="150"/>
      <c r="AQ255" s="150"/>
      <c r="AR255" s="150"/>
      <c r="AS255" s="150"/>
      <c r="AT255" s="150"/>
      <c r="AU255" s="150"/>
      <c r="AV255" s="150"/>
      <c r="AW255" s="150"/>
      <c r="AX255" s="150"/>
      <c r="AY255" s="150"/>
      <c r="AZ255" s="150"/>
      <c r="BA255" s="150"/>
      <c r="BB255" s="150"/>
      <c r="BC255" s="150"/>
      <c r="BD255" s="150"/>
      <c r="BE255" s="150"/>
      <c r="BF255" s="150"/>
      <c r="BG255" s="150"/>
      <c r="BH255" s="150"/>
      <c r="BI255" s="150"/>
      <c r="BJ255" s="150"/>
      <c r="BK255" s="150"/>
      <c r="BL255" s="150"/>
      <c r="BM255" s="150"/>
      <c r="BN255" s="150"/>
      <c r="BO255" s="150"/>
      <c r="BP255" s="150"/>
      <c r="BQ255" s="150"/>
      <c r="BR255" s="150"/>
      <c r="BS255" s="150"/>
      <c r="BT255" s="150"/>
      <c r="BU255" s="150"/>
      <c r="BV255" s="150"/>
      <c r="BW255" s="150"/>
      <c r="BX255" s="150"/>
      <c r="BY255" s="150"/>
      <c r="BZ255" s="150"/>
      <c r="CA255" s="150"/>
      <c r="CB255" s="150"/>
      <c r="CC255" s="150"/>
      <c r="CD255" s="150"/>
      <c r="CE255" s="150"/>
      <c r="CF255" s="150"/>
      <c r="CG255" s="150"/>
      <c r="CH255" s="150"/>
      <c r="CI255" s="150"/>
      <c r="CJ255" s="150"/>
      <c r="CK255" s="150"/>
      <c r="CL255" s="150"/>
      <c r="CM255" s="150"/>
      <c r="CN255" s="150"/>
      <c r="CO255" s="150"/>
      <c r="CP255" s="150"/>
      <c r="CQ255" s="150"/>
      <c r="CR255" s="150"/>
      <c r="CS255" s="150"/>
      <c r="CT255" s="150"/>
      <c r="CU255" s="150"/>
      <c r="CV255" s="150"/>
      <c r="CW255" s="150"/>
      <c r="CX255" s="150"/>
      <c r="CY255" s="150"/>
      <c r="CZ255" s="150"/>
      <c r="DA255" s="150"/>
      <c r="DB255" s="150"/>
      <c r="DC255" s="150"/>
      <c r="DD255" s="150"/>
      <c r="DE255" s="150"/>
      <c r="DF255" s="150"/>
      <c r="DG255" s="150"/>
      <c r="DH255" s="150"/>
      <c r="DI255" s="150"/>
      <c r="DJ255" s="150"/>
      <c r="DK255" s="150"/>
    </row>
    <row r="256" spans="1:115" s="227" customFormat="1" x14ac:dyDescent="0.25">
      <c r="A256" s="258"/>
      <c r="B256" s="258"/>
      <c r="C256" s="584"/>
      <c r="D256" s="595"/>
      <c r="E256" s="537"/>
      <c r="F256" s="541"/>
      <c r="G256" s="541"/>
      <c r="H256" s="540">
        <f t="shared" si="33"/>
        <v>0</v>
      </c>
      <c r="I256" s="537"/>
      <c r="J256" s="541"/>
      <c r="K256" s="541"/>
      <c r="L256" s="540">
        <f t="shared" si="34"/>
        <v>0</v>
      </c>
      <c r="M256" s="150"/>
      <c r="N256" s="150"/>
      <c r="O256" s="150"/>
      <c r="P256" s="150"/>
      <c r="Q256" s="150"/>
      <c r="R256" s="150"/>
      <c r="S256" s="150"/>
      <c r="T256" s="150"/>
      <c r="U256" s="150"/>
      <c r="V256" s="150"/>
      <c r="W256" s="150"/>
      <c r="X256" s="150"/>
      <c r="Y256" s="150"/>
      <c r="Z256" s="150"/>
      <c r="AA256" s="150"/>
      <c r="AB256" s="150"/>
      <c r="AC256" s="150"/>
      <c r="AD256" s="150"/>
      <c r="AE256" s="150"/>
      <c r="AF256" s="150"/>
      <c r="AG256" s="150"/>
      <c r="AH256" s="150"/>
      <c r="AI256" s="150"/>
      <c r="AJ256" s="150"/>
      <c r="AK256" s="150"/>
      <c r="AL256" s="150"/>
      <c r="AM256" s="150"/>
      <c r="AN256" s="150"/>
      <c r="AO256" s="150"/>
      <c r="AP256" s="150"/>
      <c r="AQ256" s="150"/>
      <c r="AR256" s="150"/>
      <c r="AS256" s="150"/>
      <c r="AT256" s="150"/>
      <c r="AU256" s="150"/>
      <c r="AV256" s="150"/>
      <c r="AW256" s="150"/>
      <c r="AX256" s="150"/>
      <c r="AY256" s="150"/>
      <c r="AZ256" s="150"/>
      <c r="BA256" s="150"/>
      <c r="BB256" s="150"/>
      <c r="BC256" s="150"/>
      <c r="BD256" s="150"/>
      <c r="BE256" s="150"/>
      <c r="BF256" s="150"/>
      <c r="BG256" s="150"/>
      <c r="BH256" s="150"/>
      <c r="BI256" s="150"/>
      <c r="BJ256" s="150"/>
      <c r="BK256" s="150"/>
      <c r="BL256" s="150"/>
      <c r="BM256" s="150"/>
      <c r="BN256" s="150"/>
      <c r="BO256" s="150"/>
      <c r="BP256" s="150"/>
      <c r="BQ256" s="150"/>
      <c r="BR256" s="150"/>
      <c r="BS256" s="150"/>
      <c r="BT256" s="150"/>
      <c r="BU256" s="150"/>
      <c r="BV256" s="150"/>
      <c r="BW256" s="150"/>
      <c r="BX256" s="150"/>
      <c r="BY256" s="150"/>
      <c r="BZ256" s="150"/>
      <c r="CA256" s="150"/>
      <c r="CB256" s="150"/>
      <c r="CC256" s="150"/>
      <c r="CD256" s="150"/>
      <c r="CE256" s="150"/>
      <c r="CF256" s="150"/>
      <c r="CG256" s="150"/>
      <c r="CH256" s="150"/>
      <c r="CI256" s="150"/>
      <c r="CJ256" s="150"/>
      <c r="CK256" s="150"/>
      <c r="CL256" s="150"/>
      <c r="CM256" s="150"/>
      <c r="CN256" s="150"/>
      <c r="CO256" s="150"/>
      <c r="CP256" s="150"/>
      <c r="CQ256" s="150"/>
      <c r="CR256" s="150"/>
      <c r="CS256" s="150"/>
      <c r="CT256" s="150"/>
      <c r="CU256" s="150"/>
      <c r="CV256" s="150"/>
      <c r="CW256" s="150"/>
      <c r="CX256" s="150"/>
      <c r="CY256" s="150"/>
      <c r="CZ256" s="150"/>
      <c r="DA256" s="150"/>
      <c r="DB256" s="150"/>
      <c r="DC256" s="150"/>
      <c r="DD256" s="150"/>
      <c r="DE256" s="150"/>
      <c r="DF256" s="150"/>
      <c r="DG256" s="150"/>
      <c r="DH256" s="150"/>
      <c r="DI256" s="150"/>
      <c r="DJ256" s="150"/>
      <c r="DK256" s="150"/>
    </row>
    <row r="257" spans="1:115" s="227" customFormat="1" x14ac:dyDescent="0.25">
      <c r="A257" s="258"/>
      <c r="B257" s="258"/>
      <c r="C257" s="584"/>
      <c r="D257" s="595"/>
      <c r="E257" s="537"/>
      <c r="F257" s="541"/>
      <c r="G257" s="541"/>
      <c r="H257" s="540">
        <f t="shared" si="33"/>
        <v>0</v>
      </c>
      <c r="I257" s="537"/>
      <c r="J257" s="541"/>
      <c r="K257" s="541"/>
      <c r="L257" s="540">
        <f t="shared" si="34"/>
        <v>0</v>
      </c>
      <c r="M257" s="150"/>
      <c r="N257" s="150"/>
      <c r="O257" s="150"/>
      <c r="P257" s="150"/>
      <c r="Q257" s="150"/>
      <c r="R257" s="150"/>
      <c r="S257" s="150"/>
      <c r="T257" s="150"/>
      <c r="U257" s="150"/>
      <c r="V257" s="150"/>
      <c r="W257" s="150"/>
      <c r="X257" s="150"/>
      <c r="Y257" s="150"/>
      <c r="Z257" s="150"/>
      <c r="AA257" s="150"/>
      <c r="AB257" s="150"/>
      <c r="AC257" s="150"/>
      <c r="AD257" s="150"/>
      <c r="AE257" s="150"/>
      <c r="AF257" s="150"/>
      <c r="AG257" s="150"/>
      <c r="AH257" s="150"/>
      <c r="AI257" s="150"/>
      <c r="AJ257" s="150"/>
      <c r="AK257" s="150"/>
      <c r="AL257" s="150"/>
      <c r="AM257" s="150"/>
      <c r="AN257" s="150"/>
      <c r="AO257" s="150"/>
      <c r="AP257" s="150"/>
      <c r="AQ257" s="150"/>
      <c r="AR257" s="150"/>
      <c r="AS257" s="150"/>
      <c r="AT257" s="150"/>
      <c r="AU257" s="150"/>
      <c r="AV257" s="150"/>
      <c r="AW257" s="150"/>
      <c r="AX257" s="150"/>
      <c r="AY257" s="150"/>
      <c r="AZ257" s="150"/>
      <c r="BA257" s="150"/>
      <c r="BB257" s="150"/>
      <c r="BC257" s="150"/>
      <c r="BD257" s="150"/>
      <c r="BE257" s="150"/>
      <c r="BF257" s="150"/>
      <c r="BG257" s="150"/>
      <c r="BH257" s="150"/>
      <c r="BI257" s="150"/>
      <c r="BJ257" s="150"/>
      <c r="BK257" s="150"/>
      <c r="BL257" s="150"/>
      <c r="BM257" s="150"/>
      <c r="BN257" s="150"/>
      <c r="BO257" s="150"/>
      <c r="BP257" s="150"/>
      <c r="BQ257" s="150"/>
      <c r="BR257" s="150"/>
      <c r="BS257" s="150"/>
      <c r="BT257" s="150"/>
      <c r="BU257" s="150"/>
      <c r="BV257" s="150"/>
      <c r="BW257" s="150"/>
      <c r="BX257" s="150"/>
      <c r="BY257" s="150"/>
      <c r="BZ257" s="150"/>
      <c r="CA257" s="150"/>
      <c r="CB257" s="150"/>
      <c r="CC257" s="150"/>
      <c r="CD257" s="150"/>
      <c r="CE257" s="150"/>
      <c r="CF257" s="150"/>
      <c r="CG257" s="150"/>
      <c r="CH257" s="150"/>
      <c r="CI257" s="150"/>
      <c r="CJ257" s="150"/>
      <c r="CK257" s="150"/>
      <c r="CL257" s="150"/>
      <c r="CM257" s="150"/>
      <c r="CN257" s="150"/>
      <c r="CO257" s="150"/>
      <c r="CP257" s="150"/>
      <c r="CQ257" s="150"/>
      <c r="CR257" s="150"/>
      <c r="CS257" s="150"/>
      <c r="CT257" s="150"/>
      <c r="CU257" s="150"/>
      <c r="CV257" s="150"/>
      <c r="CW257" s="150"/>
      <c r="CX257" s="150"/>
      <c r="CY257" s="150"/>
      <c r="CZ257" s="150"/>
      <c r="DA257" s="150"/>
      <c r="DB257" s="150"/>
      <c r="DC257" s="150"/>
      <c r="DD257" s="150"/>
      <c r="DE257" s="150"/>
      <c r="DF257" s="150"/>
      <c r="DG257" s="150"/>
      <c r="DH257" s="150"/>
      <c r="DI257" s="150"/>
      <c r="DJ257" s="150"/>
      <c r="DK257" s="150"/>
    </row>
    <row r="258" spans="1:115" s="227" customFormat="1" x14ac:dyDescent="0.25">
      <c r="A258" s="258"/>
      <c r="B258" s="258"/>
      <c r="C258" s="584"/>
      <c r="D258" s="595"/>
      <c r="E258" s="537"/>
      <c r="F258" s="541"/>
      <c r="G258" s="541"/>
      <c r="H258" s="540">
        <f t="shared" si="33"/>
        <v>0</v>
      </c>
      <c r="I258" s="537"/>
      <c r="J258" s="541"/>
      <c r="K258" s="541"/>
      <c r="L258" s="540">
        <f t="shared" si="34"/>
        <v>0</v>
      </c>
      <c r="M258" s="236"/>
      <c r="N258" s="150"/>
      <c r="O258" s="150"/>
      <c r="P258" s="150"/>
      <c r="Q258" s="150"/>
      <c r="R258" s="150"/>
      <c r="S258" s="150"/>
      <c r="T258" s="150"/>
      <c r="U258" s="150"/>
      <c r="V258" s="150"/>
      <c r="W258" s="150"/>
      <c r="X258" s="150"/>
      <c r="Y258" s="150"/>
      <c r="Z258" s="150"/>
      <c r="AA258" s="150"/>
      <c r="AB258" s="150"/>
      <c r="AC258" s="150"/>
      <c r="AD258" s="150"/>
      <c r="AE258" s="150"/>
      <c r="AF258" s="150"/>
      <c r="AG258" s="150"/>
      <c r="AH258" s="150"/>
      <c r="AI258" s="150"/>
      <c r="AJ258" s="150"/>
      <c r="AK258" s="150"/>
      <c r="AL258" s="150"/>
      <c r="AM258" s="150"/>
      <c r="AN258" s="150"/>
      <c r="AO258" s="150"/>
      <c r="AP258" s="150"/>
      <c r="AQ258" s="150"/>
      <c r="AR258" s="150"/>
      <c r="AS258" s="150"/>
      <c r="AT258" s="150"/>
      <c r="AU258" s="150"/>
      <c r="AV258" s="150"/>
      <c r="AW258" s="150"/>
      <c r="AX258" s="150"/>
      <c r="AY258" s="150"/>
      <c r="AZ258" s="150"/>
      <c r="BA258" s="150"/>
      <c r="BB258" s="150"/>
      <c r="BC258" s="150"/>
      <c r="BD258" s="150"/>
      <c r="BE258" s="150"/>
      <c r="BF258" s="150"/>
      <c r="BG258" s="150"/>
      <c r="BH258" s="150"/>
      <c r="BI258" s="150"/>
      <c r="BJ258" s="150"/>
      <c r="BK258" s="150"/>
      <c r="BL258" s="150"/>
      <c r="BM258" s="150"/>
      <c r="BN258" s="150"/>
      <c r="BO258" s="150"/>
      <c r="BP258" s="150"/>
      <c r="BQ258" s="150"/>
      <c r="BR258" s="150"/>
      <c r="BS258" s="150"/>
      <c r="BT258" s="150"/>
      <c r="BU258" s="150"/>
      <c r="BV258" s="150"/>
      <c r="BW258" s="150"/>
      <c r="BX258" s="150"/>
      <c r="BY258" s="150"/>
      <c r="BZ258" s="150"/>
      <c r="CA258" s="150"/>
      <c r="CB258" s="150"/>
      <c r="CC258" s="150"/>
      <c r="CD258" s="150"/>
      <c r="CE258" s="150"/>
      <c r="CF258" s="150"/>
      <c r="CG258" s="150"/>
      <c r="CH258" s="150"/>
      <c r="CI258" s="150"/>
      <c r="CJ258" s="150"/>
      <c r="CK258" s="150"/>
      <c r="CL258" s="150"/>
      <c r="CM258" s="150"/>
      <c r="CN258" s="150"/>
      <c r="CO258" s="150"/>
      <c r="CP258" s="150"/>
      <c r="CQ258" s="150"/>
      <c r="CR258" s="150"/>
      <c r="CS258" s="150"/>
      <c r="CT258" s="150"/>
      <c r="CU258" s="150"/>
      <c r="CV258" s="150"/>
      <c r="CW258" s="150"/>
      <c r="CX258" s="150"/>
      <c r="CY258" s="150"/>
      <c r="CZ258" s="150"/>
      <c r="DA258" s="150"/>
      <c r="DB258" s="150"/>
      <c r="DC258" s="150"/>
      <c r="DD258" s="150"/>
      <c r="DE258" s="150"/>
      <c r="DF258" s="150"/>
      <c r="DG258" s="150"/>
      <c r="DH258" s="150"/>
      <c r="DI258" s="150"/>
      <c r="DJ258" s="150"/>
      <c r="DK258" s="150"/>
    </row>
    <row r="259" spans="1:115" s="227" customFormat="1" x14ac:dyDescent="0.25">
      <c r="A259" s="258"/>
      <c r="B259" s="258"/>
      <c r="C259" s="584"/>
      <c r="D259" s="595"/>
      <c r="E259" s="537"/>
      <c r="F259" s="541"/>
      <c r="G259" s="541"/>
      <c r="H259" s="540">
        <f t="shared" si="33"/>
        <v>0</v>
      </c>
      <c r="I259" s="537"/>
      <c r="J259" s="541"/>
      <c r="K259" s="541"/>
      <c r="L259" s="540">
        <f t="shared" si="34"/>
        <v>0</v>
      </c>
      <c r="M259" s="150"/>
      <c r="N259" s="150"/>
      <c r="O259" s="150"/>
      <c r="P259" s="150"/>
      <c r="Q259" s="150"/>
      <c r="R259" s="150"/>
      <c r="S259" s="150"/>
      <c r="T259" s="150"/>
      <c r="U259" s="150"/>
      <c r="V259" s="150"/>
      <c r="W259" s="150"/>
      <c r="X259" s="150"/>
      <c r="Y259" s="150"/>
      <c r="Z259" s="150"/>
      <c r="AA259" s="150"/>
      <c r="AB259" s="150"/>
      <c r="AC259" s="150"/>
      <c r="AD259" s="150"/>
      <c r="AE259" s="150"/>
      <c r="AF259" s="150"/>
      <c r="AG259" s="150"/>
      <c r="AH259" s="150"/>
      <c r="AI259" s="150"/>
      <c r="AJ259" s="150"/>
      <c r="AK259" s="150"/>
      <c r="AL259" s="150"/>
      <c r="AM259" s="150"/>
      <c r="AN259" s="150"/>
      <c r="AO259" s="150"/>
      <c r="AP259" s="150"/>
      <c r="AQ259" s="150"/>
      <c r="AR259" s="150"/>
      <c r="AS259" s="150"/>
      <c r="AT259" s="150"/>
      <c r="AU259" s="150"/>
      <c r="AV259" s="150"/>
      <c r="AW259" s="150"/>
      <c r="AX259" s="150"/>
      <c r="AY259" s="150"/>
      <c r="AZ259" s="150"/>
      <c r="BA259" s="150"/>
      <c r="BB259" s="150"/>
      <c r="BC259" s="150"/>
      <c r="BD259" s="150"/>
      <c r="BE259" s="150"/>
      <c r="BF259" s="150"/>
      <c r="BG259" s="150"/>
      <c r="BH259" s="150"/>
      <c r="BI259" s="150"/>
      <c r="BJ259" s="150"/>
      <c r="BK259" s="150"/>
      <c r="BL259" s="150"/>
      <c r="BM259" s="150"/>
      <c r="BN259" s="150"/>
      <c r="BO259" s="150"/>
      <c r="BP259" s="150"/>
      <c r="BQ259" s="150"/>
      <c r="BR259" s="150"/>
      <c r="BS259" s="150"/>
      <c r="BT259" s="150"/>
      <c r="BU259" s="150"/>
      <c r="BV259" s="150"/>
      <c r="BW259" s="150"/>
      <c r="BX259" s="150"/>
      <c r="BY259" s="150"/>
      <c r="BZ259" s="150"/>
      <c r="CA259" s="150"/>
      <c r="CB259" s="150"/>
      <c r="CC259" s="150"/>
      <c r="CD259" s="150"/>
      <c r="CE259" s="150"/>
      <c r="CF259" s="150"/>
      <c r="CG259" s="150"/>
      <c r="CH259" s="150"/>
      <c r="CI259" s="150"/>
      <c r="CJ259" s="150"/>
      <c r="CK259" s="150"/>
      <c r="CL259" s="150"/>
      <c r="CM259" s="150"/>
      <c r="CN259" s="150"/>
      <c r="CO259" s="150"/>
      <c r="CP259" s="150"/>
      <c r="CQ259" s="150"/>
      <c r="CR259" s="150"/>
      <c r="CS259" s="150"/>
      <c r="CT259" s="150"/>
      <c r="CU259" s="150"/>
      <c r="CV259" s="150"/>
      <c r="CW259" s="150"/>
      <c r="CX259" s="150"/>
      <c r="CY259" s="150"/>
      <c r="CZ259" s="150"/>
      <c r="DA259" s="150"/>
      <c r="DB259" s="150"/>
      <c r="DC259" s="150"/>
      <c r="DD259" s="150"/>
      <c r="DE259" s="150"/>
      <c r="DF259" s="150"/>
      <c r="DG259" s="150"/>
      <c r="DH259" s="150"/>
      <c r="DI259" s="150"/>
      <c r="DJ259" s="150"/>
      <c r="DK259" s="150"/>
    </row>
    <row r="260" spans="1:115" s="227" customFormat="1" x14ac:dyDescent="0.25">
      <c r="A260" s="258"/>
      <c r="B260" s="258"/>
      <c r="C260" s="584"/>
      <c r="D260" s="595"/>
      <c r="E260" s="537"/>
      <c r="F260" s="541"/>
      <c r="G260" s="541"/>
      <c r="H260" s="540">
        <f t="shared" si="33"/>
        <v>0</v>
      </c>
      <c r="I260" s="537"/>
      <c r="J260" s="541"/>
      <c r="K260" s="541"/>
      <c r="L260" s="540">
        <f t="shared" si="34"/>
        <v>0</v>
      </c>
      <c r="M260" s="150"/>
      <c r="N260" s="150"/>
      <c r="O260" s="150"/>
      <c r="P260" s="150"/>
      <c r="Q260" s="150"/>
      <c r="R260" s="150"/>
      <c r="S260" s="150"/>
      <c r="T260" s="150"/>
      <c r="U260" s="150"/>
      <c r="V260" s="150"/>
      <c r="W260" s="150"/>
      <c r="X260" s="150"/>
      <c r="Y260" s="150"/>
      <c r="Z260" s="150"/>
      <c r="AA260" s="150"/>
      <c r="AB260" s="150"/>
      <c r="AC260" s="150"/>
      <c r="AD260" s="150"/>
      <c r="AE260" s="150"/>
      <c r="AF260" s="150"/>
      <c r="AG260" s="150"/>
      <c r="AH260" s="150"/>
      <c r="AI260" s="150"/>
      <c r="AJ260" s="150"/>
      <c r="AK260" s="150"/>
      <c r="AL260" s="150"/>
      <c r="AM260" s="150"/>
      <c r="AN260" s="150"/>
      <c r="AO260" s="150"/>
      <c r="AP260" s="150"/>
      <c r="AQ260" s="150"/>
      <c r="AR260" s="150"/>
      <c r="AS260" s="150"/>
      <c r="AT260" s="150"/>
      <c r="AU260" s="150"/>
      <c r="AV260" s="150"/>
      <c r="AW260" s="150"/>
      <c r="AX260" s="150"/>
      <c r="AY260" s="150"/>
      <c r="AZ260" s="150"/>
      <c r="BA260" s="150"/>
      <c r="BB260" s="150"/>
      <c r="BC260" s="150"/>
      <c r="BD260" s="150"/>
      <c r="BE260" s="150"/>
      <c r="BF260" s="150"/>
      <c r="BG260" s="150"/>
      <c r="BH260" s="150"/>
      <c r="BI260" s="150"/>
      <c r="BJ260" s="150"/>
      <c r="BK260" s="150"/>
      <c r="BL260" s="150"/>
      <c r="BM260" s="150"/>
      <c r="BN260" s="150"/>
      <c r="BO260" s="150"/>
      <c r="BP260" s="150"/>
      <c r="BQ260" s="150"/>
      <c r="BR260" s="150"/>
      <c r="BS260" s="150"/>
      <c r="BT260" s="150"/>
      <c r="BU260" s="150"/>
      <c r="BV260" s="150"/>
      <c r="BW260" s="150"/>
      <c r="BX260" s="150"/>
      <c r="BY260" s="150"/>
      <c r="BZ260" s="150"/>
      <c r="CA260" s="150"/>
      <c r="CB260" s="150"/>
      <c r="CC260" s="150"/>
      <c r="CD260" s="150"/>
      <c r="CE260" s="150"/>
      <c r="CF260" s="150"/>
      <c r="CG260" s="150"/>
      <c r="CH260" s="150"/>
      <c r="CI260" s="150"/>
      <c r="CJ260" s="150"/>
      <c r="CK260" s="150"/>
      <c r="CL260" s="150"/>
      <c r="CM260" s="150"/>
      <c r="CN260" s="150"/>
      <c r="CO260" s="150"/>
      <c r="CP260" s="150"/>
      <c r="CQ260" s="150"/>
      <c r="CR260" s="150"/>
      <c r="CS260" s="150"/>
      <c r="CT260" s="150"/>
      <c r="CU260" s="150"/>
      <c r="CV260" s="150"/>
      <c r="CW260" s="150"/>
      <c r="CX260" s="150"/>
      <c r="CY260" s="150"/>
      <c r="CZ260" s="150"/>
      <c r="DA260" s="150"/>
      <c r="DB260" s="150"/>
      <c r="DC260" s="150"/>
      <c r="DD260" s="150"/>
      <c r="DE260" s="150"/>
      <c r="DF260" s="150"/>
      <c r="DG260" s="150"/>
      <c r="DH260" s="150"/>
      <c r="DI260" s="150"/>
      <c r="DJ260" s="150"/>
      <c r="DK260" s="150"/>
    </row>
    <row r="261" spans="1:115" s="617" customFormat="1" x14ac:dyDescent="0.25">
      <c r="A261" s="610"/>
      <c r="B261" s="610"/>
      <c r="C261" s="631"/>
      <c r="D261" s="612"/>
      <c r="E261" s="613"/>
      <c r="F261" s="615"/>
      <c r="G261" s="615"/>
      <c r="H261" s="630">
        <f t="shared" si="33"/>
        <v>0</v>
      </c>
      <c r="I261" s="613"/>
      <c r="J261" s="615"/>
      <c r="K261" s="615"/>
      <c r="L261" s="630">
        <f t="shared" si="34"/>
        <v>0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</row>
    <row r="262" spans="1:115" x14ac:dyDescent="0.25">
      <c r="A262" s="258"/>
      <c r="B262" s="258"/>
      <c r="C262" s="584"/>
      <c r="D262" s="596"/>
      <c r="E262" s="534"/>
      <c r="F262" s="262"/>
      <c r="G262" s="535"/>
      <c r="H262" s="536">
        <f t="shared" si="33"/>
        <v>0</v>
      </c>
      <c r="I262" s="534"/>
      <c r="J262" s="262"/>
      <c r="K262" s="535"/>
      <c r="L262" s="536">
        <f t="shared" si="34"/>
        <v>0</v>
      </c>
    </row>
    <row r="263" spans="1:115" x14ac:dyDescent="0.25">
      <c r="A263" s="258"/>
      <c r="B263" s="258"/>
      <c r="C263" s="584"/>
      <c r="D263" s="596"/>
      <c r="E263" s="534"/>
      <c r="F263" s="262"/>
      <c r="G263" s="535"/>
      <c r="H263" s="536">
        <f t="shared" si="33"/>
        <v>0</v>
      </c>
      <c r="I263" s="534"/>
      <c r="J263" s="262"/>
      <c r="K263" s="535"/>
      <c r="L263" s="536">
        <f t="shared" si="34"/>
        <v>0</v>
      </c>
    </row>
    <row r="264" spans="1:115" x14ac:dyDescent="0.25">
      <c r="A264" s="258"/>
      <c r="B264" s="258"/>
      <c r="C264" s="584"/>
      <c r="D264" s="596"/>
      <c r="E264" s="534"/>
      <c r="F264" s="262"/>
      <c r="G264" s="535"/>
      <c r="H264" s="536">
        <f t="shared" si="33"/>
        <v>0</v>
      </c>
      <c r="I264" s="534"/>
      <c r="J264" s="262"/>
      <c r="K264" s="535"/>
      <c r="L264" s="536">
        <f t="shared" si="34"/>
        <v>0</v>
      </c>
    </row>
    <row r="265" spans="1:115" x14ac:dyDescent="0.25">
      <c r="A265" s="258"/>
      <c r="B265" s="258"/>
      <c r="C265" s="584"/>
      <c r="D265" s="596"/>
      <c r="E265" s="534"/>
      <c r="F265" s="262"/>
      <c r="G265" s="535"/>
      <c r="H265" s="536">
        <f t="shared" si="33"/>
        <v>0</v>
      </c>
      <c r="I265" s="534"/>
      <c r="J265" s="262"/>
      <c r="K265" s="535"/>
      <c r="L265" s="536">
        <f t="shared" si="34"/>
        <v>0</v>
      </c>
    </row>
    <row r="266" spans="1:115" x14ac:dyDescent="0.25">
      <c r="A266" s="261"/>
      <c r="B266" s="261"/>
      <c r="C266" s="587"/>
      <c r="D266" s="558"/>
      <c r="E266" s="534"/>
      <c r="F266" s="253"/>
      <c r="G266" s="535"/>
      <c r="H266" s="536">
        <f t="shared" si="33"/>
        <v>0</v>
      </c>
      <c r="I266" s="534"/>
      <c r="J266" s="253"/>
      <c r="K266" s="535"/>
      <c r="L266" s="536">
        <f t="shared" si="34"/>
        <v>0</v>
      </c>
    </row>
    <row r="267" spans="1:115" x14ac:dyDescent="0.25">
      <c r="A267" s="258"/>
      <c r="B267" s="258"/>
      <c r="C267" s="584"/>
      <c r="D267" s="559" t="s">
        <v>0</v>
      </c>
      <c r="E267" s="534"/>
      <c r="F267" s="542">
        <f>SUM(F251:F266)</f>
        <v>1500</v>
      </c>
      <c r="G267" s="543">
        <f>H267/F267</f>
        <v>81.973333333333329</v>
      </c>
      <c r="H267" s="544">
        <f>SUM(H251:H266)</f>
        <v>122960</v>
      </c>
      <c r="I267" s="534"/>
      <c r="J267" s="542">
        <f>SUM(J251:J266)</f>
        <v>0</v>
      </c>
      <c r="K267" s="543" t="e">
        <f>L267/J267</f>
        <v>#DIV/0!</v>
      </c>
      <c r="L267" s="544">
        <f>SUM(L251:L266)</f>
        <v>0</v>
      </c>
    </row>
    <row r="268" spans="1:115" x14ac:dyDescent="0.25">
      <c r="A268" s="545"/>
      <c r="B268" s="545"/>
      <c r="C268" s="586"/>
      <c r="D268" s="561"/>
      <c r="E268" s="546"/>
      <c r="F268" s="546"/>
      <c r="G268" s="547"/>
      <c r="H268" s="548"/>
      <c r="I268" s="546"/>
      <c r="J268" s="546"/>
      <c r="K268" s="547"/>
      <c r="L268" s="548"/>
    </row>
    <row r="269" spans="1:115" x14ac:dyDescent="0.25">
      <c r="A269" s="258"/>
      <c r="B269" s="258"/>
      <c r="C269" s="584"/>
      <c r="D269" s="558"/>
      <c r="E269" s="534"/>
      <c r="F269" s="253"/>
      <c r="G269" s="535"/>
      <c r="H269" s="536">
        <f t="shared" ref="H269:H284" si="35">F269*G269</f>
        <v>0</v>
      </c>
      <c r="I269" s="534"/>
      <c r="J269" s="253"/>
      <c r="K269" s="535"/>
      <c r="L269" s="536">
        <f t="shared" ref="L269:L284" si="36">J269*K269</f>
        <v>0</v>
      </c>
    </row>
    <row r="270" spans="1:115" x14ac:dyDescent="0.25">
      <c r="A270" s="258"/>
      <c r="B270" s="258"/>
      <c r="C270" s="585"/>
      <c r="D270" s="559">
        <f>D252+1</f>
        <v>45641</v>
      </c>
      <c r="E270" s="534"/>
      <c r="F270" s="253"/>
      <c r="G270" s="541"/>
      <c r="H270" s="536">
        <f t="shared" si="35"/>
        <v>0</v>
      </c>
      <c r="I270" s="534"/>
      <c r="J270" s="253"/>
      <c r="K270" s="541"/>
      <c r="L270" s="536">
        <f t="shared" si="36"/>
        <v>0</v>
      </c>
    </row>
    <row r="271" spans="1:115" s="227" customFormat="1" x14ac:dyDescent="0.25">
      <c r="A271" s="258" t="s">
        <v>6</v>
      </c>
      <c r="B271" s="258" t="s">
        <v>340</v>
      </c>
      <c r="C271" s="584" t="s">
        <v>341</v>
      </c>
      <c r="D271" s="595"/>
      <c r="E271" s="537" t="s">
        <v>383</v>
      </c>
      <c r="F271" s="541">
        <v>300</v>
      </c>
      <c r="G271" s="541">
        <v>82.2</v>
      </c>
      <c r="H271" s="540">
        <f t="shared" si="35"/>
        <v>24660</v>
      </c>
      <c r="I271" s="537"/>
      <c r="J271" s="541"/>
      <c r="K271" s="541"/>
      <c r="L271" s="540">
        <f t="shared" si="36"/>
        <v>0</v>
      </c>
      <c r="M271" s="150"/>
      <c r="N271" s="150"/>
      <c r="O271" s="150"/>
      <c r="P271" s="150"/>
      <c r="Q271" s="150"/>
      <c r="R271" s="150"/>
      <c r="S271" s="150"/>
      <c r="T271" s="150"/>
      <c r="U271" s="150"/>
      <c r="V271" s="150"/>
      <c r="W271" s="150"/>
      <c r="X271" s="150"/>
      <c r="Y271" s="150"/>
      <c r="Z271" s="150"/>
      <c r="AA271" s="150"/>
      <c r="AB271" s="150"/>
      <c r="AC271" s="150"/>
      <c r="AD271" s="150"/>
      <c r="AE271" s="150"/>
      <c r="AF271" s="150"/>
      <c r="AG271" s="150"/>
      <c r="AH271" s="150"/>
      <c r="AI271" s="150"/>
      <c r="AJ271" s="150"/>
      <c r="AK271" s="150"/>
      <c r="AL271" s="150"/>
      <c r="AM271" s="150"/>
      <c r="AN271" s="150"/>
      <c r="AO271" s="150"/>
      <c r="AP271" s="150"/>
      <c r="AQ271" s="150"/>
      <c r="AR271" s="150"/>
      <c r="AS271" s="150"/>
      <c r="AT271" s="150"/>
      <c r="AU271" s="150"/>
      <c r="AV271" s="150"/>
      <c r="AW271" s="150"/>
      <c r="AX271" s="150"/>
      <c r="AY271" s="150"/>
      <c r="AZ271" s="150"/>
      <c r="BA271" s="150"/>
      <c r="BB271" s="150"/>
      <c r="BC271" s="150"/>
      <c r="BD271" s="150"/>
      <c r="BE271" s="150"/>
      <c r="BF271" s="150"/>
      <c r="BG271" s="150"/>
      <c r="BH271" s="150"/>
      <c r="BI271" s="150"/>
      <c r="BJ271" s="150"/>
      <c r="BK271" s="150"/>
      <c r="BL271" s="150"/>
      <c r="BM271" s="150"/>
      <c r="BN271" s="150"/>
      <c r="BO271" s="150"/>
      <c r="BP271" s="150"/>
      <c r="BQ271" s="150"/>
      <c r="BR271" s="150"/>
      <c r="BS271" s="150"/>
      <c r="BT271" s="150"/>
      <c r="BU271" s="150"/>
      <c r="BV271" s="150"/>
      <c r="BW271" s="150"/>
      <c r="BX271" s="150"/>
      <c r="BY271" s="150"/>
      <c r="BZ271" s="150"/>
      <c r="CA271" s="150"/>
      <c r="CB271" s="150"/>
      <c r="CC271" s="150"/>
      <c r="CD271" s="150"/>
      <c r="CE271" s="150"/>
      <c r="CF271" s="150"/>
      <c r="CG271" s="150"/>
      <c r="CH271" s="150"/>
      <c r="CI271" s="150"/>
      <c r="CJ271" s="150"/>
      <c r="CK271" s="150"/>
      <c r="CL271" s="150"/>
      <c r="CM271" s="150"/>
      <c r="CN271" s="150"/>
      <c r="CO271" s="150"/>
      <c r="CP271" s="150"/>
      <c r="CQ271" s="150"/>
      <c r="CR271" s="150"/>
      <c r="CS271" s="150"/>
      <c r="CT271" s="150"/>
      <c r="CU271" s="150"/>
      <c r="CV271" s="150"/>
      <c r="CW271" s="150"/>
      <c r="CX271" s="150"/>
      <c r="CY271" s="150"/>
      <c r="CZ271" s="150"/>
      <c r="DA271" s="150"/>
      <c r="DB271" s="150"/>
      <c r="DC271" s="150"/>
      <c r="DD271" s="150"/>
      <c r="DE271" s="150"/>
      <c r="DF271" s="150"/>
      <c r="DG271" s="150"/>
      <c r="DH271" s="150"/>
      <c r="DI271" s="150"/>
      <c r="DJ271" s="150"/>
      <c r="DK271" s="150"/>
    </row>
    <row r="272" spans="1:115" s="227" customFormat="1" ht="30" x14ac:dyDescent="0.25">
      <c r="A272" s="258" t="s">
        <v>6</v>
      </c>
      <c r="B272" s="258" t="s">
        <v>340</v>
      </c>
      <c r="C272" s="584" t="s">
        <v>351</v>
      </c>
      <c r="D272" s="595"/>
      <c r="E272" s="537" t="s">
        <v>384</v>
      </c>
      <c r="F272" s="541">
        <v>500</v>
      </c>
      <c r="G272" s="541">
        <v>82.1</v>
      </c>
      <c r="H272" s="540">
        <f t="shared" si="35"/>
        <v>41050</v>
      </c>
      <c r="I272" s="537"/>
      <c r="J272" s="541"/>
      <c r="K272" s="541"/>
      <c r="L272" s="540">
        <f t="shared" si="36"/>
        <v>0</v>
      </c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  <c r="AK272" s="150"/>
      <c r="AL272" s="150"/>
      <c r="AM272" s="150"/>
      <c r="AN272" s="150"/>
      <c r="AO272" s="150"/>
      <c r="AP272" s="150"/>
      <c r="AQ272" s="150"/>
      <c r="AR272" s="150"/>
      <c r="AS272" s="150"/>
      <c r="AT272" s="150"/>
      <c r="AU272" s="150"/>
      <c r="AV272" s="150"/>
      <c r="AW272" s="150"/>
      <c r="AX272" s="150"/>
      <c r="AY272" s="150"/>
      <c r="AZ272" s="150"/>
      <c r="BA272" s="150"/>
      <c r="BB272" s="150"/>
      <c r="BC272" s="150"/>
      <c r="BD272" s="150"/>
      <c r="BE272" s="150"/>
      <c r="BF272" s="150"/>
      <c r="BG272" s="150"/>
      <c r="BH272" s="150"/>
      <c r="BI272" s="150"/>
      <c r="BJ272" s="150"/>
      <c r="BK272" s="150"/>
      <c r="BL272" s="150"/>
      <c r="BM272" s="150"/>
      <c r="BN272" s="150"/>
      <c r="BO272" s="150"/>
      <c r="BP272" s="150"/>
      <c r="BQ272" s="150"/>
      <c r="BR272" s="150"/>
      <c r="BS272" s="150"/>
      <c r="BT272" s="150"/>
      <c r="BU272" s="150"/>
      <c r="BV272" s="150"/>
      <c r="BW272" s="150"/>
      <c r="BX272" s="150"/>
      <c r="BY272" s="150"/>
      <c r="BZ272" s="150"/>
      <c r="CA272" s="150"/>
      <c r="CB272" s="150"/>
      <c r="CC272" s="150"/>
      <c r="CD272" s="150"/>
      <c r="CE272" s="150"/>
      <c r="CF272" s="150"/>
      <c r="CG272" s="150"/>
      <c r="CH272" s="150"/>
      <c r="CI272" s="150"/>
      <c r="CJ272" s="150"/>
      <c r="CK272" s="150"/>
      <c r="CL272" s="150"/>
      <c r="CM272" s="150"/>
      <c r="CN272" s="150"/>
      <c r="CO272" s="150"/>
      <c r="CP272" s="150"/>
      <c r="CQ272" s="150"/>
      <c r="CR272" s="150"/>
      <c r="CS272" s="150"/>
      <c r="CT272" s="150"/>
      <c r="CU272" s="150"/>
      <c r="CV272" s="150"/>
      <c r="CW272" s="150"/>
      <c r="CX272" s="150"/>
      <c r="CY272" s="150"/>
      <c r="CZ272" s="150"/>
      <c r="DA272" s="150"/>
      <c r="DB272" s="150"/>
      <c r="DC272" s="150"/>
      <c r="DD272" s="150"/>
      <c r="DE272" s="150"/>
      <c r="DF272" s="150"/>
      <c r="DG272" s="150"/>
      <c r="DH272" s="150"/>
      <c r="DI272" s="150"/>
      <c r="DJ272" s="150"/>
      <c r="DK272" s="150"/>
    </row>
    <row r="273" spans="1:115" s="227" customFormat="1" x14ac:dyDescent="0.25">
      <c r="A273" s="258" t="s">
        <v>6</v>
      </c>
      <c r="B273" s="258" t="s">
        <v>340</v>
      </c>
      <c r="C273" s="584" t="s">
        <v>365</v>
      </c>
      <c r="D273" s="595"/>
      <c r="E273" s="537" t="s">
        <v>385</v>
      </c>
      <c r="F273" s="541">
        <v>500</v>
      </c>
      <c r="G273" s="541">
        <v>81.7</v>
      </c>
      <c r="H273" s="540">
        <f t="shared" si="35"/>
        <v>40850</v>
      </c>
      <c r="I273" s="537"/>
      <c r="J273" s="541"/>
      <c r="K273" s="541"/>
      <c r="L273" s="540">
        <f t="shared" si="36"/>
        <v>0</v>
      </c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150"/>
      <c r="AQ273" s="150"/>
      <c r="AR273" s="150"/>
      <c r="AS273" s="150"/>
      <c r="AT273" s="150"/>
      <c r="AU273" s="150"/>
      <c r="AV273" s="150"/>
      <c r="AW273" s="150"/>
      <c r="AX273" s="150"/>
      <c r="AY273" s="150"/>
      <c r="AZ273" s="150"/>
      <c r="BA273" s="150"/>
      <c r="BB273" s="150"/>
      <c r="BC273" s="150"/>
      <c r="BD273" s="150"/>
      <c r="BE273" s="150"/>
      <c r="BF273" s="150"/>
      <c r="BG273" s="150"/>
      <c r="BH273" s="150"/>
      <c r="BI273" s="150"/>
      <c r="BJ273" s="150"/>
      <c r="BK273" s="150"/>
      <c r="BL273" s="150"/>
      <c r="BM273" s="150"/>
      <c r="BN273" s="150"/>
      <c r="BO273" s="150"/>
      <c r="BP273" s="150"/>
      <c r="BQ273" s="150"/>
      <c r="BR273" s="150"/>
      <c r="BS273" s="150"/>
      <c r="BT273" s="150"/>
      <c r="BU273" s="150"/>
      <c r="BV273" s="150"/>
      <c r="BW273" s="150"/>
      <c r="BX273" s="150"/>
      <c r="BY273" s="150"/>
      <c r="BZ273" s="150"/>
      <c r="CA273" s="150"/>
      <c r="CB273" s="150"/>
      <c r="CC273" s="150"/>
      <c r="CD273" s="150"/>
      <c r="CE273" s="150"/>
      <c r="CF273" s="150"/>
      <c r="CG273" s="150"/>
      <c r="CH273" s="150"/>
      <c r="CI273" s="150"/>
      <c r="CJ273" s="150"/>
      <c r="CK273" s="150"/>
      <c r="CL273" s="150"/>
      <c r="CM273" s="150"/>
      <c r="CN273" s="150"/>
      <c r="CO273" s="150"/>
      <c r="CP273" s="150"/>
      <c r="CQ273" s="150"/>
      <c r="CR273" s="150"/>
      <c r="CS273" s="150"/>
      <c r="CT273" s="150"/>
      <c r="CU273" s="150"/>
      <c r="CV273" s="150"/>
      <c r="CW273" s="150"/>
      <c r="CX273" s="150"/>
      <c r="CY273" s="150"/>
      <c r="CZ273" s="150"/>
      <c r="DA273" s="150"/>
      <c r="DB273" s="150"/>
      <c r="DC273" s="150"/>
      <c r="DD273" s="150"/>
      <c r="DE273" s="150"/>
      <c r="DF273" s="150"/>
      <c r="DG273" s="150"/>
      <c r="DH273" s="150"/>
      <c r="DI273" s="150"/>
      <c r="DJ273" s="150"/>
      <c r="DK273" s="150"/>
    </row>
    <row r="274" spans="1:115" s="227" customFormat="1" x14ac:dyDescent="0.25">
      <c r="A274" s="258" t="s">
        <v>6</v>
      </c>
      <c r="B274" s="258" t="s">
        <v>340</v>
      </c>
      <c r="C274" s="584" t="s">
        <v>341</v>
      </c>
      <c r="D274" s="595"/>
      <c r="E274" s="537" t="s">
        <v>386</v>
      </c>
      <c r="F274" s="541">
        <v>200</v>
      </c>
      <c r="G274" s="541">
        <v>82</v>
      </c>
      <c r="H274" s="540">
        <f t="shared" si="35"/>
        <v>16400</v>
      </c>
      <c r="I274" s="537"/>
      <c r="J274" s="541"/>
      <c r="K274" s="541"/>
      <c r="L274" s="540">
        <f t="shared" si="36"/>
        <v>0</v>
      </c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  <c r="AK274" s="150"/>
      <c r="AL274" s="150"/>
      <c r="AM274" s="150"/>
      <c r="AN274" s="150"/>
      <c r="AO274" s="150"/>
      <c r="AP274" s="150"/>
      <c r="AQ274" s="150"/>
      <c r="AR274" s="150"/>
      <c r="AS274" s="150"/>
      <c r="AT274" s="150"/>
      <c r="AU274" s="150"/>
      <c r="AV274" s="150"/>
      <c r="AW274" s="150"/>
      <c r="AX274" s="150"/>
      <c r="AY274" s="150"/>
      <c r="AZ274" s="150"/>
      <c r="BA274" s="150"/>
      <c r="BB274" s="150"/>
      <c r="BC274" s="150"/>
      <c r="BD274" s="150"/>
      <c r="BE274" s="150"/>
      <c r="BF274" s="150"/>
      <c r="BG274" s="150"/>
      <c r="BH274" s="150"/>
      <c r="BI274" s="150"/>
      <c r="BJ274" s="150"/>
      <c r="BK274" s="150"/>
      <c r="BL274" s="150"/>
      <c r="BM274" s="150"/>
      <c r="BN274" s="150"/>
      <c r="BO274" s="150"/>
      <c r="BP274" s="150"/>
      <c r="BQ274" s="150"/>
      <c r="BR274" s="150"/>
      <c r="BS274" s="150"/>
      <c r="BT274" s="150"/>
      <c r="BU274" s="150"/>
      <c r="BV274" s="150"/>
      <c r="BW274" s="150"/>
      <c r="BX274" s="150"/>
      <c r="BY274" s="150"/>
      <c r="BZ274" s="150"/>
      <c r="CA274" s="150"/>
      <c r="CB274" s="150"/>
      <c r="CC274" s="150"/>
      <c r="CD274" s="150"/>
      <c r="CE274" s="150"/>
      <c r="CF274" s="150"/>
      <c r="CG274" s="150"/>
      <c r="CH274" s="150"/>
      <c r="CI274" s="150"/>
      <c r="CJ274" s="150"/>
      <c r="CK274" s="150"/>
      <c r="CL274" s="150"/>
      <c r="CM274" s="150"/>
      <c r="CN274" s="150"/>
      <c r="CO274" s="150"/>
      <c r="CP274" s="150"/>
      <c r="CQ274" s="150"/>
      <c r="CR274" s="150"/>
      <c r="CS274" s="150"/>
      <c r="CT274" s="150"/>
      <c r="CU274" s="150"/>
      <c r="CV274" s="150"/>
      <c r="CW274" s="150"/>
      <c r="CX274" s="150"/>
      <c r="CY274" s="150"/>
      <c r="CZ274" s="150"/>
      <c r="DA274" s="150"/>
      <c r="DB274" s="150"/>
      <c r="DC274" s="150"/>
      <c r="DD274" s="150"/>
      <c r="DE274" s="150"/>
      <c r="DF274" s="150"/>
      <c r="DG274" s="150"/>
      <c r="DH274" s="150"/>
      <c r="DI274" s="150"/>
      <c r="DJ274" s="150"/>
      <c r="DK274" s="150"/>
    </row>
    <row r="275" spans="1:115" s="227" customFormat="1" x14ac:dyDescent="0.25">
      <c r="A275" s="258"/>
      <c r="B275" s="258"/>
      <c r="C275" s="584"/>
      <c r="D275" s="595"/>
      <c r="E275" s="537"/>
      <c r="F275" s="541"/>
      <c r="G275" s="541"/>
      <c r="H275" s="540">
        <f t="shared" si="35"/>
        <v>0</v>
      </c>
      <c r="I275" s="537"/>
      <c r="J275" s="541"/>
      <c r="K275" s="541"/>
      <c r="L275" s="540">
        <f t="shared" si="36"/>
        <v>0</v>
      </c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  <c r="AK275" s="150"/>
      <c r="AL275" s="150"/>
      <c r="AM275" s="150"/>
      <c r="AN275" s="150"/>
      <c r="AO275" s="150"/>
      <c r="AP275" s="150"/>
      <c r="AQ275" s="150"/>
      <c r="AR275" s="150"/>
      <c r="AS275" s="150"/>
      <c r="AT275" s="150"/>
      <c r="AU275" s="150"/>
      <c r="AV275" s="150"/>
      <c r="AW275" s="150"/>
      <c r="AX275" s="150"/>
      <c r="AY275" s="150"/>
      <c r="AZ275" s="150"/>
      <c r="BA275" s="150"/>
      <c r="BB275" s="150"/>
      <c r="BC275" s="150"/>
      <c r="BD275" s="150"/>
      <c r="BE275" s="150"/>
      <c r="BF275" s="150"/>
      <c r="BG275" s="150"/>
      <c r="BH275" s="150"/>
      <c r="BI275" s="150"/>
      <c r="BJ275" s="150"/>
      <c r="BK275" s="150"/>
      <c r="BL275" s="150"/>
      <c r="BM275" s="150"/>
      <c r="BN275" s="150"/>
      <c r="BO275" s="150"/>
      <c r="BP275" s="150"/>
      <c r="BQ275" s="150"/>
      <c r="BR275" s="150"/>
      <c r="BS275" s="150"/>
      <c r="BT275" s="150"/>
      <c r="BU275" s="150"/>
      <c r="BV275" s="150"/>
      <c r="BW275" s="150"/>
      <c r="BX275" s="150"/>
      <c r="BY275" s="150"/>
      <c r="BZ275" s="150"/>
      <c r="CA275" s="150"/>
      <c r="CB275" s="150"/>
      <c r="CC275" s="150"/>
      <c r="CD275" s="150"/>
      <c r="CE275" s="150"/>
      <c r="CF275" s="150"/>
      <c r="CG275" s="150"/>
      <c r="CH275" s="150"/>
      <c r="CI275" s="150"/>
      <c r="CJ275" s="150"/>
      <c r="CK275" s="150"/>
      <c r="CL275" s="150"/>
      <c r="CM275" s="150"/>
      <c r="CN275" s="150"/>
      <c r="CO275" s="150"/>
      <c r="CP275" s="150"/>
      <c r="CQ275" s="150"/>
      <c r="CR275" s="150"/>
      <c r="CS275" s="150"/>
      <c r="CT275" s="150"/>
      <c r="CU275" s="150"/>
      <c r="CV275" s="150"/>
      <c r="CW275" s="150"/>
      <c r="CX275" s="150"/>
      <c r="CY275" s="150"/>
      <c r="CZ275" s="150"/>
      <c r="DA275" s="150"/>
      <c r="DB275" s="150"/>
      <c r="DC275" s="150"/>
      <c r="DD275" s="150"/>
      <c r="DE275" s="150"/>
      <c r="DF275" s="150"/>
      <c r="DG275" s="150"/>
      <c r="DH275" s="150"/>
      <c r="DI275" s="150"/>
      <c r="DJ275" s="150"/>
      <c r="DK275" s="150"/>
    </row>
    <row r="276" spans="1:115" x14ac:dyDescent="0.25">
      <c r="A276" s="258"/>
      <c r="B276" s="258"/>
      <c r="C276" s="584"/>
      <c r="D276" s="596"/>
      <c r="E276" s="534"/>
      <c r="F276" s="262"/>
      <c r="G276" s="262"/>
      <c r="H276" s="536">
        <f t="shared" si="35"/>
        <v>0</v>
      </c>
      <c r="I276" s="534"/>
      <c r="J276" s="262"/>
      <c r="K276" s="262"/>
      <c r="L276" s="536">
        <f t="shared" si="36"/>
        <v>0</v>
      </c>
    </row>
    <row r="277" spans="1:115" s="617" customFormat="1" x14ac:dyDescent="0.25">
      <c r="A277" s="610"/>
      <c r="B277" s="610"/>
      <c r="C277" s="631"/>
      <c r="D277" s="612"/>
      <c r="E277" s="613"/>
      <c r="F277" s="615"/>
      <c r="G277" s="615"/>
      <c r="H277" s="630">
        <f t="shared" si="35"/>
        <v>0</v>
      </c>
      <c r="I277" s="613"/>
      <c r="J277" s="615"/>
      <c r="K277" s="615"/>
      <c r="L277" s="630">
        <f t="shared" si="36"/>
        <v>0</v>
      </c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</row>
    <row r="278" spans="1:115" s="617" customFormat="1" x14ac:dyDescent="0.25">
      <c r="A278" s="610"/>
      <c r="B278" s="610"/>
      <c r="C278" s="631"/>
      <c r="D278" s="612"/>
      <c r="E278" s="613"/>
      <c r="F278" s="615"/>
      <c r="G278" s="615"/>
      <c r="H278" s="630">
        <f t="shared" si="35"/>
        <v>0</v>
      </c>
      <c r="I278" s="613"/>
      <c r="J278" s="615"/>
      <c r="K278" s="615"/>
      <c r="L278" s="630">
        <f t="shared" si="36"/>
        <v>0</v>
      </c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</row>
    <row r="279" spans="1:115" x14ac:dyDescent="0.25">
      <c r="A279" s="258"/>
      <c r="B279" s="258"/>
      <c r="C279" s="585"/>
      <c r="D279" s="596"/>
      <c r="E279" s="537"/>
      <c r="F279" s="253"/>
      <c r="G279" s="541"/>
      <c r="H279" s="536">
        <f t="shared" si="35"/>
        <v>0</v>
      </c>
      <c r="I279" s="537"/>
      <c r="J279" s="253"/>
      <c r="K279" s="541"/>
      <c r="L279" s="536">
        <f t="shared" si="36"/>
        <v>0</v>
      </c>
    </row>
    <row r="280" spans="1:115" x14ac:dyDescent="0.25">
      <c r="A280" s="258"/>
      <c r="B280" s="258"/>
      <c r="C280" s="585"/>
      <c r="D280" s="559"/>
      <c r="E280" s="537"/>
      <c r="F280" s="253"/>
      <c r="G280" s="541"/>
      <c r="H280" s="536">
        <f t="shared" si="35"/>
        <v>0</v>
      </c>
      <c r="I280" s="537"/>
      <c r="J280" s="253"/>
      <c r="K280" s="541"/>
      <c r="L280" s="536">
        <f t="shared" si="36"/>
        <v>0</v>
      </c>
    </row>
    <row r="281" spans="1:115" s="227" customFormat="1" x14ac:dyDescent="0.25">
      <c r="A281" s="258"/>
      <c r="B281" s="258"/>
      <c r="C281" s="585"/>
      <c r="D281" s="560"/>
      <c r="E281" s="537"/>
      <c r="F281" s="253"/>
      <c r="G281" s="541"/>
      <c r="H281" s="536">
        <f t="shared" si="35"/>
        <v>0</v>
      </c>
      <c r="I281" s="537"/>
      <c r="J281" s="253"/>
      <c r="K281" s="541"/>
      <c r="L281" s="536">
        <f t="shared" si="36"/>
        <v>0</v>
      </c>
      <c r="M281" s="150"/>
      <c r="N281" s="150"/>
      <c r="O281" s="150"/>
      <c r="P281" s="150"/>
      <c r="Q281" s="150"/>
      <c r="R281" s="150"/>
      <c r="S281" s="150"/>
      <c r="T281" s="150"/>
      <c r="U281" s="150"/>
      <c r="V281" s="150"/>
      <c r="W281" s="150"/>
      <c r="X281" s="150"/>
      <c r="Y281" s="150"/>
      <c r="Z281" s="150"/>
      <c r="AA281" s="150"/>
      <c r="AB281" s="150"/>
      <c r="AC281" s="150"/>
      <c r="AD281" s="150"/>
      <c r="AE281" s="150"/>
      <c r="AF281" s="150"/>
      <c r="AG281" s="150"/>
      <c r="AH281" s="150"/>
      <c r="AI281" s="150"/>
      <c r="AJ281" s="150"/>
      <c r="AK281" s="150"/>
      <c r="AL281" s="150"/>
      <c r="AM281" s="150"/>
      <c r="AN281" s="150"/>
      <c r="AO281" s="150"/>
      <c r="AP281" s="150"/>
      <c r="AQ281" s="150"/>
      <c r="AR281" s="150"/>
      <c r="AS281" s="150"/>
      <c r="AT281" s="150"/>
      <c r="AU281" s="150"/>
      <c r="AV281" s="150"/>
      <c r="AW281" s="150"/>
      <c r="AX281" s="150"/>
      <c r="AY281" s="150"/>
      <c r="AZ281" s="150"/>
      <c r="BA281" s="150"/>
      <c r="BB281" s="150"/>
      <c r="BC281" s="150"/>
      <c r="BD281" s="150"/>
      <c r="BE281" s="150"/>
      <c r="BF281" s="150"/>
      <c r="BG281" s="150"/>
      <c r="BH281" s="150"/>
      <c r="BI281" s="150"/>
      <c r="BJ281" s="150"/>
      <c r="BK281" s="150"/>
      <c r="BL281" s="150"/>
      <c r="BM281" s="150"/>
      <c r="BN281" s="150"/>
      <c r="BO281" s="150"/>
      <c r="BP281" s="150"/>
      <c r="BQ281" s="150"/>
      <c r="BR281" s="150"/>
      <c r="BS281" s="150"/>
      <c r="BT281" s="150"/>
      <c r="BU281" s="150"/>
      <c r="BV281" s="150"/>
      <c r="BW281" s="150"/>
      <c r="BX281" s="150"/>
      <c r="BY281" s="150"/>
      <c r="BZ281" s="150"/>
      <c r="CA281" s="150"/>
      <c r="CB281" s="150"/>
      <c r="CC281" s="150"/>
      <c r="CD281" s="150"/>
      <c r="CE281" s="150"/>
      <c r="CF281" s="150"/>
      <c r="CG281" s="150"/>
      <c r="CH281" s="150"/>
      <c r="CI281" s="150"/>
      <c r="CJ281" s="150"/>
      <c r="CK281" s="150"/>
      <c r="CL281" s="150"/>
      <c r="CM281" s="150"/>
      <c r="CN281" s="150"/>
      <c r="CO281" s="150"/>
      <c r="CP281" s="150"/>
      <c r="CQ281" s="150"/>
      <c r="CR281" s="150"/>
      <c r="CS281" s="150"/>
      <c r="CT281" s="150"/>
      <c r="CU281" s="150"/>
      <c r="CV281" s="150"/>
      <c r="CW281" s="150"/>
      <c r="CX281" s="150"/>
      <c r="CY281" s="150"/>
      <c r="CZ281" s="150"/>
      <c r="DA281" s="150"/>
      <c r="DB281" s="150"/>
      <c r="DC281" s="150"/>
      <c r="DD281" s="150"/>
      <c r="DE281" s="150"/>
      <c r="DF281" s="150"/>
      <c r="DG281" s="150"/>
      <c r="DH281" s="150"/>
      <c r="DI281" s="150"/>
      <c r="DJ281" s="150"/>
      <c r="DK281" s="150"/>
    </row>
    <row r="282" spans="1:115" s="227" customFormat="1" x14ac:dyDescent="0.25">
      <c r="A282" s="258"/>
      <c r="B282" s="258"/>
      <c r="C282" s="585"/>
      <c r="D282" s="560"/>
      <c r="E282" s="537"/>
      <c r="F282" s="253"/>
      <c r="G282" s="541"/>
      <c r="H282" s="536">
        <f t="shared" si="35"/>
        <v>0</v>
      </c>
      <c r="I282" s="537"/>
      <c r="J282" s="253"/>
      <c r="K282" s="541"/>
      <c r="L282" s="536">
        <f t="shared" si="36"/>
        <v>0</v>
      </c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0"/>
      <c r="Y282" s="150"/>
      <c r="Z282" s="150"/>
      <c r="AA282" s="150"/>
      <c r="AB282" s="150"/>
      <c r="AC282" s="150"/>
      <c r="AD282" s="150"/>
      <c r="AE282" s="150"/>
      <c r="AF282" s="150"/>
      <c r="AG282" s="150"/>
      <c r="AH282" s="150"/>
      <c r="AI282" s="150"/>
      <c r="AJ282" s="150"/>
      <c r="AK282" s="150"/>
      <c r="AL282" s="150"/>
      <c r="AM282" s="150"/>
      <c r="AN282" s="150"/>
      <c r="AO282" s="150"/>
      <c r="AP282" s="150"/>
      <c r="AQ282" s="150"/>
      <c r="AR282" s="150"/>
      <c r="AS282" s="150"/>
      <c r="AT282" s="150"/>
      <c r="AU282" s="150"/>
      <c r="AV282" s="150"/>
      <c r="AW282" s="150"/>
      <c r="AX282" s="150"/>
      <c r="AY282" s="150"/>
      <c r="AZ282" s="150"/>
      <c r="BA282" s="150"/>
      <c r="BB282" s="150"/>
      <c r="BC282" s="150"/>
      <c r="BD282" s="150"/>
      <c r="BE282" s="150"/>
      <c r="BF282" s="150"/>
      <c r="BG282" s="150"/>
      <c r="BH282" s="150"/>
      <c r="BI282" s="150"/>
      <c r="BJ282" s="150"/>
      <c r="BK282" s="150"/>
      <c r="BL282" s="150"/>
      <c r="BM282" s="150"/>
      <c r="BN282" s="150"/>
      <c r="BO282" s="150"/>
      <c r="BP282" s="150"/>
      <c r="BQ282" s="150"/>
      <c r="BR282" s="150"/>
      <c r="BS282" s="150"/>
      <c r="BT282" s="150"/>
      <c r="BU282" s="150"/>
      <c r="BV282" s="150"/>
      <c r="BW282" s="150"/>
      <c r="BX282" s="150"/>
      <c r="BY282" s="150"/>
      <c r="BZ282" s="150"/>
      <c r="CA282" s="150"/>
      <c r="CB282" s="150"/>
      <c r="CC282" s="150"/>
      <c r="CD282" s="150"/>
      <c r="CE282" s="150"/>
      <c r="CF282" s="150"/>
      <c r="CG282" s="150"/>
      <c r="CH282" s="150"/>
      <c r="CI282" s="150"/>
      <c r="CJ282" s="150"/>
      <c r="CK282" s="150"/>
      <c r="CL282" s="150"/>
      <c r="CM282" s="150"/>
      <c r="CN282" s="150"/>
      <c r="CO282" s="150"/>
      <c r="CP282" s="150"/>
      <c r="CQ282" s="150"/>
      <c r="CR282" s="150"/>
      <c r="CS282" s="150"/>
      <c r="CT282" s="150"/>
      <c r="CU282" s="150"/>
      <c r="CV282" s="150"/>
      <c r="CW282" s="150"/>
      <c r="CX282" s="150"/>
      <c r="CY282" s="150"/>
      <c r="CZ282" s="150"/>
      <c r="DA282" s="150"/>
      <c r="DB282" s="150"/>
      <c r="DC282" s="150"/>
      <c r="DD282" s="150"/>
      <c r="DE282" s="150"/>
      <c r="DF282" s="150"/>
      <c r="DG282" s="150"/>
      <c r="DH282" s="150"/>
      <c r="DI282" s="150"/>
      <c r="DJ282" s="150"/>
      <c r="DK282" s="150"/>
    </row>
    <row r="283" spans="1:115" s="227" customFormat="1" x14ac:dyDescent="0.25">
      <c r="A283" s="258"/>
      <c r="B283" s="258"/>
      <c r="C283" s="585"/>
      <c r="D283" s="560"/>
      <c r="E283" s="537"/>
      <c r="F283" s="253"/>
      <c r="G283" s="541"/>
      <c r="H283" s="536">
        <f t="shared" si="35"/>
        <v>0</v>
      </c>
      <c r="I283" s="537"/>
      <c r="J283" s="253"/>
      <c r="K283" s="541"/>
      <c r="L283" s="536">
        <f t="shared" si="36"/>
        <v>0</v>
      </c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0"/>
      <c r="Y283" s="150"/>
      <c r="Z283" s="150"/>
      <c r="AA283" s="150"/>
      <c r="AB283" s="150"/>
      <c r="AC283" s="150"/>
      <c r="AD283" s="150"/>
      <c r="AE283" s="150"/>
      <c r="AF283" s="150"/>
      <c r="AG283" s="150"/>
      <c r="AH283" s="150"/>
      <c r="AI283" s="150"/>
      <c r="AJ283" s="150"/>
      <c r="AK283" s="150"/>
      <c r="AL283" s="150"/>
      <c r="AM283" s="150"/>
      <c r="AN283" s="150"/>
      <c r="AO283" s="150"/>
      <c r="AP283" s="150"/>
      <c r="AQ283" s="150"/>
      <c r="AR283" s="150"/>
      <c r="AS283" s="150"/>
      <c r="AT283" s="150"/>
      <c r="AU283" s="150"/>
      <c r="AV283" s="150"/>
      <c r="AW283" s="150"/>
      <c r="AX283" s="150"/>
      <c r="AY283" s="150"/>
      <c r="AZ283" s="150"/>
      <c r="BA283" s="150"/>
      <c r="BB283" s="150"/>
      <c r="BC283" s="150"/>
      <c r="BD283" s="150"/>
      <c r="BE283" s="150"/>
      <c r="BF283" s="150"/>
      <c r="BG283" s="150"/>
      <c r="BH283" s="150"/>
      <c r="BI283" s="150"/>
      <c r="BJ283" s="150"/>
      <c r="BK283" s="150"/>
      <c r="BL283" s="150"/>
      <c r="BM283" s="150"/>
      <c r="BN283" s="150"/>
      <c r="BO283" s="150"/>
      <c r="BP283" s="150"/>
      <c r="BQ283" s="150"/>
      <c r="BR283" s="150"/>
      <c r="BS283" s="150"/>
      <c r="BT283" s="150"/>
      <c r="BU283" s="150"/>
      <c r="BV283" s="150"/>
      <c r="BW283" s="150"/>
      <c r="BX283" s="150"/>
      <c r="BY283" s="150"/>
      <c r="BZ283" s="150"/>
      <c r="CA283" s="150"/>
      <c r="CB283" s="150"/>
      <c r="CC283" s="150"/>
      <c r="CD283" s="150"/>
      <c r="CE283" s="150"/>
      <c r="CF283" s="150"/>
      <c r="CG283" s="150"/>
      <c r="CH283" s="150"/>
      <c r="CI283" s="150"/>
      <c r="CJ283" s="150"/>
      <c r="CK283" s="150"/>
      <c r="CL283" s="150"/>
      <c r="CM283" s="150"/>
      <c r="CN283" s="150"/>
      <c r="CO283" s="150"/>
      <c r="CP283" s="150"/>
      <c r="CQ283" s="150"/>
      <c r="CR283" s="150"/>
      <c r="CS283" s="150"/>
      <c r="CT283" s="150"/>
      <c r="CU283" s="150"/>
      <c r="CV283" s="150"/>
      <c r="CW283" s="150"/>
      <c r="CX283" s="150"/>
      <c r="CY283" s="150"/>
      <c r="CZ283" s="150"/>
      <c r="DA283" s="150"/>
      <c r="DB283" s="150"/>
      <c r="DC283" s="150"/>
      <c r="DD283" s="150"/>
      <c r="DE283" s="150"/>
      <c r="DF283" s="150"/>
      <c r="DG283" s="150"/>
      <c r="DH283" s="150"/>
      <c r="DI283" s="150"/>
      <c r="DJ283" s="150"/>
      <c r="DK283" s="150"/>
    </row>
    <row r="284" spans="1:115" x14ac:dyDescent="0.25">
      <c r="A284" s="257"/>
      <c r="B284" s="258"/>
      <c r="C284" s="585"/>
      <c r="D284" s="560"/>
      <c r="E284" s="537"/>
      <c r="F284" s="253"/>
      <c r="G284" s="541"/>
      <c r="H284" s="536">
        <f t="shared" si="35"/>
        <v>0</v>
      </c>
      <c r="I284" s="537"/>
      <c r="J284" s="253"/>
      <c r="K284" s="541"/>
      <c r="L284" s="536">
        <f t="shared" si="36"/>
        <v>0</v>
      </c>
    </row>
    <row r="285" spans="1:115" x14ac:dyDescent="0.25">
      <c r="A285" s="258"/>
      <c r="B285" s="258"/>
      <c r="C285" s="584"/>
      <c r="D285" s="559" t="s">
        <v>0</v>
      </c>
      <c r="E285" s="534"/>
      <c r="F285" s="542">
        <f>SUM(F269:F284)</f>
        <v>1500</v>
      </c>
      <c r="G285" s="543">
        <f>H285/F285</f>
        <v>81.973333333333329</v>
      </c>
      <c r="H285" s="544">
        <f>SUM(H269:H284)</f>
        <v>122960</v>
      </c>
      <c r="I285" s="534"/>
      <c r="J285" s="542">
        <f>SUM(J269:J284)</f>
        <v>0</v>
      </c>
      <c r="K285" s="543" t="e">
        <f>L285/J285</f>
        <v>#DIV/0!</v>
      </c>
      <c r="L285" s="544">
        <f>SUM(L269:L284)</f>
        <v>0</v>
      </c>
    </row>
    <row r="286" spans="1:115" x14ac:dyDescent="0.25">
      <c r="A286" s="545"/>
      <c r="B286" s="545"/>
      <c r="C286" s="586"/>
      <c r="D286" s="561"/>
      <c r="E286" s="546"/>
      <c r="F286" s="546"/>
      <c r="G286" s="547"/>
      <c r="H286" s="548"/>
      <c r="I286" s="546"/>
      <c r="J286" s="546"/>
      <c r="K286" s="547"/>
      <c r="L286" s="548"/>
    </row>
    <row r="287" spans="1:115" x14ac:dyDescent="0.25">
      <c r="A287" s="258"/>
      <c r="B287" s="258"/>
      <c r="C287" s="584"/>
      <c r="D287" s="558"/>
      <c r="E287" s="534"/>
      <c r="F287" s="253"/>
      <c r="G287" s="535"/>
      <c r="H287" s="536">
        <f t="shared" ref="H287:H298" si="37">F287*G287</f>
        <v>0</v>
      </c>
      <c r="I287" s="534"/>
      <c r="J287" s="253"/>
      <c r="K287" s="535"/>
      <c r="L287" s="536">
        <f t="shared" ref="L287:L298" si="38">J287*K287</f>
        <v>0</v>
      </c>
    </row>
    <row r="288" spans="1:115" x14ac:dyDescent="0.25">
      <c r="A288" s="258" t="s">
        <v>6</v>
      </c>
      <c r="B288" s="258" t="s">
        <v>340</v>
      </c>
      <c r="C288" s="554" t="s">
        <v>351</v>
      </c>
      <c r="D288" s="559">
        <f>D270+1</f>
        <v>45642</v>
      </c>
      <c r="E288" s="537" t="s">
        <v>388</v>
      </c>
      <c r="F288" s="541">
        <v>500</v>
      </c>
      <c r="G288" s="541">
        <v>82</v>
      </c>
      <c r="H288" s="536">
        <f t="shared" si="37"/>
        <v>41000</v>
      </c>
      <c r="I288" s="537"/>
      <c r="J288" s="253"/>
      <c r="K288" s="541"/>
      <c r="L288" s="536">
        <f t="shared" si="38"/>
        <v>0</v>
      </c>
    </row>
    <row r="289" spans="1:115" s="227" customFormat="1" x14ac:dyDescent="0.25">
      <c r="A289" s="258" t="s">
        <v>6</v>
      </c>
      <c r="B289" s="258" t="s">
        <v>340</v>
      </c>
      <c r="C289" s="584" t="s">
        <v>387</v>
      </c>
      <c r="D289" s="595"/>
      <c r="E289" s="537" t="s">
        <v>389</v>
      </c>
      <c r="F289" s="541">
        <v>56</v>
      </c>
      <c r="G289" s="541">
        <v>82</v>
      </c>
      <c r="H289" s="540">
        <f t="shared" si="37"/>
        <v>4592</v>
      </c>
      <c r="I289" s="537"/>
      <c r="J289" s="541"/>
      <c r="K289" s="541"/>
      <c r="L289" s="540">
        <f t="shared" si="38"/>
        <v>0</v>
      </c>
      <c r="M289" s="150"/>
      <c r="N289" s="150"/>
      <c r="O289" s="150"/>
      <c r="P289" s="150"/>
      <c r="Q289" s="150"/>
      <c r="R289" s="150"/>
      <c r="S289" s="150"/>
      <c r="T289" s="150"/>
      <c r="U289" s="150"/>
      <c r="V289" s="150"/>
      <c r="W289" s="150"/>
      <c r="X289" s="150"/>
      <c r="Y289" s="150"/>
      <c r="Z289" s="150"/>
      <c r="AA289" s="150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150"/>
      <c r="AQ289" s="150"/>
      <c r="AR289" s="150"/>
      <c r="AS289" s="150"/>
      <c r="AT289" s="150"/>
      <c r="AU289" s="150"/>
      <c r="AV289" s="150"/>
      <c r="AW289" s="150"/>
      <c r="AX289" s="150"/>
      <c r="AY289" s="150"/>
      <c r="AZ289" s="150"/>
      <c r="BA289" s="150"/>
      <c r="BB289" s="150"/>
      <c r="BC289" s="150"/>
      <c r="BD289" s="150"/>
      <c r="BE289" s="150"/>
      <c r="BF289" s="150"/>
      <c r="BG289" s="150"/>
      <c r="BH289" s="150"/>
      <c r="BI289" s="150"/>
      <c r="BJ289" s="150"/>
      <c r="BK289" s="150"/>
      <c r="BL289" s="150"/>
      <c r="BM289" s="150"/>
      <c r="BN289" s="150"/>
      <c r="BO289" s="150"/>
      <c r="BP289" s="150"/>
      <c r="BQ289" s="150"/>
      <c r="BR289" s="150"/>
      <c r="BS289" s="150"/>
      <c r="BT289" s="150"/>
      <c r="BU289" s="150"/>
      <c r="BV289" s="150"/>
      <c r="BW289" s="150"/>
      <c r="BX289" s="150"/>
      <c r="BY289" s="150"/>
      <c r="BZ289" s="150"/>
      <c r="CA289" s="150"/>
      <c r="CB289" s="150"/>
      <c r="CC289" s="150"/>
      <c r="CD289" s="150"/>
      <c r="CE289" s="150"/>
      <c r="CF289" s="150"/>
      <c r="CG289" s="150"/>
      <c r="CH289" s="150"/>
      <c r="CI289" s="150"/>
      <c r="CJ289" s="150"/>
      <c r="CK289" s="150"/>
      <c r="CL289" s="150"/>
      <c r="CM289" s="150"/>
      <c r="CN289" s="150"/>
      <c r="CO289" s="150"/>
      <c r="CP289" s="150"/>
      <c r="CQ289" s="150"/>
      <c r="CR289" s="150"/>
      <c r="CS289" s="150"/>
      <c r="CT289" s="150"/>
      <c r="CU289" s="150"/>
      <c r="CV289" s="150"/>
      <c r="CW289" s="150"/>
      <c r="CX289" s="150"/>
      <c r="CY289" s="150"/>
      <c r="CZ289" s="150"/>
      <c r="DA289" s="150"/>
      <c r="DB289" s="150"/>
      <c r="DC289" s="150"/>
      <c r="DD289" s="150"/>
      <c r="DE289" s="150"/>
      <c r="DF289" s="150"/>
      <c r="DG289" s="150"/>
      <c r="DH289" s="150"/>
      <c r="DI289" s="150"/>
      <c r="DJ289" s="150"/>
      <c r="DK289" s="150"/>
    </row>
    <row r="290" spans="1:115" s="227" customFormat="1" x14ac:dyDescent="0.25">
      <c r="A290" s="258" t="s">
        <v>6</v>
      </c>
      <c r="B290" s="258" t="s">
        <v>340</v>
      </c>
      <c r="C290" s="584" t="s">
        <v>341</v>
      </c>
      <c r="D290" s="595"/>
      <c r="E290" s="537" t="s">
        <v>390</v>
      </c>
      <c r="F290" s="541">
        <v>444</v>
      </c>
      <c r="G290" s="541">
        <v>82</v>
      </c>
      <c r="H290" s="540">
        <f t="shared" si="37"/>
        <v>36408</v>
      </c>
      <c r="I290" s="537"/>
      <c r="J290" s="541"/>
      <c r="K290" s="541"/>
      <c r="L290" s="540">
        <f t="shared" si="38"/>
        <v>0</v>
      </c>
      <c r="M290" s="150"/>
      <c r="N290" s="150"/>
      <c r="O290" s="150"/>
      <c r="P290" s="150"/>
      <c r="Q290" s="150"/>
      <c r="R290" s="150"/>
      <c r="S290" s="150"/>
      <c r="T290" s="150"/>
      <c r="U290" s="150"/>
      <c r="V290" s="150"/>
      <c r="W290" s="150"/>
      <c r="X290" s="150"/>
      <c r="Y290" s="150"/>
      <c r="Z290" s="150"/>
      <c r="AA290" s="150"/>
      <c r="AB290" s="150"/>
      <c r="AC290" s="150"/>
      <c r="AD290" s="150"/>
      <c r="AE290" s="150"/>
      <c r="AF290" s="150"/>
      <c r="AG290" s="150"/>
      <c r="AH290" s="150"/>
      <c r="AI290" s="150"/>
      <c r="AJ290" s="150"/>
      <c r="AK290" s="150"/>
      <c r="AL290" s="150"/>
      <c r="AM290" s="150"/>
      <c r="AN290" s="150"/>
      <c r="AO290" s="150"/>
      <c r="AP290" s="150"/>
      <c r="AQ290" s="150"/>
      <c r="AR290" s="150"/>
      <c r="AS290" s="150"/>
      <c r="AT290" s="150"/>
      <c r="AU290" s="150"/>
      <c r="AV290" s="150"/>
      <c r="AW290" s="150"/>
      <c r="AX290" s="150"/>
      <c r="AY290" s="150"/>
      <c r="AZ290" s="150"/>
      <c r="BA290" s="150"/>
      <c r="BB290" s="150"/>
      <c r="BC290" s="150"/>
      <c r="BD290" s="150"/>
      <c r="BE290" s="150"/>
      <c r="BF290" s="150"/>
      <c r="BG290" s="150"/>
      <c r="BH290" s="150"/>
      <c r="BI290" s="150"/>
      <c r="BJ290" s="150"/>
      <c r="BK290" s="150"/>
      <c r="BL290" s="150"/>
      <c r="BM290" s="150"/>
      <c r="BN290" s="150"/>
      <c r="BO290" s="150"/>
      <c r="BP290" s="150"/>
      <c r="BQ290" s="150"/>
      <c r="BR290" s="150"/>
      <c r="BS290" s="150"/>
      <c r="BT290" s="150"/>
      <c r="BU290" s="150"/>
      <c r="BV290" s="150"/>
      <c r="BW290" s="150"/>
      <c r="BX290" s="150"/>
      <c r="BY290" s="150"/>
      <c r="BZ290" s="150"/>
      <c r="CA290" s="150"/>
      <c r="CB290" s="150"/>
      <c r="CC290" s="150"/>
      <c r="CD290" s="150"/>
      <c r="CE290" s="150"/>
      <c r="CF290" s="150"/>
      <c r="CG290" s="150"/>
      <c r="CH290" s="150"/>
      <c r="CI290" s="150"/>
      <c r="CJ290" s="150"/>
      <c r="CK290" s="150"/>
      <c r="CL290" s="150"/>
      <c r="CM290" s="150"/>
      <c r="CN290" s="150"/>
      <c r="CO290" s="150"/>
      <c r="CP290" s="150"/>
      <c r="CQ290" s="150"/>
      <c r="CR290" s="150"/>
      <c r="CS290" s="150"/>
      <c r="CT290" s="150"/>
      <c r="CU290" s="150"/>
      <c r="CV290" s="150"/>
      <c r="CW290" s="150"/>
      <c r="CX290" s="150"/>
      <c r="CY290" s="150"/>
      <c r="CZ290" s="150"/>
      <c r="DA290" s="150"/>
      <c r="DB290" s="150"/>
      <c r="DC290" s="150"/>
      <c r="DD290" s="150"/>
      <c r="DE290" s="150"/>
      <c r="DF290" s="150"/>
      <c r="DG290" s="150"/>
      <c r="DH290" s="150"/>
      <c r="DI290" s="150"/>
      <c r="DJ290" s="150"/>
      <c r="DK290" s="150"/>
    </row>
    <row r="291" spans="1:115" s="227" customFormat="1" x14ac:dyDescent="0.25">
      <c r="A291" s="258" t="s">
        <v>6</v>
      </c>
      <c r="B291" s="258" t="s">
        <v>340</v>
      </c>
      <c r="C291" s="584" t="s">
        <v>341</v>
      </c>
      <c r="D291" s="560"/>
      <c r="E291" s="537" t="s">
        <v>391</v>
      </c>
      <c r="F291" s="541">
        <v>500</v>
      </c>
      <c r="G291" s="541">
        <v>82</v>
      </c>
      <c r="H291" s="540">
        <f t="shared" si="37"/>
        <v>41000</v>
      </c>
      <c r="I291" s="537"/>
      <c r="J291" s="541"/>
      <c r="K291" s="541"/>
      <c r="L291" s="540">
        <f t="shared" si="38"/>
        <v>0</v>
      </c>
      <c r="M291" s="150"/>
      <c r="N291" s="150"/>
      <c r="O291" s="150"/>
      <c r="P291" s="150"/>
      <c r="Q291" s="150"/>
      <c r="R291" s="150"/>
      <c r="S291" s="150"/>
      <c r="T291" s="150"/>
      <c r="U291" s="150"/>
      <c r="V291" s="150"/>
      <c r="W291" s="150"/>
      <c r="X291" s="150"/>
      <c r="Y291" s="150"/>
      <c r="Z291" s="150"/>
      <c r="AA291" s="150"/>
      <c r="AB291" s="150"/>
      <c r="AC291" s="150"/>
      <c r="AD291" s="150"/>
      <c r="AE291" s="150"/>
      <c r="AF291" s="150"/>
      <c r="AG291" s="150"/>
      <c r="AH291" s="150"/>
      <c r="AI291" s="150"/>
      <c r="AJ291" s="150"/>
      <c r="AK291" s="150"/>
      <c r="AL291" s="150"/>
      <c r="AM291" s="150"/>
      <c r="AN291" s="150"/>
      <c r="AO291" s="150"/>
      <c r="AP291" s="150"/>
      <c r="AQ291" s="150"/>
      <c r="AR291" s="150"/>
      <c r="AS291" s="150"/>
      <c r="AT291" s="150"/>
      <c r="AU291" s="150"/>
      <c r="AV291" s="150"/>
      <c r="AW291" s="150"/>
      <c r="AX291" s="150"/>
      <c r="AY291" s="150"/>
      <c r="AZ291" s="150"/>
      <c r="BA291" s="150"/>
      <c r="BB291" s="150"/>
      <c r="BC291" s="150"/>
      <c r="BD291" s="150"/>
      <c r="BE291" s="150"/>
      <c r="BF291" s="150"/>
      <c r="BG291" s="150"/>
      <c r="BH291" s="150"/>
      <c r="BI291" s="150"/>
      <c r="BJ291" s="150"/>
      <c r="BK291" s="150"/>
      <c r="BL291" s="150"/>
      <c r="BM291" s="150"/>
      <c r="BN291" s="150"/>
      <c r="BO291" s="150"/>
      <c r="BP291" s="150"/>
      <c r="BQ291" s="150"/>
      <c r="BR291" s="150"/>
      <c r="BS291" s="150"/>
      <c r="BT291" s="150"/>
      <c r="BU291" s="150"/>
      <c r="BV291" s="150"/>
      <c r="BW291" s="150"/>
      <c r="BX291" s="150"/>
      <c r="BY291" s="150"/>
      <c r="BZ291" s="150"/>
      <c r="CA291" s="150"/>
      <c r="CB291" s="150"/>
      <c r="CC291" s="150"/>
      <c r="CD291" s="150"/>
      <c r="CE291" s="150"/>
      <c r="CF291" s="150"/>
      <c r="CG291" s="150"/>
      <c r="CH291" s="150"/>
      <c r="CI291" s="150"/>
      <c r="CJ291" s="150"/>
      <c r="CK291" s="150"/>
      <c r="CL291" s="150"/>
      <c r="CM291" s="150"/>
      <c r="CN291" s="150"/>
      <c r="CO291" s="150"/>
      <c r="CP291" s="150"/>
      <c r="CQ291" s="150"/>
      <c r="CR291" s="150"/>
      <c r="CS291" s="150"/>
      <c r="CT291" s="150"/>
      <c r="CU291" s="150"/>
      <c r="CV291" s="150"/>
      <c r="CW291" s="150"/>
      <c r="CX291" s="150"/>
      <c r="CY291" s="150"/>
      <c r="CZ291" s="150"/>
      <c r="DA291" s="150"/>
      <c r="DB291" s="150"/>
      <c r="DC291" s="150"/>
      <c r="DD291" s="150"/>
      <c r="DE291" s="150"/>
      <c r="DF291" s="150"/>
      <c r="DG291" s="150"/>
      <c r="DH291" s="150"/>
      <c r="DI291" s="150"/>
      <c r="DJ291" s="150"/>
      <c r="DK291" s="150"/>
    </row>
    <row r="292" spans="1:115" s="227" customFormat="1" x14ac:dyDescent="0.25">
      <c r="A292" s="258" t="s">
        <v>6</v>
      </c>
      <c r="B292" s="258" t="s">
        <v>340</v>
      </c>
      <c r="C292" s="584" t="s">
        <v>374</v>
      </c>
      <c r="D292" s="560"/>
      <c r="E292" s="537" t="s">
        <v>392</v>
      </c>
      <c r="F292" s="541">
        <v>100</v>
      </c>
      <c r="G292" s="541">
        <v>74</v>
      </c>
      <c r="H292" s="540">
        <f t="shared" si="37"/>
        <v>7400</v>
      </c>
      <c r="I292" s="537"/>
      <c r="J292" s="541"/>
      <c r="K292" s="541"/>
      <c r="L292" s="540">
        <f t="shared" si="38"/>
        <v>0</v>
      </c>
      <c r="M292" s="150"/>
      <c r="N292" s="150"/>
      <c r="O292" s="150"/>
      <c r="P292" s="150"/>
      <c r="Q292" s="150"/>
      <c r="R292" s="150"/>
      <c r="S292" s="150"/>
      <c r="T292" s="150"/>
      <c r="U292" s="150"/>
      <c r="V292" s="150"/>
      <c r="W292" s="150"/>
      <c r="X292" s="150"/>
      <c r="Y292" s="150"/>
      <c r="Z292" s="150"/>
      <c r="AA292" s="150"/>
      <c r="AB292" s="150"/>
      <c r="AC292" s="150"/>
      <c r="AD292" s="150"/>
      <c r="AE292" s="150"/>
      <c r="AF292" s="150"/>
      <c r="AG292" s="150"/>
      <c r="AH292" s="150"/>
      <c r="AI292" s="150"/>
      <c r="AJ292" s="150"/>
      <c r="AK292" s="150"/>
      <c r="AL292" s="150"/>
      <c r="AM292" s="150"/>
      <c r="AN292" s="150"/>
      <c r="AO292" s="150"/>
      <c r="AP292" s="150"/>
      <c r="AQ292" s="150"/>
      <c r="AR292" s="150"/>
      <c r="AS292" s="150"/>
      <c r="AT292" s="150"/>
      <c r="AU292" s="150"/>
      <c r="AV292" s="150"/>
      <c r="AW292" s="150"/>
      <c r="AX292" s="150"/>
      <c r="AY292" s="150"/>
      <c r="AZ292" s="150"/>
      <c r="BA292" s="150"/>
      <c r="BB292" s="150"/>
      <c r="BC292" s="150"/>
      <c r="BD292" s="150"/>
      <c r="BE292" s="150"/>
      <c r="BF292" s="150"/>
      <c r="BG292" s="150"/>
      <c r="BH292" s="150"/>
      <c r="BI292" s="150"/>
      <c r="BJ292" s="150"/>
      <c r="BK292" s="150"/>
      <c r="BL292" s="150"/>
      <c r="BM292" s="150"/>
      <c r="BN292" s="150"/>
      <c r="BO292" s="150"/>
      <c r="BP292" s="150"/>
      <c r="BQ292" s="150"/>
      <c r="BR292" s="150"/>
      <c r="BS292" s="150"/>
      <c r="BT292" s="150"/>
      <c r="BU292" s="150"/>
      <c r="BV292" s="150"/>
      <c r="BW292" s="150"/>
      <c r="BX292" s="150"/>
      <c r="BY292" s="150"/>
      <c r="BZ292" s="150"/>
      <c r="CA292" s="150"/>
      <c r="CB292" s="150"/>
      <c r="CC292" s="150"/>
      <c r="CD292" s="150"/>
      <c r="CE292" s="150"/>
      <c r="CF292" s="150"/>
      <c r="CG292" s="150"/>
      <c r="CH292" s="150"/>
      <c r="CI292" s="150"/>
      <c r="CJ292" s="150"/>
      <c r="CK292" s="150"/>
      <c r="CL292" s="150"/>
      <c r="CM292" s="150"/>
      <c r="CN292" s="150"/>
      <c r="CO292" s="150"/>
      <c r="CP292" s="150"/>
      <c r="CQ292" s="150"/>
      <c r="CR292" s="150"/>
      <c r="CS292" s="150"/>
      <c r="CT292" s="150"/>
      <c r="CU292" s="150"/>
      <c r="CV292" s="150"/>
      <c r="CW292" s="150"/>
      <c r="CX292" s="150"/>
      <c r="CY292" s="150"/>
      <c r="CZ292" s="150"/>
      <c r="DA292" s="150"/>
      <c r="DB292" s="150"/>
      <c r="DC292" s="150"/>
      <c r="DD292" s="150"/>
      <c r="DE292" s="150"/>
      <c r="DF292" s="150"/>
      <c r="DG292" s="150"/>
      <c r="DH292" s="150"/>
      <c r="DI292" s="150"/>
      <c r="DJ292" s="150"/>
      <c r="DK292" s="150"/>
    </row>
    <row r="293" spans="1:115" s="227" customFormat="1" x14ac:dyDescent="0.25">
      <c r="A293" s="258" t="s">
        <v>6</v>
      </c>
      <c r="B293" s="258" t="s">
        <v>340</v>
      </c>
      <c r="C293" s="584" t="s">
        <v>374</v>
      </c>
      <c r="D293" s="560"/>
      <c r="E293" s="537" t="s">
        <v>393</v>
      </c>
      <c r="F293" s="541">
        <v>30</v>
      </c>
      <c r="G293" s="541">
        <v>72</v>
      </c>
      <c r="H293" s="540">
        <f t="shared" si="37"/>
        <v>2160</v>
      </c>
      <c r="I293" s="537"/>
      <c r="J293" s="541"/>
      <c r="K293" s="541"/>
      <c r="L293" s="540">
        <f t="shared" si="38"/>
        <v>0</v>
      </c>
      <c r="M293" s="150"/>
      <c r="N293" s="150"/>
      <c r="O293" s="150"/>
      <c r="P293" s="150"/>
      <c r="Q293" s="150"/>
      <c r="R293" s="150"/>
      <c r="S293" s="150"/>
      <c r="T293" s="150"/>
      <c r="U293" s="150"/>
      <c r="V293" s="150"/>
      <c r="W293" s="150"/>
      <c r="X293" s="150"/>
      <c r="Y293" s="150"/>
      <c r="Z293" s="150"/>
      <c r="AA293" s="150"/>
      <c r="AB293" s="150"/>
      <c r="AC293" s="150"/>
      <c r="AD293" s="150"/>
      <c r="AE293" s="150"/>
      <c r="AF293" s="150"/>
      <c r="AG293" s="150"/>
      <c r="AH293" s="150"/>
      <c r="AI293" s="150"/>
      <c r="AJ293" s="150"/>
      <c r="AK293" s="150"/>
      <c r="AL293" s="150"/>
      <c r="AM293" s="150"/>
      <c r="AN293" s="150"/>
      <c r="AO293" s="150"/>
      <c r="AP293" s="150"/>
      <c r="AQ293" s="150"/>
      <c r="AR293" s="150"/>
      <c r="AS293" s="150"/>
      <c r="AT293" s="150"/>
      <c r="AU293" s="150"/>
      <c r="AV293" s="150"/>
      <c r="AW293" s="150"/>
      <c r="AX293" s="150"/>
      <c r="AY293" s="150"/>
      <c r="AZ293" s="150"/>
      <c r="BA293" s="150"/>
      <c r="BB293" s="150"/>
      <c r="BC293" s="150"/>
      <c r="BD293" s="150"/>
      <c r="BE293" s="150"/>
      <c r="BF293" s="150"/>
      <c r="BG293" s="150"/>
      <c r="BH293" s="150"/>
      <c r="BI293" s="150"/>
      <c r="BJ293" s="150"/>
      <c r="BK293" s="150"/>
      <c r="BL293" s="150"/>
      <c r="BM293" s="150"/>
      <c r="BN293" s="150"/>
      <c r="BO293" s="150"/>
      <c r="BP293" s="150"/>
      <c r="BQ293" s="150"/>
      <c r="BR293" s="150"/>
      <c r="BS293" s="150"/>
      <c r="BT293" s="150"/>
      <c r="BU293" s="150"/>
      <c r="BV293" s="150"/>
      <c r="BW293" s="150"/>
      <c r="BX293" s="150"/>
      <c r="BY293" s="150"/>
      <c r="BZ293" s="150"/>
      <c r="CA293" s="150"/>
      <c r="CB293" s="150"/>
      <c r="CC293" s="150"/>
      <c r="CD293" s="150"/>
      <c r="CE293" s="150"/>
      <c r="CF293" s="150"/>
      <c r="CG293" s="150"/>
      <c r="CH293" s="150"/>
      <c r="CI293" s="150"/>
      <c r="CJ293" s="150"/>
      <c r="CK293" s="150"/>
      <c r="CL293" s="150"/>
      <c r="CM293" s="150"/>
      <c r="CN293" s="150"/>
      <c r="CO293" s="150"/>
      <c r="CP293" s="150"/>
      <c r="CQ293" s="150"/>
      <c r="CR293" s="150"/>
      <c r="CS293" s="150"/>
      <c r="CT293" s="150"/>
      <c r="CU293" s="150"/>
      <c r="CV293" s="150"/>
      <c r="CW293" s="150"/>
      <c r="CX293" s="150"/>
      <c r="CY293" s="150"/>
      <c r="CZ293" s="150"/>
      <c r="DA293" s="150"/>
      <c r="DB293" s="150"/>
      <c r="DC293" s="150"/>
      <c r="DD293" s="150"/>
      <c r="DE293" s="150"/>
      <c r="DF293" s="150"/>
      <c r="DG293" s="150"/>
      <c r="DH293" s="150"/>
      <c r="DI293" s="150"/>
      <c r="DJ293" s="150"/>
      <c r="DK293" s="150"/>
    </row>
    <row r="294" spans="1:115" x14ac:dyDescent="0.25">
      <c r="A294" s="258"/>
      <c r="B294" s="258"/>
      <c r="C294" s="584"/>
      <c r="D294" s="559"/>
      <c r="E294" s="537"/>
      <c r="F294" s="253"/>
      <c r="G294" s="541"/>
      <c r="H294" s="536">
        <f t="shared" si="37"/>
        <v>0</v>
      </c>
      <c r="I294" s="537"/>
      <c r="J294" s="253"/>
      <c r="K294" s="541"/>
      <c r="L294" s="536">
        <f t="shared" si="38"/>
        <v>0</v>
      </c>
    </row>
    <row r="295" spans="1:115" x14ac:dyDescent="0.25">
      <c r="A295" s="258"/>
      <c r="B295" s="258"/>
      <c r="C295" s="585"/>
      <c r="D295" s="560"/>
      <c r="E295" s="537"/>
      <c r="F295" s="253"/>
      <c r="G295" s="541"/>
      <c r="H295" s="536">
        <f t="shared" si="37"/>
        <v>0</v>
      </c>
      <c r="I295" s="537"/>
      <c r="J295" s="253"/>
      <c r="K295" s="541"/>
      <c r="L295" s="536">
        <f t="shared" si="38"/>
        <v>0</v>
      </c>
    </row>
    <row r="296" spans="1:115" s="617" customFormat="1" x14ac:dyDescent="0.25">
      <c r="A296" s="610"/>
      <c r="B296" s="610"/>
      <c r="C296" s="631"/>
      <c r="D296" s="612"/>
      <c r="E296" s="613"/>
      <c r="F296" s="615"/>
      <c r="G296" s="615"/>
      <c r="H296" s="630">
        <f t="shared" si="37"/>
        <v>0</v>
      </c>
      <c r="I296" s="613"/>
      <c r="J296" s="615"/>
      <c r="K296" s="615"/>
      <c r="L296" s="630">
        <f t="shared" si="38"/>
        <v>0</v>
      </c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  <c r="BY296" s="25"/>
      <c r="BZ296" s="25"/>
      <c r="CA296" s="25"/>
      <c r="CB296" s="25"/>
      <c r="CC296" s="25"/>
      <c r="CD296" s="25"/>
      <c r="CE296" s="25"/>
      <c r="CF296" s="25"/>
      <c r="CG296" s="25"/>
      <c r="CH296" s="25"/>
      <c r="CI296" s="25"/>
      <c r="CJ296" s="25"/>
      <c r="CK296" s="25"/>
      <c r="CL296" s="25"/>
      <c r="CM296" s="25"/>
      <c r="CN296" s="25"/>
      <c r="CO296" s="25"/>
      <c r="CP296" s="25"/>
      <c r="CQ296" s="25"/>
      <c r="CR296" s="25"/>
      <c r="CS296" s="25"/>
      <c r="CT296" s="25"/>
      <c r="CU296" s="25"/>
      <c r="CV296" s="25"/>
      <c r="CW296" s="25"/>
      <c r="CX296" s="25"/>
      <c r="CY296" s="25"/>
      <c r="CZ296" s="25"/>
      <c r="DA296" s="25"/>
      <c r="DB296" s="25"/>
      <c r="DC296" s="25"/>
      <c r="DD296" s="25"/>
      <c r="DE296" s="25"/>
      <c r="DF296" s="25"/>
      <c r="DG296" s="25"/>
      <c r="DH296" s="25"/>
      <c r="DI296" s="25"/>
      <c r="DJ296" s="25"/>
      <c r="DK296" s="25"/>
    </row>
    <row r="297" spans="1:115" x14ac:dyDescent="0.25">
      <c r="A297" s="257"/>
      <c r="B297" s="258"/>
      <c r="C297" s="587"/>
      <c r="D297" s="558"/>
      <c r="E297" s="537"/>
      <c r="F297" s="253"/>
      <c r="G297" s="541"/>
      <c r="H297" s="536">
        <f t="shared" si="37"/>
        <v>0</v>
      </c>
      <c r="I297" s="537"/>
      <c r="J297" s="253"/>
      <c r="K297" s="541"/>
      <c r="L297" s="536">
        <f t="shared" si="38"/>
        <v>0</v>
      </c>
    </row>
    <row r="298" spans="1:115" x14ac:dyDescent="0.25">
      <c r="A298" s="257"/>
      <c r="B298" s="258"/>
      <c r="C298" s="587"/>
      <c r="D298" s="558"/>
      <c r="E298" s="534"/>
      <c r="F298" s="253"/>
      <c r="G298" s="535"/>
      <c r="H298" s="536">
        <f t="shared" si="37"/>
        <v>0</v>
      </c>
      <c r="I298" s="534"/>
      <c r="J298" s="253"/>
      <c r="K298" s="535"/>
      <c r="L298" s="536">
        <f t="shared" si="38"/>
        <v>0</v>
      </c>
    </row>
    <row r="299" spans="1:115" x14ac:dyDescent="0.25">
      <c r="A299" s="258"/>
      <c r="B299" s="258"/>
      <c r="C299" s="584"/>
      <c r="D299" s="559" t="s">
        <v>0</v>
      </c>
      <c r="E299" s="534"/>
      <c r="F299" s="542">
        <f>SUM(F287:F298)</f>
        <v>1630</v>
      </c>
      <c r="G299" s="543">
        <f>H299/F299</f>
        <v>81.325153374233125</v>
      </c>
      <c r="H299" s="544">
        <f>SUM(H287:H298)</f>
        <v>132560</v>
      </c>
      <c r="I299" s="534"/>
      <c r="J299" s="542">
        <f>SUM(J287:J298)</f>
        <v>0</v>
      </c>
      <c r="K299" s="543" t="e">
        <f>L299/J299</f>
        <v>#DIV/0!</v>
      </c>
      <c r="L299" s="544">
        <f>SUM(L287:L298)</f>
        <v>0</v>
      </c>
    </row>
    <row r="300" spans="1:115" x14ac:dyDescent="0.25">
      <c r="A300" s="545"/>
      <c r="B300" s="545"/>
      <c r="C300" s="586"/>
      <c r="D300" s="561"/>
      <c r="E300" s="546"/>
      <c r="F300" s="546"/>
      <c r="G300" s="547"/>
      <c r="H300" s="548"/>
      <c r="I300" s="546"/>
      <c r="J300" s="546"/>
      <c r="K300" s="547"/>
      <c r="L300" s="548"/>
    </row>
    <row r="301" spans="1:115" x14ac:dyDescent="0.25">
      <c r="A301" s="258"/>
      <c r="B301" s="258"/>
      <c r="C301" s="584"/>
      <c r="D301" s="558"/>
      <c r="E301" s="534"/>
      <c r="F301" s="253"/>
      <c r="G301" s="541"/>
      <c r="H301" s="536">
        <f t="shared" ref="H301:H316" si="39">F301*G301</f>
        <v>0</v>
      </c>
      <c r="I301" s="534"/>
      <c r="J301" s="253"/>
      <c r="K301" s="541"/>
      <c r="L301" s="536">
        <f t="shared" ref="L301:L316" si="40">J301*K301</f>
        <v>0</v>
      </c>
    </row>
    <row r="302" spans="1:115" x14ac:dyDescent="0.25">
      <c r="A302" s="258"/>
      <c r="B302" s="258"/>
      <c r="C302" s="584"/>
      <c r="D302" s="559">
        <f>D288+1</f>
        <v>45643</v>
      </c>
      <c r="E302" s="537"/>
      <c r="F302" s="253"/>
      <c r="G302" s="541"/>
      <c r="H302" s="536">
        <f t="shared" si="39"/>
        <v>0</v>
      </c>
      <c r="I302" s="537"/>
      <c r="J302" s="253"/>
      <c r="K302" s="541"/>
      <c r="L302" s="536">
        <f t="shared" si="40"/>
        <v>0</v>
      </c>
    </row>
    <row r="303" spans="1:115" s="227" customFormat="1" x14ac:dyDescent="0.25">
      <c r="A303" s="258"/>
      <c r="B303" s="258"/>
      <c r="C303" s="584"/>
      <c r="D303" s="595"/>
      <c r="E303" s="537"/>
      <c r="F303" s="541"/>
      <c r="G303" s="541"/>
      <c r="H303" s="540">
        <f t="shared" si="39"/>
        <v>0</v>
      </c>
      <c r="I303" s="537"/>
      <c r="J303" s="541"/>
      <c r="K303" s="541"/>
      <c r="L303" s="540">
        <f t="shared" si="40"/>
        <v>0</v>
      </c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  <c r="AK303" s="150"/>
      <c r="AL303" s="150"/>
      <c r="AM303" s="150"/>
      <c r="AN303" s="150"/>
      <c r="AO303" s="150"/>
      <c r="AP303" s="150"/>
      <c r="AQ303" s="150"/>
      <c r="AR303" s="150"/>
      <c r="AS303" s="150"/>
      <c r="AT303" s="150"/>
      <c r="AU303" s="150"/>
      <c r="AV303" s="150"/>
      <c r="AW303" s="150"/>
      <c r="AX303" s="150"/>
      <c r="AY303" s="150"/>
      <c r="AZ303" s="150"/>
      <c r="BA303" s="150"/>
      <c r="BB303" s="150"/>
      <c r="BC303" s="150"/>
      <c r="BD303" s="150"/>
      <c r="BE303" s="150"/>
      <c r="BF303" s="150"/>
      <c r="BG303" s="150"/>
      <c r="BH303" s="150"/>
      <c r="BI303" s="150"/>
      <c r="BJ303" s="150"/>
      <c r="BK303" s="150"/>
      <c r="BL303" s="150"/>
      <c r="BM303" s="150"/>
      <c r="BN303" s="150"/>
      <c r="BO303" s="150"/>
      <c r="BP303" s="150"/>
      <c r="BQ303" s="150"/>
      <c r="BR303" s="150"/>
      <c r="BS303" s="150"/>
      <c r="BT303" s="150"/>
      <c r="BU303" s="150"/>
      <c r="BV303" s="150"/>
      <c r="BW303" s="150"/>
      <c r="BX303" s="150"/>
      <c r="BY303" s="150"/>
      <c r="BZ303" s="150"/>
      <c r="CA303" s="150"/>
      <c r="CB303" s="150"/>
      <c r="CC303" s="150"/>
      <c r="CD303" s="150"/>
      <c r="CE303" s="150"/>
      <c r="CF303" s="150"/>
      <c r="CG303" s="150"/>
      <c r="CH303" s="150"/>
      <c r="CI303" s="150"/>
      <c r="CJ303" s="150"/>
      <c r="CK303" s="150"/>
      <c r="CL303" s="150"/>
      <c r="CM303" s="150"/>
      <c r="CN303" s="150"/>
      <c r="CO303" s="150"/>
      <c r="CP303" s="150"/>
      <c r="CQ303" s="150"/>
      <c r="CR303" s="150"/>
      <c r="CS303" s="150"/>
      <c r="CT303" s="150"/>
      <c r="CU303" s="150"/>
      <c r="CV303" s="150"/>
      <c r="CW303" s="150"/>
      <c r="CX303" s="150"/>
      <c r="CY303" s="150"/>
      <c r="CZ303" s="150"/>
      <c r="DA303" s="150"/>
      <c r="DB303" s="150"/>
      <c r="DC303" s="150"/>
      <c r="DD303" s="150"/>
      <c r="DE303" s="150"/>
      <c r="DF303" s="150"/>
      <c r="DG303" s="150"/>
      <c r="DH303" s="150"/>
      <c r="DI303" s="150"/>
      <c r="DJ303" s="150"/>
      <c r="DK303" s="150"/>
    </row>
    <row r="304" spans="1:115" s="227" customFormat="1" x14ac:dyDescent="0.25">
      <c r="A304" s="258"/>
      <c r="B304" s="258"/>
      <c r="C304" s="584"/>
      <c r="D304" s="595"/>
      <c r="E304" s="537"/>
      <c r="F304" s="541"/>
      <c r="G304" s="541"/>
      <c r="H304" s="540">
        <f t="shared" si="39"/>
        <v>0</v>
      </c>
      <c r="I304" s="537"/>
      <c r="J304" s="541"/>
      <c r="K304" s="541"/>
      <c r="L304" s="540">
        <f t="shared" si="40"/>
        <v>0</v>
      </c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  <c r="AK304" s="150"/>
      <c r="AL304" s="150"/>
      <c r="AM304" s="150"/>
      <c r="AN304" s="150"/>
      <c r="AO304" s="150"/>
      <c r="AP304" s="150"/>
      <c r="AQ304" s="150"/>
      <c r="AR304" s="150"/>
      <c r="AS304" s="150"/>
      <c r="AT304" s="150"/>
      <c r="AU304" s="150"/>
      <c r="AV304" s="150"/>
      <c r="AW304" s="150"/>
      <c r="AX304" s="150"/>
      <c r="AY304" s="150"/>
      <c r="AZ304" s="150"/>
      <c r="BA304" s="150"/>
      <c r="BB304" s="150"/>
      <c r="BC304" s="150"/>
      <c r="BD304" s="150"/>
      <c r="BE304" s="150"/>
      <c r="BF304" s="150"/>
      <c r="BG304" s="150"/>
      <c r="BH304" s="150"/>
      <c r="BI304" s="150"/>
      <c r="BJ304" s="150"/>
      <c r="BK304" s="150"/>
      <c r="BL304" s="150"/>
      <c r="BM304" s="150"/>
      <c r="BN304" s="150"/>
      <c r="BO304" s="150"/>
      <c r="BP304" s="150"/>
      <c r="BQ304" s="150"/>
      <c r="BR304" s="150"/>
      <c r="BS304" s="150"/>
      <c r="BT304" s="150"/>
      <c r="BU304" s="150"/>
      <c r="BV304" s="150"/>
      <c r="BW304" s="150"/>
      <c r="BX304" s="150"/>
      <c r="BY304" s="150"/>
      <c r="BZ304" s="150"/>
      <c r="CA304" s="150"/>
      <c r="CB304" s="150"/>
      <c r="CC304" s="150"/>
      <c r="CD304" s="150"/>
      <c r="CE304" s="150"/>
      <c r="CF304" s="150"/>
      <c r="CG304" s="150"/>
      <c r="CH304" s="150"/>
      <c r="CI304" s="150"/>
      <c r="CJ304" s="150"/>
      <c r="CK304" s="150"/>
      <c r="CL304" s="150"/>
      <c r="CM304" s="150"/>
      <c r="CN304" s="150"/>
      <c r="CO304" s="150"/>
      <c r="CP304" s="150"/>
      <c r="CQ304" s="150"/>
      <c r="CR304" s="150"/>
      <c r="CS304" s="150"/>
      <c r="CT304" s="150"/>
      <c r="CU304" s="150"/>
      <c r="CV304" s="150"/>
      <c r="CW304" s="150"/>
      <c r="CX304" s="150"/>
      <c r="CY304" s="150"/>
      <c r="CZ304" s="150"/>
      <c r="DA304" s="150"/>
      <c r="DB304" s="150"/>
      <c r="DC304" s="150"/>
      <c r="DD304" s="150"/>
      <c r="DE304" s="150"/>
      <c r="DF304" s="150"/>
      <c r="DG304" s="150"/>
      <c r="DH304" s="150"/>
      <c r="DI304" s="150"/>
      <c r="DJ304" s="150"/>
      <c r="DK304" s="150"/>
    </row>
    <row r="305" spans="1:115" s="227" customFormat="1" x14ac:dyDescent="0.25">
      <c r="A305" s="258"/>
      <c r="B305" s="258"/>
      <c r="C305" s="584"/>
      <c r="D305" s="595"/>
      <c r="E305" s="537"/>
      <c r="F305" s="541"/>
      <c r="G305" s="541"/>
      <c r="H305" s="540">
        <f t="shared" si="39"/>
        <v>0</v>
      </c>
      <c r="I305" s="537"/>
      <c r="J305" s="541"/>
      <c r="K305" s="541"/>
      <c r="L305" s="540">
        <f t="shared" si="40"/>
        <v>0</v>
      </c>
      <c r="M305" s="150"/>
      <c r="N305" s="150"/>
      <c r="O305" s="150"/>
      <c r="P305" s="150"/>
      <c r="Q305" s="150"/>
      <c r="R305" s="150"/>
      <c r="S305" s="150"/>
      <c r="T305" s="150"/>
      <c r="U305" s="150"/>
      <c r="V305" s="150"/>
      <c r="W305" s="150"/>
      <c r="X305" s="150"/>
      <c r="Y305" s="150"/>
      <c r="Z305" s="150"/>
      <c r="AA305" s="150"/>
      <c r="AB305" s="150"/>
      <c r="AC305" s="150"/>
      <c r="AD305" s="150"/>
      <c r="AE305" s="150"/>
      <c r="AF305" s="150"/>
      <c r="AG305" s="150"/>
      <c r="AH305" s="150"/>
      <c r="AI305" s="150"/>
      <c r="AJ305" s="150"/>
      <c r="AK305" s="150"/>
      <c r="AL305" s="150"/>
      <c r="AM305" s="150"/>
      <c r="AN305" s="150"/>
      <c r="AO305" s="150"/>
      <c r="AP305" s="150"/>
      <c r="AQ305" s="150"/>
      <c r="AR305" s="150"/>
      <c r="AS305" s="150"/>
      <c r="AT305" s="150"/>
      <c r="AU305" s="150"/>
      <c r="AV305" s="150"/>
      <c r="AW305" s="150"/>
      <c r="AX305" s="150"/>
      <c r="AY305" s="150"/>
      <c r="AZ305" s="150"/>
      <c r="BA305" s="150"/>
      <c r="BB305" s="150"/>
      <c r="BC305" s="150"/>
      <c r="BD305" s="150"/>
      <c r="BE305" s="150"/>
      <c r="BF305" s="150"/>
      <c r="BG305" s="150"/>
      <c r="BH305" s="150"/>
      <c r="BI305" s="150"/>
      <c r="BJ305" s="150"/>
      <c r="BK305" s="150"/>
      <c r="BL305" s="150"/>
      <c r="BM305" s="150"/>
      <c r="BN305" s="150"/>
      <c r="BO305" s="150"/>
      <c r="BP305" s="150"/>
      <c r="BQ305" s="150"/>
      <c r="BR305" s="150"/>
      <c r="BS305" s="150"/>
      <c r="BT305" s="150"/>
      <c r="BU305" s="150"/>
      <c r="BV305" s="150"/>
      <c r="BW305" s="150"/>
      <c r="BX305" s="150"/>
      <c r="BY305" s="150"/>
      <c r="BZ305" s="150"/>
      <c r="CA305" s="150"/>
      <c r="CB305" s="150"/>
      <c r="CC305" s="150"/>
      <c r="CD305" s="150"/>
      <c r="CE305" s="150"/>
      <c r="CF305" s="150"/>
      <c r="CG305" s="150"/>
      <c r="CH305" s="150"/>
      <c r="CI305" s="150"/>
      <c r="CJ305" s="150"/>
      <c r="CK305" s="150"/>
      <c r="CL305" s="150"/>
      <c r="CM305" s="150"/>
      <c r="CN305" s="150"/>
      <c r="CO305" s="150"/>
      <c r="CP305" s="150"/>
      <c r="CQ305" s="150"/>
      <c r="CR305" s="150"/>
      <c r="CS305" s="150"/>
      <c r="CT305" s="150"/>
      <c r="CU305" s="150"/>
      <c r="CV305" s="150"/>
      <c r="CW305" s="150"/>
      <c r="CX305" s="150"/>
      <c r="CY305" s="150"/>
      <c r="CZ305" s="150"/>
      <c r="DA305" s="150"/>
      <c r="DB305" s="150"/>
      <c r="DC305" s="150"/>
      <c r="DD305" s="150"/>
      <c r="DE305" s="150"/>
      <c r="DF305" s="150"/>
      <c r="DG305" s="150"/>
      <c r="DH305" s="150"/>
      <c r="DI305" s="150"/>
      <c r="DJ305" s="150"/>
      <c r="DK305" s="150"/>
    </row>
    <row r="306" spans="1:115" s="227" customFormat="1" x14ac:dyDescent="0.25">
      <c r="A306" s="258"/>
      <c r="B306" s="258"/>
      <c r="C306" s="584"/>
      <c r="D306" s="560"/>
      <c r="E306" s="537"/>
      <c r="F306" s="541"/>
      <c r="G306" s="541"/>
      <c r="H306" s="540">
        <f t="shared" si="39"/>
        <v>0</v>
      </c>
      <c r="I306" s="537"/>
      <c r="J306" s="541"/>
      <c r="K306" s="541"/>
      <c r="L306" s="540">
        <f t="shared" si="40"/>
        <v>0</v>
      </c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  <c r="AP306" s="150"/>
      <c r="AQ306" s="150"/>
      <c r="AR306" s="150"/>
      <c r="AS306" s="150"/>
      <c r="AT306" s="150"/>
      <c r="AU306" s="150"/>
      <c r="AV306" s="150"/>
      <c r="AW306" s="150"/>
      <c r="AX306" s="150"/>
      <c r="AY306" s="150"/>
      <c r="AZ306" s="150"/>
      <c r="BA306" s="150"/>
      <c r="BB306" s="150"/>
      <c r="BC306" s="150"/>
      <c r="BD306" s="150"/>
      <c r="BE306" s="150"/>
      <c r="BF306" s="150"/>
      <c r="BG306" s="150"/>
      <c r="BH306" s="150"/>
      <c r="BI306" s="150"/>
      <c r="BJ306" s="150"/>
      <c r="BK306" s="150"/>
      <c r="BL306" s="150"/>
      <c r="BM306" s="150"/>
      <c r="BN306" s="150"/>
      <c r="BO306" s="150"/>
      <c r="BP306" s="150"/>
      <c r="BQ306" s="150"/>
      <c r="BR306" s="150"/>
      <c r="BS306" s="150"/>
      <c r="BT306" s="150"/>
      <c r="BU306" s="150"/>
      <c r="BV306" s="150"/>
      <c r="BW306" s="150"/>
      <c r="BX306" s="150"/>
      <c r="BY306" s="150"/>
      <c r="BZ306" s="150"/>
      <c r="CA306" s="150"/>
      <c r="CB306" s="150"/>
      <c r="CC306" s="150"/>
      <c r="CD306" s="150"/>
      <c r="CE306" s="150"/>
      <c r="CF306" s="150"/>
      <c r="CG306" s="150"/>
      <c r="CH306" s="150"/>
      <c r="CI306" s="150"/>
      <c r="CJ306" s="150"/>
      <c r="CK306" s="150"/>
      <c r="CL306" s="150"/>
      <c r="CM306" s="150"/>
      <c r="CN306" s="150"/>
      <c r="CO306" s="150"/>
      <c r="CP306" s="150"/>
      <c r="CQ306" s="150"/>
      <c r="CR306" s="150"/>
      <c r="CS306" s="150"/>
      <c r="CT306" s="150"/>
      <c r="CU306" s="150"/>
      <c r="CV306" s="150"/>
      <c r="CW306" s="150"/>
      <c r="CX306" s="150"/>
      <c r="CY306" s="150"/>
      <c r="CZ306" s="150"/>
      <c r="DA306" s="150"/>
      <c r="DB306" s="150"/>
      <c r="DC306" s="150"/>
      <c r="DD306" s="150"/>
      <c r="DE306" s="150"/>
      <c r="DF306" s="150"/>
      <c r="DG306" s="150"/>
      <c r="DH306" s="150"/>
      <c r="DI306" s="150"/>
      <c r="DJ306" s="150"/>
      <c r="DK306" s="150"/>
    </row>
    <row r="307" spans="1:115" s="227" customFormat="1" x14ac:dyDescent="0.25">
      <c r="A307" s="258"/>
      <c r="B307" s="258"/>
      <c r="C307" s="584"/>
      <c r="D307" s="560"/>
      <c r="E307" s="537"/>
      <c r="F307" s="541"/>
      <c r="G307" s="541"/>
      <c r="H307" s="540">
        <f t="shared" si="39"/>
        <v>0</v>
      </c>
      <c r="I307" s="537"/>
      <c r="J307" s="541"/>
      <c r="K307" s="541"/>
      <c r="L307" s="540">
        <f t="shared" si="40"/>
        <v>0</v>
      </c>
      <c r="M307" s="150"/>
      <c r="N307" s="150"/>
      <c r="O307" s="150"/>
      <c r="P307" s="150"/>
      <c r="Q307" s="150"/>
      <c r="R307" s="150"/>
      <c r="S307" s="150"/>
      <c r="T307" s="150"/>
      <c r="U307" s="150"/>
      <c r="V307" s="150"/>
      <c r="W307" s="150"/>
      <c r="X307" s="150"/>
      <c r="Y307" s="150"/>
      <c r="Z307" s="150"/>
      <c r="AA307" s="150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  <c r="AP307" s="150"/>
      <c r="AQ307" s="150"/>
      <c r="AR307" s="150"/>
      <c r="AS307" s="150"/>
      <c r="AT307" s="150"/>
      <c r="AU307" s="150"/>
      <c r="AV307" s="150"/>
      <c r="AW307" s="150"/>
      <c r="AX307" s="150"/>
      <c r="AY307" s="150"/>
      <c r="AZ307" s="150"/>
      <c r="BA307" s="150"/>
      <c r="BB307" s="150"/>
      <c r="BC307" s="150"/>
      <c r="BD307" s="150"/>
      <c r="BE307" s="150"/>
      <c r="BF307" s="150"/>
      <c r="BG307" s="150"/>
      <c r="BH307" s="150"/>
      <c r="BI307" s="150"/>
      <c r="BJ307" s="150"/>
      <c r="BK307" s="150"/>
      <c r="BL307" s="150"/>
      <c r="BM307" s="150"/>
      <c r="BN307" s="150"/>
      <c r="BO307" s="150"/>
      <c r="BP307" s="150"/>
      <c r="BQ307" s="150"/>
      <c r="BR307" s="150"/>
      <c r="BS307" s="150"/>
      <c r="BT307" s="150"/>
      <c r="BU307" s="150"/>
      <c r="BV307" s="150"/>
      <c r="BW307" s="150"/>
      <c r="BX307" s="150"/>
      <c r="BY307" s="150"/>
      <c r="BZ307" s="150"/>
      <c r="CA307" s="150"/>
      <c r="CB307" s="150"/>
      <c r="CC307" s="150"/>
      <c r="CD307" s="150"/>
      <c r="CE307" s="150"/>
      <c r="CF307" s="150"/>
      <c r="CG307" s="150"/>
      <c r="CH307" s="150"/>
      <c r="CI307" s="150"/>
      <c r="CJ307" s="150"/>
      <c r="CK307" s="150"/>
      <c r="CL307" s="150"/>
      <c r="CM307" s="150"/>
      <c r="CN307" s="150"/>
      <c r="CO307" s="150"/>
      <c r="CP307" s="150"/>
      <c r="CQ307" s="150"/>
      <c r="CR307" s="150"/>
      <c r="CS307" s="150"/>
      <c r="CT307" s="150"/>
      <c r="CU307" s="150"/>
      <c r="CV307" s="150"/>
      <c r="CW307" s="150"/>
      <c r="CX307" s="150"/>
      <c r="CY307" s="150"/>
      <c r="CZ307" s="150"/>
      <c r="DA307" s="150"/>
      <c r="DB307" s="150"/>
      <c r="DC307" s="150"/>
      <c r="DD307" s="150"/>
      <c r="DE307" s="150"/>
      <c r="DF307" s="150"/>
      <c r="DG307" s="150"/>
      <c r="DH307" s="150"/>
      <c r="DI307" s="150"/>
      <c r="DJ307" s="150"/>
      <c r="DK307" s="150"/>
    </row>
    <row r="308" spans="1:115" s="227" customFormat="1" x14ac:dyDescent="0.25">
      <c r="A308" s="258"/>
      <c r="B308" s="258"/>
      <c r="C308" s="584"/>
      <c r="D308" s="560"/>
      <c r="E308" s="537"/>
      <c r="F308" s="541"/>
      <c r="G308" s="541"/>
      <c r="H308" s="540">
        <f t="shared" si="39"/>
        <v>0</v>
      </c>
      <c r="I308" s="537"/>
      <c r="J308" s="541"/>
      <c r="K308" s="541"/>
      <c r="L308" s="540">
        <f t="shared" si="40"/>
        <v>0</v>
      </c>
      <c r="M308" s="150"/>
      <c r="N308" s="150"/>
      <c r="O308" s="150"/>
      <c r="P308" s="150"/>
      <c r="Q308" s="150"/>
      <c r="R308" s="150"/>
      <c r="S308" s="150"/>
      <c r="T308" s="150"/>
      <c r="U308" s="150"/>
      <c r="V308" s="150"/>
      <c r="W308" s="150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  <c r="AI308" s="150"/>
      <c r="AJ308" s="150"/>
      <c r="AK308" s="150"/>
      <c r="AL308" s="150"/>
      <c r="AM308" s="150"/>
      <c r="AN308" s="150"/>
      <c r="AO308" s="150"/>
      <c r="AP308" s="150"/>
      <c r="AQ308" s="150"/>
      <c r="AR308" s="150"/>
      <c r="AS308" s="150"/>
      <c r="AT308" s="150"/>
      <c r="AU308" s="150"/>
      <c r="AV308" s="150"/>
      <c r="AW308" s="150"/>
      <c r="AX308" s="150"/>
      <c r="AY308" s="150"/>
      <c r="AZ308" s="150"/>
      <c r="BA308" s="150"/>
      <c r="BB308" s="150"/>
      <c r="BC308" s="150"/>
      <c r="BD308" s="150"/>
      <c r="BE308" s="150"/>
      <c r="BF308" s="150"/>
      <c r="BG308" s="150"/>
      <c r="BH308" s="150"/>
      <c r="BI308" s="150"/>
      <c r="BJ308" s="150"/>
      <c r="BK308" s="150"/>
      <c r="BL308" s="150"/>
      <c r="BM308" s="150"/>
      <c r="BN308" s="150"/>
      <c r="BO308" s="150"/>
      <c r="BP308" s="150"/>
      <c r="BQ308" s="150"/>
      <c r="BR308" s="150"/>
      <c r="BS308" s="150"/>
      <c r="BT308" s="150"/>
      <c r="BU308" s="150"/>
      <c r="BV308" s="150"/>
      <c r="BW308" s="150"/>
      <c r="BX308" s="150"/>
      <c r="BY308" s="150"/>
      <c r="BZ308" s="150"/>
      <c r="CA308" s="150"/>
      <c r="CB308" s="150"/>
      <c r="CC308" s="150"/>
      <c r="CD308" s="150"/>
      <c r="CE308" s="150"/>
      <c r="CF308" s="150"/>
      <c r="CG308" s="150"/>
      <c r="CH308" s="150"/>
      <c r="CI308" s="150"/>
      <c r="CJ308" s="150"/>
      <c r="CK308" s="150"/>
      <c r="CL308" s="150"/>
      <c r="CM308" s="150"/>
      <c r="CN308" s="150"/>
      <c r="CO308" s="150"/>
      <c r="CP308" s="150"/>
      <c r="CQ308" s="150"/>
      <c r="CR308" s="150"/>
      <c r="CS308" s="150"/>
      <c r="CT308" s="150"/>
      <c r="CU308" s="150"/>
      <c r="CV308" s="150"/>
      <c r="CW308" s="150"/>
      <c r="CX308" s="150"/>
      <c r="CY308" s="150"/>
      <c r="CZ308" s="150"/>
      <c r="DA308" s="150"/>
      <c r="DB308" s="150"/>
      <c r="DC308" s="150"/>
      <c r="DD308" s="150"/>
      <c r="DE308" s="150"/>
      <c r="DF308" s="150"/>
      <c r="DG308" s="150"/>
      <c r="DH308" s="150"/>
      <c r="DI308" s="150"/>
      <c r="DJ308" s="150"/>
      <c r="DK308" s="150"/>
    </row>
    <row r="309" spans="1:115" s="227" customFormat="1" x14ac:dyDescent="0.25">
      <c r="A309" s="258"/>
      <c r="B309" s="258"/>
      <c r="C309" s="584"/>
      <c r="D309" s="560"/>
      <c r="E309" s="537"/>
      <c r="F309" s="541"/>
      <c r="G309" s="541"/>
      <c r="H309" s="540">
        <f t="shared" si="39"/>
        <v>0</v>
      </c>
      <c r="I309" s="537"/>
      <c r="J309" s="541"/>
      <c r="K309" s="541"/>
      <c r="L309" s="540">
        <f t="shared" si="40"/>
        <v>0</v>
      </c>
      <c r="M309" s="150"/>
      <c r="N309" s="150"/>
      <c r="O309" s="150"/>
      <c r="P309" s="150"/>
      <c r="Q309" s="150"/>
      <c r="R309" s="150"/>
      <c r="S309" s="150"/>
      <c r="T309" s="150"/>
      <c r="U309" s="150"/>
      <c r="V309" s="150"/>
      <c r="W309" s="150"/>
      <c r="X309" s="150"/>
      <c r="Y309" s="150"/>
      <c r="Z309" s="150"/>
      <c r="AA309" s="150"/>
      <c r="AB309" s="150"/>
      <c r="AC309" s="150"/>
      <c r="AD309" s="150"/>
      <c r="AE309" s="150"/>
      <c r="AF309" s="150"/>
      <c r="AG309" s="150"/>
      <c r="AH309" s="150"/>
      <c r="AI309" s="150"/>
      <c r="AJ309" s="150"/>
      <c r="AK309" s="150"/>
      <c r="AL309" s="150"/>
      <c r="AM309" s="150"/>
      <c r="AN309" s="150"/>
      <c r="AO309" s="150"/>
      <c r="AP309" s="150"/>
      <c r="AQ309" s="150"/>
      <c r="AR309" s="150"/>
      <c r="AS309" s="150"/>
      <c r="AT309" s="150"/>
      <c r="AU309" s="150"/>
      <c r="AV309" s="150"/>
      <c r="AW309" s="150"/>
      <c r="AX309" s="150"/>
      <c r="AY309" s="150"/>
      <c r="AZ309" s="150"/>
      <c r="BA309" s="150"/>
      <c r="BB309" s="150"/>
      <c r="BC309" s="150"/>
      <c r="BD309" s="150"/>
      <c r="BE309" s="150"/>
      <c r="BF309" s="150"/>
      <c r="BG309" s="150"/>
      <c r="BH309" s="150"/>
      <c r="BI309" s="150"/>
      <c r="BJ309" s="150"/>
      <c r="BK309" s="150"/>
      <c r="BL309" s="150"/>
      <c r="BM309" s="150"/>
      <c r="BN309" s="150"/>
      <c r="BO309" s="150"/>
      <c r="BP309" s="150"/>
      <c r="BQ309" s="150"/>
      <c r="BR309" s="150"/>
      <c r="BS309" s="150"/>
      <c r="BT309" s="150"/>
      <c r="BU309" s="150"/>
      <c r="BV309" s="150"/>
      <c r="BW309" s="150"/>
      <c r="BX309" s="150"/>
      <c r="BY309" s="150"/>
      <c r="BZ309" s="150"/>
      <c r="CA309" s="150"/>
      <c r="CB309" s="150"/>
      <c r="CC309" s="150"/>
      <c r="CD309" s="150"/>
      <c r="CE309" s="150"/>
      <c r="CF309" s="150"/>
      <c r="CG309" s="150"/>
      <c r="CH309" s="150"/>
      <c r="CI309" s="150"/>
      <c r="CJ309" s="150"/>
      <c r="CK309" s="150"/>
      <c r="CL309" s="150"/>
      <c r="CM309" s="150"/>
      <c r="CN309" s="150"/>
      <c r="CO309" s="150"/>
      <c r="CP309" s="150"/>
      <c r="CQ309" s="150"/>
      <c r="CR309" s="150"/>
      <c r="CS309" s="150"/>
      <c r="CT309" s="150"/>
      <c r="CU309" s="150"/>
      <c r="CV309" s="150"/>
      <c r="CW309" s="150"/>
      <c r="CX309" s="150"/>
      <c r="CY309" s="150"/>
      <c r="CZ309" s="150"/>
      <c r="DA309" s="150"/>
      <c r="DB309" s="150"/>
      <c r="DC309" s="150"/>
      <c r="DD309" s="150"/>
      <c r="DE309" s="150"/>
      <c r="DF309" s="150"/>
      <c r="DG309" s="150"/>
      <c r="DH309" s="150"/>
      <c r="DI309" s="150"/>
      <c r="DJ309" s="150"/>
      <c r="DK309" s="150"/>
    </row>
    <row r="310" spans="1:115" x14ac:dyDescent="0.25">
      <c r="A310" s="258"/>
      <c r="B310" s="258"/>
      <c r="C310" s="584"/>
      <c r="D310" s="559"/>
      <c r="E310" s="534"/>
      <c r="F310" s="262"/>
      <c r="G310" s="262"/>
      <c r="H310" s="536">
        <f t="shared" si="39"/>
        <v>0</v>
      </c>
      <c r="I310" s="534"/>
      <c r="J310" s="262"/>
      <c r="K310" s="262"/>
      <c r="L310" s="536">
        <f t="shared" si="40"/>
        <v>0</v>
      </c>
    </row>
    <row r="311" spans="1:115" s="227" customFormat="1" x14ac:dyDescent="0.25">
      <c r="A311" s="258"/>
      <c r="B311" s="258"/>
      <c r="C311" s="585"/>
      <c r="D311" s="560"/>
      <c r="E311" s="537"/>
      <c r="F311" s="253"/>
      <c r="G311" s="541"/>
      <c r="H311" s="536">
        <f t="shared" si="39"/>
        <v>0</v>
      </c>
      <c r="I311" s="537"/>
      <c r="J311" s="253"/>
      <c r="K311" s="541"/>
      <c r="L311" s="536">
        <f t="shared" si="40"/>
        <v>0</v>
      </c>
      <c r="M311" s="150"/>
      <c r="N311" s="150"/>
      <c r="O311" s="150"/>
      <c r="P311" s="150"/>
      <c r="Q311" s="150"/>
      <c r="R311" s="150"/>
      <c r="S311" s="150"/>
      <c r="T311" s="150"/>
      <c r="U311" s="150"/>
      <c r="V311" s="150"/>
      <c r="W311" s="150"/>
      <c r="X311" s="150"/>
      <c r="Y311" s="150"/>
      <c r="Z311" s="150"/>
      <c r="AA311" s="150"/>
      <c r="AB311" s="150"/>
      <c r="AC311" s="150"/>
      <c r="AD311" s="150"/>
      <c r="AE311" s="150"/>
      <c r="AF311" s="150"/>
      <c r="AG311" s="150"/>
      <c r="AH311" s="150"/>
      <c r="AI311" s="150"/>
      <c r="AJ311" s="150"/>
      <c r="AK311" s="150"/>
      <c r="AL311" s="150"/>
      <c r="AM311" s="150"/>
      <c r="AN311" s="150"/>
      <c r="AO311" s="150"/>
      <c r="AP311" s="150"/>
      <c r="AQ311" s="150"/>
      <c r="AR311" s="150"/>
      <c r="AS311" s="150"/>
      <c r="AT311" s="150"/>
      <c r="AU311" s="150"/>
      <c r="AV311" s="150"/>
      <c r="AW311" s="150"/>
      <c r="AX311" s="150"/>
      <c r="AY311" s="150"/>
      <c r="AZ311" s="150"/>
      <c r="BA311" s="150"/>
      <c r="BB311" s="150"/>
      <c r="BC311" s="150"/>
      <c r="BD311" s="150"/>
      <c r="BE311" s="150"/>
      <c r="BF311" s="150"/>
      <c r="BG311" s="150"/>
      <c r="BH311" s="150"/>
      <c r="BI311" s="150"/>
      <c r="BJ311" s="150"/>
      <c r="BK311" s="150"/>
      <c r="BL311" s="150"/>
      <c r="BM311" s="150"/>
      <c r="BN311" s="150"/>
      <c r="BO311" s="150"/>
      <c r="BP311" s="150"/>
      <c r="BQ311" s="150"/>
      <c r="BR311" s="150"/>
      <c r="BS311" s="150"/>
      <c r="BT311" s="150"/>
      <c r="BU311" s="150"/>
      <c r="BV311" s="150"/>
      <c r="BW311" s="150"/>
      <c r="BX311" s="150"/>
      <c r="BY311" s="150"/>
      <c r="BZ311" s="150"/>
      <c r="CA311" s="150"/>
      <c r="CB311" s="150"/>
      <c r="CC311" s="150"/>
      <c r="CD311" s="150"/>
      <c r="CE311" s="150"/>
      <c r="CF311" s="150"/>
      <c r="CG311" s="150"/>
      <c r="CH311" s="150"/>
      <c r="CI311" s="150"/>
      <c r="CJ311" s="150"/>
      <c r="CK311" s="150"/>
      <c r="CL311" s="150"/>
      <c r="CM311" s="150"/>
      <c r="CN311" s="150"/>
      <c r="CO311" s="150"/>
      <c r="CP311" s="150"/>
      <c r="CQ311" s="150"/>
      <c r="CR311" s="150"/>
      <c r="CS311" s="150"/>
      <c r="CT311" s="150"/>
      <c r="CU311" s="150"/>
      <c r="CV311" s="150"/>
      <c r="CW311" s="150"/>
      <c r="CX311" s="150"/>
      <c r="CY311" s="150"/>
      <c r="CZ311" s="150"/>
      <c r="DA311" s="150"/>
      <c r="DB311" s="150"/>
      <c r="DC311" s="150"/>
      <c r="DD311" s="150"/>
      <c r="DE311" s="150"/>
      <c r="DF311" s="150"/>
      <c r="DG311" s="150"/>
      <c r="DH311" s="150"/>
      <c r="DI311" s="150"/>
      <c r="DJ311" s="150"/>
      <c r="DK311" s="150"/>
    </row>
    <row r="312" spans="1:115" s="617" customFormat="1" x14ac:dyDescent="0.25">
      <c r="A312" s="610"/>
      <c r="B312" s="610"/>
      <c r="C312" s="631"/>
      <c r="D312" s="612"/>
      <c r="E312" s="613"/>
      <c r="F312" s="615"/>
      <c r="G312" s="615"/>
      <c r="H312" s="630">
        <f t="shared" si="39"/>
        <v>0</v>
      </c>
      <c r="I312" s="613"/>
      <c r="J312" s="615"/>
      <c r="K312" s="615"/>
      <c r="L312" s="630">
        <f t="shared" si="40"/>
        <v>0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  <c r="BQ312" s="25"/>
      <c r="BR312" s="25"/>
      <c r="BS312" s="25"/>
      <c r="BT312" s="25"/>
      <c r="BU312" s="25"/>
      <c r="BV312" s="25"/>
      <c r="BW312" s="25"/>
      <c r="BX312" s="25"/>
      <c r="BY312" s="25"/>
      <c r="BZ312" s="25"/>
      <c r="CA312" s="25"/>
      <c r="CB312" s="25"/>
      <c r="CC312" s="25"/>
      <c r="CD312" s="25"/>
      <c r="CE312" s="25"/>
      <c r="CF312" s="25"/>
      <c r="CG312" s="25"/>
      <c r="CH312" s="25"/>
      <c r="CI312" s="25"/>
      <c r="CJ312" s="25"/>
      <c r="CK312" s="25"/>
      <c r="CL312" s="25"/>
      <c r="CM312" s="25"/>
      <c r="CN312" s="25"/>
      <c r="CO312" s="25"/>
      <c r="CP312" s="25"/>
      <c r="CQ312" s="25"/>
      <c r="CR312" s="25"/>
      <c r="CS312" s="25"/>
      <c r="CT312" s="25"/>
      <c r="CU312" s="25"/>
      <c r="CV312" s="25"/>
      <c r="CW312" s="25"/>
      <c r="CX312" s="25"/>
      <c r="CY312" s="25"/>
      <c r="CZ312" s="25"/>
      <c r="DA312" s="25"/>
      <c r="DB312" s="25"/>
      <c r="DC312" s="25"/>
      <c r="DD312" s="25"/>
      <c r="DE312" s="25"/>
      <c r="DF312" s="25"/>
      <c r="DG312" s="25"/>
      <c r="DH312" s="25"/>
      <c r="DI312" s="25"/>
      <c r="DJ312" s="25"/>
      <c r="DK312" s="25"/>
    </row>
    <row r="313" spans="1:115" s="227" customFormat="1" x14ac:dyDescent="0.25">
      <c r="A313" s="258"/>
      <c r="B313" s="258"/>
      <c r="C313" s="584"/>
      <c r="D313" s="560"/>
      <c r="E313" s="537"/>
      <c r="F313" s="541"/>
      <c r="G313" s="541"/>
      <c r="H313" s="540">
        <f t="shared" si="39"/>
        <v>0</v>
      </c>
      <c r="I313" s="537"/>
      <c r="J313" s="541"/>
      <c r="K313" s="541"/>
      <c r="L313" s="540">
        <f t="shared" si="40"/>
        <v>0</v>
      </c>
      <c r="M313" s="150"/>
      <c r="N313" s="150"/>
      <c r="O313" s="150"/>
      <c r="P313" s="150"/>
      <c r="Q313" s="150"/>
      <c r="R313" s="150"/>
      <c r="S313" s="150"/>
      <c r="T313" s="150"/>
      <c r="U313" s="150"/>
      <c r="V313" s="150"/>
      <c r="W313" s="150"/>
      <c r="X313" s="150"/>
      <c r="Y313" s="150"/>
      <c r="Z313" s="150"/>
      <c r="AA313" s="150"/>
      <c r="AB313" s="150"/>
      <c r="AC313" s="150"/>
      <c r="AD313" s="150"/>
      <c r="AE313" s="150"/>
      <c r="AF313" s="150"/>
      <c r="AG313" s="150"/>
      <c r="AH313" s="150"/>
      <c r="AI313" s="150"/>
      <c r="AJ313" s="150"/>
      <c r="AK313" s="150"/>
      <c r="AL313" s="150"/>
      <c r="AM313" s="150"/>
      <c r="AN313" s="150"/>
      <c r="AO313" s="150"/>
      <c r="AP313" s="150"/>
      <c r="AQ313" s="150"/>
      <c r="AR313" s="150"/>
      <c r="AS313" s="150"/>
      <c r="AT313" s="150"/>
      <c r="AU313" s="150"/>
      <c r="AV313" s="150"/>
      <c r="AW313" s="150"/>
      <c r="AX313" s="150"/>
      <c r="AY313" s="150"/>
      <c r="AZ313" s="150"/>
      <c r="BA313" s="150"/>
      <c r="BB313" s="150"/>
      <c r="BC313" s="150"/>
      <c r="BD313" s="150"/>
      <c r="BE313" s="150"/>
      <c r="BF313" s="150"/>
      <c r="BG313" s="150"/>
      <c r="BH313" s="150"/>
      <c r="BI313" s="150"/>
      <c r="BJ313" s="150"/>
      <c r="BK313" s="150"/>
      <c r="BL313" s="150"/>
      <c r="BM313" s="150"/>
      <c r="BN313" s="150"/>
      <c r="BO313" s="150"/>
      <c r="BP313" s="150"/>
      <c r="BQ313" s="150"/>
      <c r="BR313" s="150"/>
      <c r="BS313" s="150"/>
      <c r="BT313" s="150"/>
      <c r="BU313" s="150"/>
      <c r="BV313" s="150"/>
      <c r="BW313" s="150"/>
      <c r="BX313" s="150"/>
      <c r="BY313" s="150"/>
      <c r="BZ313" s="150"/>
      <c r="CA313" s="150"/>
      <c r="CB313" s="150"/>
      <c r="CC313" s="150"/>
      <c r="CD313" s="150"/>
      <c r="CE313" s="150"/>
      <c r="CF313" s="150"/>
      <c r="CG313" s="150"/>
      <c r="CH313" s="150"/>
      <c r="CI313" s="150"/>
      <c r="CJ313" s="150"/>
      <c r="CK313" s="150"/>
      <c r="CL313" s="150"/>
      <c r="CM313" s="150"/>
      <c r="CN313" s="150"/>
      <c r="CO313" s="150"/>
      <c r="CP313" s="150"/>
      <c r="CQ313" s="150"/>
      <c r="CR313" s="150"/>
      <c r="CS313" s="150"/>
      <c r="CT313" s="150"/>
      <c r="CU313" s="150"/>
      <c r="CV313" s="150"/>
      <c r="CW313" s="150"/>
      <c r="CX313" s="150"/>
      <c r="CY313" s="150"/>
      <c r="CZ313" s="150"/>
      <c r="DA313" s="150"/>
      <c r="DB313" s="150"/>
      <c r="DC313" s="150"/>
      <c r="DD313" s="150"/>
      <c r="DE313" s="150"/>
      <c r="DF313" s="150"/>
      <c r="DG313" s="150"/>
      <c r="DH313" s="150"/>
      <c r="DI313" s="150"/>
      <c r="DJ313" s="150"/>
      <c r="DK313" s="150"/>
    </row>
    <row r="314" spans="1:115" x14ac:dyDescent="0.25">
      <c r="A314" s="258"/>
      <c r="B314" s="258"/>
      <c r="C314" s="584"/>
      <c r="D314" s="559"/>
      <c r="E314" s="537"/>
      <c r="F314" s="253"/>
      <c r="G314" s="541"/>
      <c r="H314" s="536">
        <f t="shared" si="39"/>
        <v>0</v>
      </c>
      <c r="I314" s="537"/>
      <c r="J314" s="253"/>
      <c r="K314" s="541"/>
      <c r="L314" s="536">
        <f t="shared" si="40"/>
        <v>0</v>
      </c>
    </row>
    <row r="315" spans="1:115" x14ac:dyDescent="0.25">
      <c r="A315" s="258"/>
      <c r="B315" s="258"/>
      <c r="C315" s="584"/>
      <c r="D315" s="559"/>
      <c r="E315" s="537"/>
      <c r="F315" s="253"/>
      <c r="G315" s="541"/>
      <c r="H315" s="536">
        <f t="shared" si="39"/>
        <v>0</v>
      </c>
      <c r="I315" s="537"/>
      <c r="J315" s="253"/>
      <c r="K315" s="541"/>
      <c r="L315" s="536">
        <f t="shared" si="40"/>
        <v>0</v>
      </c>
    </row>
    <row r="316" spans="1:115" x14ac:dyDescent="0.25">
      <c r="A316" s="261"/>
      <c r="B316" s="261"/>
      <c r="C316" s="587"/>
      <c r="D316" s="558"/>
      <c r="E316" s="534"/>
      <c r="F316" s="253"/>
      <c r="G316" s="535"/>
      <c r="H316" s="536">
        <f t="shared" si="39"/>
        <v>0</v>
      </c>
      <c r="I316" s="534"/>
      <c r="J316" s="253"/>
      <c r="K316" s="535"/>
      <c r="L316" s="536">
        <f t="shared" si="40"/>
        <v>0</v>
      </c>
    </row>
    <row r="317" spans="1:115" x14ac:dyDescent="0.25">
      <c r="A317" s="258"/>
      <c r="B317" s="258"/>
      <c r="C317" s="584"/>
      <c r="D317" s="559" t="s">
        <v>0</v>
      </c>
      <c r="E317" s="534"/>
      <c r="F317" s="542">
        <f>SUM(F301:F316)</f>
        <v>0</v>
      </c>
      <c r="G317" s="543" t="e">
        <f>H317/F317</f>
        <v>#DIV/0!</v>
      </c>
      <c r="H317" s="544">
        <f>SUM(H301:H316)</f>
        <v>0</v>
      </c>
      <c r="I317" s="534"/>
      <c r="J317" s="542">
        <f>SUM(J301:J316)</f>
        <v>0</v>
      </c>
      <c r="K317" s="543" t="e">
        <f>L317/J317</f>
        <v>#DIV/0!</v>
      </c>
      <c r="L317" s="544">
        <f>SUM(L301:L316)</f>
        <v>0</v>
      </c>
    </row>
    <row r="318" spans="1:115" x14ac:dyDescent="0.25">
      <c r="A318" s="545"/>
      <c r="B318" s="545"/>
      <c r="C318" s="586"/>
      <c r="D318" s="561"/>
      <c r="E318" s="546"/>
      <c r="F318" s="546"/>
      <c r="G318" s="547"/>
      <c r="H318" s="548"/>
      <c r="I318" s="546"/>
      <c r="J318" s="546"/>
      <c r="K318" s="547"/>
      <c r="L318" s="548"/>
    </row>
    <row r="319" spans="1:115" x14ac:dyDescent="0.25">
      <c r="A319" s="258"/>
      <c r="B319" s="258"/>
      <c r="C319" s="584"/>
      <c r="D319" s="558"/>
      <c r="E319" s="534"/>
      <c r="F319" s="253"/>
      <c r="G319" s="535"/>
      <c r="H319" s="536">
        <f t="shared" ref="H319:H329" si="41">F319*G319</f>
        <v>0</v>
      </c>
      <c r="I319" s="534"/>
      <c r="J319" s="253"/>
      <c r="K319" s="535"/>
      <c r="L319" s="536">
        <f t="shared" ref="L319:L329" si="42">J319*K319</f>
        <v>0</v>
      </c>
    </row>
    <row r="320" spans="1:115" x14ac:dyDescent="0.25">
      <c r="D320" s="560">
        <f>D302+1</f>
        <v>45644</v>
      </c>
      <c r="E320" s="537"/>
      <c r="F320" s="253"/>
      <c r="G320" s="541"/>
      <c r="H320" s="536">
        <f t="shared" si="41"/>
        <v>0</v>
      </c>
      <c r="I320" s="537"/>
      <c r="J320" s="253"/>
      <c r="K320" s="541"/>
      <c r="L320" s="536">
        <f t="shared" si="42"/>
        <v>0</v>
      </c>
    </row>
    <row r="321" spans="1:115" s="227" customFormat="1" x14ac:dyDescent="0.25">
      <c r="A321" s="258"/>
      <c r="B321" s="258"/>
      <c r="C321" s="585"/>
      <c r="D321" s="595"/>
      <c r="E321" s="537"/>
      <c r="F321" s="541"/>
      <c r="G321" s="541"/>
      <c r="H321" s="540">
        <f t="shared" si="41"/>
        <v>0</v>
      </c>
      <c r="I321" s="537"/>
      <c r="J321" s="541"/>
      <c r="K321" s="541"/>
      <c r="L321" s="540">
        <f t="shared" si="42"/>
        <v>0</v>
      </c>
      <c r="M321" s="150"/>
      <c r="N321" s="150"/>
      <c r="O321" s="150"/>
      <c r="P321" s="150"/>
      <c r="Q321" s="150"/>
      <c r="R321" s="150"/>
      <c r="S321" s="150"/>
      <c r="T321" s="150"/>
      <c r="U321" s="150"/>
      <c r="V321" s="150"/>
      <c r="W321" s="150"/>
      <c r="X321" s="150"/>
      <c r="Y321" s="150"/>
      <c r="Z321" s="150"/>
      <c r="AA321" s="150"/>
      <c r="AB321" s="150"/>
      <c r="AC321" s="150"/>
      <c r="AD321" s="150"/>
      <c r="AE321" s="150"/>
      <c r="AF321" s="150"/>
      <c r="AG321" s="150"/>
      <c r="AH321" s="150"/>
      <c r="AI321" s="150"/>
      <c r="AJ321" s="150"/>
      <c r="AK321" s="150"/>
      <c r="AL321" s="150"/>
      <c r="AM321" s="150"/>
      <c r="AN321" s="150"/>
      <c r="AO321" s="150"/>
      <c r="AP321" s="150"/>
      <c r="AQ321" s="150"/>
      <c r="AR321" s="150"/>
      <c r="AS321" s="150"/>
      <c r="AT321" s="150"/>
      <c r="AU321" s="150"/>
      <c r="AV321" s="150"/>
      <c r="AW321" s="150"/>
      <c r="AX321" s="150"/>
      <c r="AY321" s="150"/>
      <c r="AZ321" s="150"/>
      <c r="BA321" s="150"/>
      <c r="BB321" s="150"/>
      <c r="BC321" s="150"/>
      <c r="BD321" s="150"/>
      <c r="BE321" s="150"/>
      <c r="BF321" s="150"/>
      <c r="BG321" s="150"/>
      <c r="BH321" s="150"/>
      <c r="BI321" s="150"/>
      <c r="BJ321" s="150"/>
      <c r="BK321" s="150"/>
      <c r="BL321" s="150"/>
      <c r="BM321" s="150"/>
      <c r="BN321" s="150"/>
      <c r="BO321" s="150"/>
      <c r="BP321" s="150"/>
      <c r="BQ321" s="150"/>
      <c r="BR321" s="150"/>
      <c r="BS321" s="150"/>
      <c r="BT321" s="150"/>
      <c r="BU321" s="150"/>
      <c r="BV321" s="150"/>
      <c r="BW321" s="150"/>
      <c r="BX321" s="150"/>
      <c r="BY321" s="150"/>
      <c r="BZ321" s="150"/>
      <c r="CA321" s="150"/>
      <c r="CB321" s="150"/>
      <c r="CC321" s="150"/>
      <c r="CD321" s="150"/>
      <c r="CE321" s="150"/>
      <c r="CF321" s="150"/>
      <c r="CG321" s="150"/>
      <c r="CH321" s="150"/>
      <c r="CI321" s="150"/>
      <c r="CJ321" s="150"/>
      <c r="CK321" s="150"/>
      <c r="CL321" s="150"/>
      <c r="CM321" s="150"/>
      <c r="CN321" s="150"/>
      <c r="CO321" s="150"/>
      <c r="CP321" s="150"/>
      <c r="CQ321" s="150"/>
      <c r="CR321" s="150"/>
      <c r="CS321" s="150"/>
      <c r="CT321" s="150"/>
      <c r="CU321" s="150"/>
      <c r="CV321" s="150"/>
      <c r="CW321" s="150"/>
      <c r="CX321" s="150"/>
      <c r="CY321" s="150"/>
      <c r="CZ321" s="150"/>
      <c r="DA321" s="150"/>
      <c r="DB321" s="150"/>
      <c r="DC321" s="150"/>
      <c r="DD321" s="150"/>
      <c r="DE321" s="150"/>
      <c r="DF321" s="150"/>
      <c r="DG321" s="150"/>
      <c r="DH321" s="150"/>
      <c r="DI321" s="150"/>
      <c r="DJ321" s="150"/>
      <c r="DK321" s="150"/>
    </row>
    <row r="322" spans="1:115" s="227" customFormat="1" x14ac:dyDescent="0.25">
      <c r="A322" s="258"/>
      <c r="B322" s="258"/>
      <c r="C322" s="584"/>
      <c r="D322" s="595"/>
      <c r="E322" s="537"/>
      <c r="F322" s="541"/>
      <c r="G322" s="541"/>
      <c r="H322" s="540">
        <f t="shared" si="41"/>
        <v>0</v>
      </c>
      <c r="I322" s="537"/>
      <c r="J322" s="541"/>
      <c r="K322" s="541"/>
      <c r="L322" s="540">
        <f t="shared" si="42"/>
        <v>0</v>
      </c>
      <c r="M322" s="150"/>
      <c r="N322" s="150"/>
      <c r="O322" s="150"/>
      <c r="P322" s="150"/>
      <c r="Q322" s="150"/>
      <c r="R322" s="150"/>
      <c r="S322" s="150"/>
      <c r="T322" s="150"/>
      <c r="U322" s="150"/>
      <c r="V322" s="150"/>
      <c r="W322" s="150"/>
      <c r="X322" s="150"/>
      <c r="Y322" s="150"/>
      <c r="Z322" s="150"/>
      <c r="AA322" s="150"/>
      <c r="AB322" s="150"/>
      <c r="AC322" s="150"/>
      <c r="AD322" s="150"/>
      <c r="AE322" s="150"/>
      <c r="AF322" s="150"/>
      <c r="AG322" s="150"/>
      <c r="AH322" s="150"/>
      <c r="AI322" s="150"/>
      <c r="AJ322" s="150"/>
      <c r="AK322" s="150"/>
      <c r="AL322" s="150"/>
      <c r="AM322" s="150"/>
      <c r="AN322" s="150"/>
      <c r="AO322" s="150"/>
      <c r="AP322" s="150"/>
      <c r="AQ322" s="150"/>
      <c r="AR322" s="150"/>
      <c r="AS322" s="150"/>
      <c r="AT322" s="150"/>
      <c r="AU322" s="150"/>
      <c r="AV322" s="150"/>
      <c r="AW322" s="150"/>
      <c r="AX322" s="150"/>
      <c r="AY322" s="150"/>
      <c r="AZ322" s="150"/>
      <c r="BA322" s="150"/>
      <c r="BB322" s="150"/>
      <c r="BC322" s="150"/>
      <c r="BD322" s="150"/>
      <c r="BE322" s="150"/>
      <c r="BF322" s="150"/>
      <c r="BG322" s="150"/>
      <c r="BH322" s="150"/>
      <c r="BI322" s="150"/>
      <c r="BJ322" s="150"/>
      <c r="BK322" s="150"/>
      <c r="BL322" s="150"/>
      <c r="BM322" s="150"/>
      <c r="BN322" s="150"/>
      <c r="BO322" s="150"/>
      <c r="BP322" s="150"/>
      <c r="BQ322" s="150"/>
      <c r="BR322" s="150"/>
      <c r="BS322" s="150"/>
      <c r="BT322" s="150"/>
      <c r="BU322" s="150"/>
      <c r="BV322" s="150"/>
      <c r="BW322" s="150"/>
      <c r="BX322" s="150"/>
      <c r="BY322" s="150"/>
      <c r="BZ322" s="150"/>
      <c r="CA322" s="150"/>
      <c r="CB322" s="150"/>
      <c r="CC322" s="150"/>
      <c r="CD322" s="150"/>
      <c r="CE322" s="150"/>
      <c r="CF322" s="150"/>
      <c r="CG322" s="150"/>
      <c r="CH322" s="150"/>
      <c r="CI322" s="150"/>
      <c r="CJ322" s="150"/>
      <c r="CK322" s="150"/>
      <c r="CL322" s="150"/>
      <c r="CM322" s="150"/>
      <c r="CN322" s="150"/>
      <c r="CO322" s="150"/>
      <c r="CP322" s="150"/>
      <c r="CQ322" s="150"/>
      <c r="CR322" s="150"/>
      <c r="CS322" s="150"/>
      <c r="CT322" s="150"/>
      <c r="CU322" s="150"/>
      <c r="CV322" s="150"/>
      <c r="CW322" s="150"/>
      <c r="CX322" s="150"/>
      <c r="CY322" s="150"/>
      <c r="CZ322" s="150"/>
      <c r="DA322" s="150"/>
      <c r="DB322" s="150"/>
      <c r="DC322" s="150"/>
      <c r="DD322" s="150"/>
      <c r="DE322" s="150"/>
      <c r="DF322" s="150"/>
      <c r="DG322" s="150"/>
      <c r="DH322" s="150"/>
      <c r="DI322" s="150"/>
      <c r="DJ322" s="150"/>
      <c r="DK322" s="150"/>
    </row>
    <row r="323" spans="1:115" s="227" customFormat="1" x14ac:dyDescent="0.25">
      <c r="A323" s="258"/>
      <c r="B323" s="258"/>
      <c r="C323" s="584"/>
      <c r="D323" s="595"/>
      <c r="E323" s="537"/>
      <c r="F323" s="541"/>
      <c r="G323" s="541"/>
      <c r="H323" s="540">
        <f t="shared" si="41"/>
        <v>0</v>
      </c>
      <c r="I323" s="537"/>
      <c r="J323" s="541"/>
      <c r="K323" s="541"/>
      <c r="L323" s="540">
        <f t="shared" si="42"/>
        <v>0</v>
      </c>
      <c r="M323" s="150"/>
      <c r="N323" s="150"/>
      <c r="O323" s="150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  <c r="AK323" s="150"/>
      <c r="AL323" s="150"/>
      <c r="AM323" s="150"/>
      <c r="AN323" s="150"/>
      <c r="AO323" s="150"/>
      <c r="AP323" s="150"/>
      <c r="AQ323" s="150"/>
      <c r="AR323" s="150"/>
      <c r="AS323" s="150"/>
      <c r="AT323" s="150"/>
      <c r="AU323" s="150"/>
      <c r="AV323" s="150"/>
      <c r="AW323" s="150"/>
      <c r="AX323" s="150"/>
      <c r="AY323" s="150"/>
      <c r="AZ323" s="150"/>
      <c r="BA323" s="150"/>
      <c r="BB323" s="150"/>
      <c r="BC323" s="150"/>
      <c r="BD323" s="150"/>
      <c r="BE323" s="150"/>
      <c r="BF323" s="150"/>
      <c r="BG323" s="150"/>
      <c r="BH323" s="150"/>
      <c r="BI323" s="150"/>
      <c r="BJ323" s="150"/>
      <c r="BK323" s="150"/>
      <c r="BL323" s="150"/>
      <c r="BM323" s="150"/>
      <c r="BN323" s="150"/>
      <c r="BO323" s="150"/>
      <c r="BP323" s="150"/>
      <c r="BQ323" s="150"/>
      <c r="BR323" s="150"/>
      <c r="BS323" s="150"/>
      <c r="BT323" s="150"/>
      <c r="BU323" s="150"/>
      <c r="BV323" s="150"/>
      <c r="BW323" s="150"/>
      <c r="BX323" s="150"/>
      <c r="BY323" s="150"/>
      <c r="BZ323" s="150"/>
      <c r="CA323" s="150"/>
      <c r="CB323" s="150"/>
      <c r="CC323" s="150"/>
      <c r="CD323" s="150"/>
      <c r="CE323" s="150"/>
      <c r="CF323" s="150"/>
      <c r="CG323" s="150"/>
      <c r="CH323" s="150"/>
      <c r="CI323" s="150"/>
      <c r="CJ323" s="150"/>
      <c r="CK323" s="150"/>
      <c r="CL323" s="150"/>
      <c r="CM323" s="150"/>
      <c r="CN323" s="150"/>
      <c r="CO323" s="150"/>
      <c r="CP323" s="150"/>
      <c r="CQ323" s="150"/>
      <c r="CR323" s="150"/>
      <c r="CS323" s="150"/>
      <c r="CT323" s="150"/>
      <c r="CU323" s="150"/>
      <c r="CV323" s="150"/>
      <c r="CW323" s="150"/>
      <c r="CX323" s="150"/>
      <c r="CY323" s="150"/>
      <c r="CZ323" s="150"/>
      <c r="DA323" s="150"/>
      <c r="DB323" s="150"/>
      <c r="DC323" s="150"/>
      <c r="DD323" s="150"/>
      <c r="DE323" s="150"/>
      <c r="DF323" s="150"/>
      <c r="DG323" s="150"/>
      <c r="DH323" s="150"/>
      <c r="DI323" s="150"/>
      <c r="DJ323" s="150"/>
      <c r="DK323" s="150"/>
    </row>
    <row r="324" spans="1:115" s="227" customFormat="1" x14ac:dyDescent="0.25">
      <c r="A324" s="258"/>
      <c r="B324" s="258"/>
      <c r="C324" s="584"/>
      <c r="D324" s="560"/>
      <c r="E324" s="537"/>
      <c r="F324" s="541"/>
      <c r="G324" s="541"/>
      <c r="H324" s="540">
        <f t="shared" si="41"/>
        <v>0</v>
      </c>
      <c r="I324" s="537"/>
      <c r="J324" s="541"/>
      <c r="K324" s="541"/>
      <c r="L324" s="540">
        <f t="shared" si="42"/>
        <v>0</v>
      </c>
      <c r="M324" s="150"/>
      <c r="N324" s="150"/>
      <c r="O324" s="150"/>
      <c r="P324" s="150"/>
      <c r="Q324" s="150"/>
      <c r="R324" s="150"/>
      <c r="S324" s="150"/>
      <c r="T324" s="150"/>
      <c r="U324" s="150"/>
      <c r="V324" s="150"/>
      <c r="W324" s="150"/>
      <c r="X324" s="150"/>
      <c r="Y324" s="150"/>
      <c r="Z324" s="150"/>
      <c r="AA324" s="150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  <c r="AN324" s="150"/>
      <c r="AO324" s="150"/>
      <c r="AP324" s="150"/>
      <c r="AQ324" s="150"/>
      <c r="AR324" s="150"/>
      <c r="AS324" s="150"/>
      <c r="AT324" s="150"/>
      <c r="AU324" s="150"/>
      <c r="AV324" s="150"/>
      <c r="AW324" s="150"/>
      <c r="AX324" s="150"/>
      <c r="AY324" s="150"/>
      <c r="AZ324" s="150"/>
      <c r="BA324" s="150"/>
      <c r="BB324" s="150"/>
      <c r="BC324" s="150"/>
      <c r="BD324" s="150"/>
      <c r="BE324" s="150"/>
      <c r="BF324" s="150"/>
      <c r="BG324" s="150"/>
      <c r="BH324" s="150"/>
      <c r="BI324" s="150"/>
      <c r="BJ324" s="150"/>
      <c r="BK324" s="150"/>
      <c r="BL324" s="150"/>
      <c r="BM324" s="150"/>
      <c r="BN324" s="150"/>
      <c r="BO324" s="150"/>
      <c r="BP324" s="150"/>
      <c r="BQ324" s="150"/>
      <c r="BR324" s="150"/>
      <c r="BS324" s="150"/>
      <c r="BT324" s="150"/>
      <c r="BU324" s="150"/>
      <c r="BV324" s="150"/>
      <c r="BW324" s="150"/>
      <c r="BX324" s="150"/>
      <c r="BY324" s="150"/>
      <c r="BZ324" s="150"/>
      <c r="CA324" s="150"/>
      <c r="CB324" s="150"/>
      <c r="CC324" s="150"/>
      <c r="CD324" s="150"/>
      <c r="CE324" s="150"/>
      <c r="CF324" s="150"/>
      <c r="CG324" s="150"/>
      <c r="CH324" s="150"/>
      <c r="CI324" s="150"/>
      <c r="CJ324" s="150"/>
      <c r="CK324" s="150"/>
      <c r="CL324" s="150"/>
      <c r="CM324" s="150"/>
      <c r="CN324" s="150"/>
      <c r="CO324" s="150"/>
      <c r="CP324" s="150"/>
      <c r="CQ324" s="150"/>
      <c r="CR324" s="150"/>
      <c r="CS324" s="150"/>
      <c r="CT324" s="150"/>
      <c r="CU324" s="150"/>
      <c r="CV324" s="150"/>
      <c r="CW324" s="150"/>
      <c r="CX324" s="150"/>
      <c r="CY324" s="150"/>
      <c r="CZ324" s="150"/>
      <c r="DA324" s="150"/>
      <c r="DB324" s="150"/>
      <c r="DC324" s="150"/>
      <c r="DD324" s="150"/>
      <c r="DE324" s="150"/>
      <c r="DF324" s="150"/>
      <c r="DG324" s="150"/>
      <c r="DH324" s="150"/>
      <c r="DI324" s="150"/>
      <c r="DJ324" s="150"/>
      <c r="DK324" s="150"/>
    </row>
    <row r="325" spans="1:115" s="227" customFormat="1" x14ac:dyDescent="0.25">
      <c r="A325" s="258"/>
      <c r="B325" s="258"/>
      <c r="C325" s="584"/>
      <c r="D325" s="560"/>
      <c r="E325" s="537"/>
      <c r="F325" s="541"/>
      <c r="G325" s="541"/>
      <c r="H325" s="540">
        <f t="shared" si="41"/>
        <v>0</v>
      </c>
      <c r="I325" s="537"/>
      <c r="J325" s="541"/>
      <c r="K325" s="541"/>
      <c r="L325" s="540">
        <f t="shared" si="42"/>
        <v>0</v>
      </c>
      <c r="M325" s="150"/>
      <c r="N325" s="150"/>
      <c r="O325" s="150"/>
      <c r="P325" s="150"/>
      <c r="Q325" s="150"/>
      <c r="R325" s="150"/>
      <c r="S325" s="150"/>
      <c r="T325" s="150"/>
      <c r="U325" s="150"/>
      <c r="V325" s="150"/>
      <c r="W325" s="150"/>
      <c r="X325" s="150"/>
      <c r="Y325" s="150"/>
      <c r="Z325" s="150"/>
      <c r="AA325" s="150"/>
      <c r="AB325" s="150"/>
      <c r="AC325" s="150"/>
      <c r="AD325" s="150"/>
      <c r="AE325" s="150"/>
      <c r="AF325" s="150"/>
      <c r="AG325" s="150"/>
      <c r="AH325" s="150"/>
      <c r="AI325" s="150"/>
      <c r="AJ325" s="150"/>
      <c r="AK325" s="150"/>
      <c r="AL325" s="150"/>
      <c r="AM325" s="150"/>
      <c r="AN325" s="150"/>
      <c r="AO325" s="150"/>
      <c r="AP325" s="150"/>
      <c r="AQ325" s="150"/>
      <c r="AR325" s="150"/>
      <c r="AS325" s="150"/>
      <c r="AT325" s="150"/>
      <c r="AU325" s="150"/>
      <c r="AV325" s="150"/>
      <c r="AW325" s="150"/>
      <c r="AX325" s="150"/>
      <c r="AY325" s="150"/>
      <c r="AZ325" s="150"/>
      <c r="BA325" s="150"/>
      <c r="BB325" s="150"/>
      <c r="BC325" s="150"/>
      <c r="BD325" s="150"/>
      <c r="BE325" s="150"/>
      <c r="BF325" s="150"/>
      <c r="BG325" s="150"/>
      <c r="BH325" s="150"/>
      <c r="BI325" s="150"/>
      <c r="BJ325" s="150"/>
      <c r="BK325" s="150"/>
      <c r="BL325" s="150"/>
      <c r="BM325" s="150"/>
      <c r="BN325" s="150"/>
      <c r="BO325" s="150"/>
      <c r="BP325" s="150"/>
      <c r="BQ325" s="150"/>
      <c r="BR325" s="150"/>
      <c r="BS325" s="150"/>
      <c r="BT325" s="150"/>
      <c r="BU325" s="150"/>
      <c r="BV325" s="150"/>
      <c r="BW325" s="150"/>
      <c r="BX325" s="150"/>
      <c r="BY325" s="150"/>
      <c r="BZ325" s="150"/>
      <c r="CA325" s="150"/>
      <c r="CB325" s="150"/>
      <c r="CC325" s="150"/>
      <c r="CD325" s="150"/>
      <c r="CE325" s="150"/>
      <c r="CF325" s="150"/>
      <c r="CG325" s="150"/>
      <c r="CH325" s="150"/>
      <c r="CI325" s="150"/>
      <c r="CJ325" s="150"/>
      <c r="CK325" s="150"/>
      <c r="CL325" s="150"/>
      <c r="CM325" s="150"/>
      <c r="CN325" s="150"/>
      <c r="CO325" s="150"/>
      <c r="CP325" s="150"/>
      <c r="CQ325" s="150"/>
      <c r="CR325" s="150"/>
      <c r="CS325" s="150"/>
      <c r="CT325" s="150"/>
      <c r="CU325" s="150"/>
      <c r="CV325" s="150"/>
      <c r="CW325" s="150"/>
      <c r="CX325" s="150"/>
      <c r="CY325" s="150"/>
      <c r="CZ325" s="150"/>
      <c r="DA325" s="150"/>
      <c r="DB325" s="150"/>
      <c r="DC325" s="150"/>
      <c r="DD325" s="150"/>
      <c r="DE325" s="150"/>
      <c r="DF325" s="150"/>
      <c r="DG325" s="150"/>
      <c r="DH325" s="150"/>
      <c r="DI325" s="150"/>
      <c r="DJ325" s="150"/>
      <c r="DK325" s="150"/>
    </row>
    <row r="326" spans="1:115" s="227" customFormat="1" x14ac:dyDescent="0.25">
      <c r="A326" s="258"/>
      <c r="B326" s="258"/>
      <c r="C326" s="584"/>
      <c r="D326" s="560"/>
      <c r="E326" s="537"/>
      <c r="F326" s="253"/>
      <c r="G326" s="541"/>
      <c r="H326" s="536">
        <f t="shared" si="41"/>
        <v>0</v>
      </c>
      <c r="I326" s="537"/>
      <c r="J326" s="253"/>
      <c r="K326" s="541"/>
      <c r="L326" s="536">
        <f t="shared" si="42"/>
        <v>0</v>
      </c>
      <c r="M326" s="150"/>
      <c r="N326" s="150"/>
      <c r="O326" s="150"/>
      <c r="P326" s="150"/>
      <c r="Q326" s="150"/>
      <c r="R326" s="150"/>
      <c r="S326" s="150"/>
      <c r="T326" s="150"/>
      <c r="U326" s="150"/>
      <c r="V326" s="150"/>
      <c r="W326" s="150"/>
      <c r="X326" s="150"/>
      <c r="Y326" s="150"/>
      <c r="Z326" s="150"/>
      <c r="AA326" s="150"/>
      <c r="AB326" s="150"/>
      <c r="AC326" s="150"/>
      <c r="AD326" s="150"/>
      <c r="AE326" s="150"/>
      <c r="AF326" s="150"/>
      <c r="AG326" s="150"/>
      <c r="AH326" s="150"/>
      <c r="AI326" s="150"/>
      <c r="AJ326" s="150"/>
      <c r="AK326" s="150"/>
      <c r="AL326" s="150"/>
      <c r="AM326" s="150"/>
      <c r="AN326" s="150"/>
      <c r="AO326" s="150"/>
      <c r="AP326" s="150"/>
      <c r="AQ326" s="150"/>
      <c r="AR326" s="150"/>
      <c r="AS326" s="150"/>
      <c r="AT326" s="150"/>
      <c r="AU326" s="150"/>
      <c r="AV326" s="150"/>
      <c r="AW326" s="150"/>
      <c r="AX326" s="150"/>
      <c r="AY326" s="150"/>
      <c r="AZ326" s="150"/>
      <c r="BA326" s="150"/>
      <c r="BB326" s="150"/>
      <c r="BC326" s="150"/>
      <c r="BD326" s="150"/>
      <c r="BE326" s="150"/>
      <c r="BF326" s="150"/>
      <c r="BG326" s="150"/>
      <c r="BH326" s="150"/>
      <c r="BI326" s="150"/>
      <c r="BJ326" s="150"/>
      <c r="BK326" s="150"/>
      <c r="BL326" s="150"/>
      <c r="BM326" s="150"/>
      <c r="BN326" s="150"/>
      <c r="BO326" s="150"/>
      <c r="BP326" s="150"/>
      <c r="BQ326" s="150"/>
      <c r="BR326" s="150"/>
      <c r="BS326" s="150"/>
      <c r="BT326" s="150"/>
      <c r="BU326" s="150"/>
      <c r="BV326" s="150"/>
      <c r="BW326" s="150"/>
      <c r="BX326" s="150"/>
      <c r="BY326" s="150"/>
      <c r="BZ326" s="150"/>
      <c r="CA326" s="150"/>
      <c r="CB326" s="150"/>
      <c r="CC326" s="150"/>
      <c r="CD326" s="150"/>
      <c r="CE326" s="150"/>
      <c r="CF326" s="150"/>
      <c r="CG326" s="150"/>
      <c r="CH326" s="150"/>
      <c r="CI326" s="150"/>
      <c r="CJ326" s="150"/>
      <c r="CK326" s="150"/>
      <c r="CL326" s="150"/>
      <c r="CM326" s="150"/>
      <c r="CN326" s="150"/>
      <c r="CO326" s="150"/>
      <c r="CP326" s="150"/>
      <c r="CQ326" s="150"/>
      <c r="CR326" s="150"/>
      <c r="CS326" s="150"/>
      <c r="CT326" s="150"/>
      <c r="CU326" s="150"/>
      <c r="CV326" s="150"/>
      <c r="CW326" s="150"/>
      <c r="CX326" s="150"/>
      <c r="CY326" s="150"/>
      <c r="CZ326" s="150"/>
      <c r="DA326" s="150"/>
      <c r="DB326" s="150"/>
      <c r="DC326" s="150"/>
      <c r="DD326" s="150"/>
      <c r="DE326" s="150"/>
      <c r="DF326" s="150"/>
      <c r="DG326" s="150"/>
      <c r="DH326" s="150"/>
      <c r="DI326" s="150"/>
      <c r="DJ326" s="150"/>
      <c r="DK326" s="150"/>
    </row>
    <row r="327" spans="1:115" s="227" customFormat="1" x14ac:dyDescent="0.25">
      <c r="A327" s="258"/>
      <c r="B327" s="258"/>
      <c r="C327" s="585"/>
      <c r="D327" s="560"/>
      <c r="E327" s="537"/>
      <c r="F327" s="253"/>
      <c r="G327" s="541"/>
      <c r="H327" s="536">
        <f t="shared" si="41"/>
        <v>0</v>
      </c>
      <c r="I327" s="537"/>
      <c r="J327" s="253"/>
      <c r="K327" s="541"/>
      <c r="L327" s="536">
        <f t="shared" si="42"/>
        <v>0</v>
      </c>
      <c r="M327" s="150"/>
      <c r="N327" s="150"/>
      <c r="O327" s="150"/>
      <c r="P327" s="150"/>
      <c r="Q327" s="150"/>
      <c r="R327" s="150"/>
      <c r="S327" s="150"/>
      <c r="T327" s="150"/>
      <c r="U327" s="150"/>
      <c r="V327" s="150"/>
      <c r="W327" s="150"/>
      <c r="X327" s="150"/>
      <c r="Y327" s="150"/>
      <c r="Z327" s="150"/>
      <c r="AA327" s="150"/>
      <c r="AB327" s="150"/>
      <c r="AC327" s="150"/>
      <c r="AD327" s="150"/>
      <c r="AE327" s="150"/>
      <c r="AF327" s="150"/>
      <c r="AG327" s="150"/>
      <c r="AH327" s="150"/>
      <c r="AI327" s="150"/>
      <c r="AJ327" s="150"/>
      <c r="AK327" s="150"/>
      <c r="AL327" s="150"/>
      <c r="AM327" s="150"/>
      <c r="AN327" s="150"/>
      <c r="AO327" s="150"/>
      <c r="AP327" s="150"/>
      <c r="AQ327" s="150"/>
      <c r="AR327" s="150"/>
      <c r="AS327" s="150"/>
      <c r="AT327" s="150"/>
      <c r="AU327" s="150"/>
      <c r="AV327" s="150"/>
      <c r="AW327" s="150"/>
      <c r="AX327" s="150"/>
      <c r="AY327" s="150"/>
      <c r="AZ327" s="150"/>
      <c r="BA327" s="150"/>
      <c r="BB327" s="150"/>
      <c r="BC327" s="150"/>
      <c r="BD327" s="150"/>
      <c r="BE327" s="150"/>
      <c r="BF327" s="150"/>
      <c r="BG327" s="150"/>
      <c r="BH327" s="150"/>
      <c r="BI327" s="150"/>
      <c r="BJ327" s="150"/>
      <c r="BK327" s="150"/>
      <c r="BL327" s="150"/>
      <c r="BM327" s="150"/>
      <c r="BN327" s="150"/>
      <c r="BO327" s="150"/>
      <c r="BP327" s="150"/>
      <c r="BQ327" s="150"/>
      <c r="BR327" s="150"/>
      <c r="BS327" s="150"/>
      <c r="BT327" s="150"/>
      <c r="BU327" s="150"/>
      <c r="BV327" s="150"/>
      <c r="BW327" s="150"/>
      <c r="BX327" s="150"/>
      <c r="BY327" s="150"/>
      <c r="BZ327" s="150"/>
      <c r="CA327" s="150"/>
      <c r="CB327" s="150"/>
      <c r="CC327" s="150"/>
      <c r="CD327" s="150"/>
      <c r="CE327" s="150"/>
      <c r="CF327" s="150"/>
      <c r="CG327" s="150"/>
      <c r="CH327" s="150"/>
      <c r="CI327" s="150"/>
      <c r="CJ327" s="150"/>
      <c r="CK327" s="150"/>
      <c r="CL327" s="150"/>
      <c r="CM327" s="150"/>
      <c r="CN327" s="150"/>
      <c r="CO327" s="150"/>
      <c r="CP327" s="150"/>
      <c r="CQ327" s="150"/>
      <c r="CR327" s="150"/>
      <c r="CS327" s="150"/>
      <c r="CT327" s="150"/>
      <c r="CU327" s="150"/>
      <c r="CV327" s="150"/>
      <c r="CW327" s="150"/>
      <c r="CX327" s="150"/>
      <c r="CY327" s="150"/>
      <c r="CZ327" s="150"/>
      <c r="DA327" s="150"/>
      <c r="DB327" s="150"/>
      <c r="DC327" s="150"/>
      <c r="DD327" s="150"/>
      <c r="DE327" s="150"/>
      <c r="DF327" s="150"/>
      <c r="DG327" s="150"/>
      <c r="DH327" s="150"/>
      <c r="DI327" s="150"/>
      <c r="DJ327" s="150"/>
      <c r="DK327" s="150"/>
    </row>
    <row r="328" spans="1:115" s="227" customFormat="1" x14ac:dyDescent="0.25">
      <c r="A328" s="258"/>
      <c r="B328" s="258"/>
      <c r="C328" s="585"/>
      <c r="D328" s="560"/>
      <c r="E328" s="537"/>
      <c r="F328" s="253"/>
      <c r="G328" s="541"/>
      <c r="H328" s="536">
        <f t="shared" si="41"/>
        <v>0</v>
      </c>
      <c r="I328" s="537"/>
      <c r="J328" s="253"/>
      <c r="K328" s="541"/>
      <c r="L328" s="536">
        <f t="shared" si="42"/>
        <v>0</v>
      </c>
      <c r="M328" s="150"/>
      <c r="N328" s="150"/>
      <c r="O328" s="150"/>
      <c r="P328" s="150"/>
      <c r="Q328" s="150"/>
      <c r="R328" s="150"/>
      <c r="S328" s="150"/>
      <c r="T328" s="150"/>
      <c r="U328" s="150"/>
      <c r="V328" s="150"/>
      <c r="W328" s="150"/>
      <c r="X328" s="150"/>
      <c r="Y328" s="150"/>
      <c r="Z328" s="150"/>
      <c r="AA328" s="150"/>
      <c r="AB328" s="150"/>
      <c r="AC328" s="150"/>
      <c r="AD328" s="150"/>
      <c r="AE328" s="150"/>
      <c r="AF328" s="150"/>
      <c r="AG328" s="150"/>
      <c r="AH328" s="150"/>
      <c r="AI328" s="150"/>
      <c r="AJ328" s="150"/>
      <c r="AK328" s="150"/>
      <c r="AL328" s="150"/>
      <c r="AM328" s="150"/>
      <c r="AN328" s="150"/>
      <c r="AO328" s="150"/>
      <c r="AP328" s="150"/>
      <c r="AQ328" s="150"/>
      <c r="AR328" s="150"/>
      <c r="AS328" s="150"/>
      <c r="AT328" s="150"/>
      <c r="AU328" s="150"/>
      <c r="AV328" s="150"/>
      <c r="AW328" s="150"/>
      <c r="AX328" s="150"/>
      <c r="AY328" s="150"/>
      <c r="AZ328" s="150"/>
      <c r="BA328" s="150"/>
      <c r="BB328" s="150"/>
      <c r="BC328" s="150"/>
      <c r="BD328" s="150"/>
      <c r="BE328" s="150"/>
      <c r="BF328" s="150"/>
      <c r="BG328" s="150"/>
      <c r="BH328" s="150"/>
      <c r="BI328" s="150"/>
      <c r="BJ328" s="150"/>
      <c r="BK328" s="150"/>
      <c r="BL328" s="150"/>
      <c r="BM328" s="150"/>
      <c r="BN328" s="150"/>
      <c r="BO328" s="150"/>
      <c r="BP328" s="150"/>
      <c r="BQ328" s="150"/>
      <c r="BR328" s="150"/>
      <c r="BS328" s="150"/>
      <c r="BT328" s="150"/>
      <c r="BU328" s="150"/>
      <c r="BV328" s="150"/>
      <c r="BW328" s="150"/>
      <c r="BX328" s="150"/>
      <c r="BY328" s="150"/>
      <c r="BZ328" s="150"/>
      <c r="CA328" s="150"/>
      <c r="CB328" s="150"/>
      <c r="CC328" s="150"/>
      <c r="CD328" s="150"/>
      <c r="CE328" s="150"/>
      <c r="CF328" s="150"/>
      <c r="CG328" s="150"/>
      <c r="CH328" s="150"/>
      <c r="CI328" s="150"/>
      <c r="CJ328" s="150"/>
      <c r="CK328" s="150"/>
      <c r="CL328" s="150"/>
      <c r="CM328" s="150"/>
      <c r="CN328" s="150"/>
      <c r="CO328" s="150"/>
      <c r="CP328" s="150"/>
      <c r="CQ328" s="150"/>
      <c r="CR328" s="150"/>
      <c r="CS328" s="150"/>
      <c r="CT328" s="150"/>
      <c r="CU328" s="150"/>
      <c r="CV328" s="150"/>
      <c r="CW328" s="150"/>
      <c r="CX328" s="150"/>
      <c r="CY328" s="150"/>
      <c r="CZ328" s="150"/>
      <c r="DA328" s="150"/>
      <c r="DB328" s="150"/>
      <c r="DC328" s="150"/>
      <c r="DD328" s="150"/>
      <c r="DE328" s="150"/>
      <c r="DF328" s="150"/>
      <c r="DG328" s="150"/>
      <c r="DH328" s="150"/>
      <c r="DI328" s="150"/>
      <c r="DJ328" s="150"/>
      <c r="DK328" s="150"/>
    </row>
    <row r="329" spans="1:115" s="227" customFormat="1" x14ac:dyDescent="0.25">
      <c r="A329" s="258"/>
      <c r="B329" s="258"/>
      <c r="C329" s="585"/>
      <c r="D329" s="560"/>
      <c r="E329" s="537"/>
      <c r="F329" s="253"/>
      <c r="G329" s="541"/>
      <c r="H329" s="536">
        <f t="shared" si="41"/>
        <v>0</v>
      </c>
      <c r="I329" s="537"/>
      <c r="J329" s="253"/>
      <c r="K329" s="541"/>
      <c r="L329" s="536">
        <f t="shared" si="42"/>
        <v>0</v>
      </c>
      <c r="M329" s="150"/>
      <c r="N329" s="150"/>
      <c r="O329" s="150"/>
      <c r="P329" s="150"/>
      <c r="Q329" s="150"/>
      <c r="R329" s="150"/>
      <c r="S329" s="150"/>
      <c r="T329" s="150"/>
      <c r="U329" s="150"/>
      <c r="V329" s="150"/>
      <c r="W329" s="150"/>
      <c r="X329" s="150"/>
      <c r="Y329" s="150"/>
      <c r="Z329" s="150"/>
      <c r="AA329" s="150"/>
      <c r="AB329" s="150"/>
      <c r="AC329" s="150"/>
      <c r="AD329" s="150"/>
      <c r="AE329" s="150"/>
      <c r="AF329" s="150"/>
      <c r="AG329" s="150"/>
      <c r="AH329" s="150"/>
      <c r="AI329" s="150"/>
      <c r="AJ329" s="150"/>
      <c r="AK329" s="150"/>
      <c r="AL329" s="150"/>
      <c r="AM329" s="150"/>
      <c r="AN329" s="150"/>
      <c r="AO329" s="150"/>
      <c r="AP329" s="150"/>
      <c r="AQ329" s="150"/>
      <c r="AR329" s="150"/>
      <c r="AS329" s="150"/>
      <c r="AT329" s="150"/>
      <c r="AU329" s="150"/>
      <c r="AV329" s="150"/>
      <c r="AW329" s="150"/>
      <c r="AX329" s="150"/>
      <c r="AY329" s="150"/>
      <c r="AZ329" s="150"/>
      <c r="BA329" s="150"/>
      <c r="BB329" s="150"/>
      <c r="BC329" s="150"/>
      <c r="BD329" s="150"/>
      <c r="BE329" s="150"/>
      <c r="BF329" s="150"/>
      <c r="BG329" s="150"/>
      <c r="BH329" s="150"/>
      <c r="BI329" s="150"/>
      <c r="BJ329" s="150"/>
      <c r="BK329" s="150"/>
      <c r="BL329" s="150"/>
      <c r="BM329" s="150"/>
      <c r="BN329" s="150"/>
      <c r="BO329" s="150"/>
      <c r="BP329" s="150"/>
      <c r="BQ329" s="150"/>
      <c r="BR329" s="150"/>
      <c r="BS329" s="150"/>
      <c r="BT329" s="150"/>
      <c r="BU329" s="150"/>
      <c r="BV329" s="150"/>
      <c r="BW329" s="150"/>
      <c r="BX329" s="150"/>
      <c r="BY329" s="150"/>
      <c r="BZ329" s="150"/>
      <c r="CA329" s="150"/>
      <c r="CB329" s="150"/>
      <c r="CC329" s="150"/>
      <c r="CD329" s="150"/>
      <c r="CE329" s="150"/>
      <c r="CF329" s="150"/>
      <c r="CG329" s="150"/>
      <c r="CH329" s="150"/>
      <c r="CI329" s="150"/>
      <c r="CJ329" s="150"/>
      <c r="CK329" s="150"/>
      <c r="CL329" s="150"/>
      <c r="CM329" s="150"/>
      <c r="CN329" s="150"/>
      <c r="CO329" s="150"/>
      <c r="CP329" s="150"/>
      <c r="CQ329" s="150"/>
      <c r="CR329" s="150"/>
      <c r="CS329" s="150"/>
      <c r="CT329" s="150"/>
      <c r="CU329" s="150"/>
      <c r="CV329" s="150"/>
      <c r="CW329" s="150"/>
      <c r="CX329" s="150"/>
      <c r="CY329" s="150"/>
      <c r="CZ329" s="150"/>
      <c r="DA329" s="150"/>
      <c r="DB329" s="150"/>
      <c r="DC329" s="150"/>
      <c r="DD329" s="150"/>
      <c r="DE329" s="150"/>
      <c r="DF329" s="150"/>
      <c r="DG329" s="150"/>
      <c r="DH329" s="150"/>
      <c r="DI329" s="150"/>
      <c r="DJ329" s="150"/>
      <c r="DK329" s="150"/>
    </row>
    <row r="330" spans="1:115" x14ac:dyDescent="0.25">
      <c r="A330" s="258"/>
      <c r="B330" s="258"/>
      <c r="C330" s="584"/>
      <c r="D330" s="559" t="s">
        <v>0</v>
      </c>
      <c r="E330" s="534"/>
      <c r="F330" s="542">
        <f>SUM(F319:F329)</f>
        <v>0</v>
      </c>
      <c r="G330" s="543" t="e">
        <f>H330/F330</f>
        <v>#DIV/0!</v>
      </c>
      <c r="H330" s="544">
        <f>SUM(H319:H329)</f>
        <v>0</v>
      </c>
      <c r="I330" s="534"/>
      <c r="J330" s="542">
        <f>SUM(J319:J329)</f>
        <v>0</v>
      </c>
      <c r="K330" s="543" t="e">
        <f>L330/J330</f>
        <v>#DIV/0!</v>
      </c>
      <c r="L330" s="544">
        <f>SUM(L319:L329)</f>
        <v>0</v>
      </c>
    </row>
    <row r="331" spans="1:115" x14ac:dyDescent="0.25">
      <c r="A331" s="545"/>
      <c r="B331" s="545"/>
      <c r="C331" s="586"/>
      <c r="D331" s="561"/>
      <c r="E331" s="546"/>
      <c r="F331" s="546"/>
      <c r="G331" s="547"/>
      <c r="H331" s="548"/>
      <c r="I331" s="546"/>
      <c r="J331" s="546"/>
      <c r="K331" s="547"/>
      <c r="L331" s="548"/>
    </row>
    <row r="332" spans="1:115" x14ac:dyDescent="0.25">
      <c r="A332" s="258"/>
      <c r="B332" s="258"/>
      <c r="C332" s="584"/>
      <c r="D332" s="558"/>
      <c r="E332" s="534"/>
      <c r="F332" s="253"/>
      <c r="G332" s="535"/>
      <c r="H332" s="536">
        <f t="shared" ref="H332:H334" si="43">F332*G332</f>
        <v>0</v>
      </c>
      <c r="I332" s="534"/>
      <c r="J332" s="253"/>
      <c r="K332" s="535"/>
      <c r="L332" s="536">
        <f t="shared" ref="L332:L337" si="44">J332*K332</f>
        <v>0</v>
      </c>
    </row>
    <row r="333" spans="1:115" x14ac:dyDescent="0.25">
      <c r="A333" s="258"/>
      <c r="B333" s="258"/>
      <c r="C333" s="584"/>
      <c r="D333" s="559">
        <f>D320+1</f>
        <v>45645</v>
      </c>
      <c r="E333" s="537"/>
      <c r="F333" s="253"/>
      <c r="G333" s="541"/>
      <c r="H333" s="536">
        <f t="shared" si="43"/>
        <v>0</v>
      </c>
      <c r="I333" s="537"/>
      <c r="J333" s="253"/>
      <c r="K333" s="541"/>
      <c r="L333" s="536">
        <f t="shared" si="44"/>
        <v>0</v>
      </c>
    </row>
    <row r="334" spans="1:115" x14ac:dyDescent="0.25">
      <c r="A334" s="258"/>
      <c r="B334" s="258"/>
      <c r="C334" s="584"/>
      <c r="D334" s="595"/>
      <c r="E334" s="537"/>
      <c r="F334" s="253"/>
      <c r="G334" s="541"/>
      <c r="H334" s="536">
        <f t="shared" si="43"/>
        <v>0</v>
      </c>
      <c r="I334" s="537"/>
      <c r="J334" s="253"/>
      <c r="K334" s="541"/>
      <c r="L334" s="536">
        <f t="shared" si="44"/>
        <v>0</v>
      </c>
    </row>
    <row r="335" spans="1:115" x14ac:dyDescent="0.25">
      <c r="A335" s="258"/>
      <c r="B335" s="258"/>
      <c r="C335" s="584"/>
      <c r="D335" s="560"/>
      <c r="E335" s="537"/>
      <c r="F335" s="253"/>
      <c r="G335" s="541"/>
      <c r="H335" s="536">
        <f t="shared" ref="H335:H337" si="45">F335*G335</f>
        <v>0</v>
      </c>
      <c r="I335" s="537"/>
      <c r="J335" s="253"/>
      <c r="K335" s="541"/>
      <c r="L335" s="536">
        <f t="shared" si="44"/>
        <v>0</v>
      </c>
    </row>
    <row r="336" spans="1:115" x14ac:dyDescent="0.25">
      <c r="A336" s="258"/>
      <c r="B336" s="258"/>
      <c r="C336" s="584"/>
      <c r="D336" s="560"/>
      <c r="E336" s="537"/>
      <c r="F336" s="253"/>
      <c r="G336" s="541"/>
      <c r="H336" s="536">
        <f t="shared" si="45"/>
        <v>0</v>
      </c>
      <c r="I336" s="537"/>
      <c r="J336" s="253"/>
      <c r="K336" s="541"/>
      <c r="L336" s="536">
        <f t="shared" si="44"/>
        <v>0</v>
      </c>
    </row>
    <row r="337" spans="1:115" s="227" customFormat="1" x14ac:dyDescent="0.25">
      <c r="A337" s="258"/>
      <c r="B337" s="258"/>
      <c r="C337" s="584"/>
      <c r="D337" s="560"/>
      <c r="E337" s="537"/>
      <c r="F337" s="541"/>
      <c r="G337" s="541"/>
      <c r="H337" s="540">
        <f t="shared" si="45"/>
        <v>0</v>
      </c>
      <c r="I337" s="537"/>
      <c r="J337" s="541"/>
      <c r="K337" s="541"/>
      <c r="L337" s="540">
        <f t="shared" si="44"/>
        <v>0</v>
      </c>
      <c r="M337" s="150"/>
      <c r="N337" s="150"/>
      <c r="O337" s="150"/>
      <c r="P337" s="150"/>
      <c r="Q337" s="150"/>
      <c r="R337" s="150"/>
      <c r="S337" s="150"/>
      <c r="T337" s="150"/>
      <c r="U337" s="150"/>
      <c r="V337" s="150"/>
      <c r="W337" s="150"/>
      <c r="X337" s="150"/>
      <c r="Y337" s="150"/>
      <c r="Z337" s="150"/>
      <c r="AA337" s="150"/>
      <c r="AB337" s="150"/>
      <c r="AC337" s="150"/>
      <c r="AD337" s="150"/>
      <c r="AE337" s="150"/>
      <c r="AF337" s="150"/>
      <c r="AG337" s="150"/>
      <c r="AH337" s="150"/>
      <c r="AI337" s="150"/>
      <c r="AJ337" s="150"/>
      <c r="AK337" s="150"/>
      <c r="AL337" s="150"/>
      <c r="AM337" s="150"/>
      <c r="AN337" s="150"/>
      <c r="AO337" s="150"/>
      <c r="AP337" s="150"/>
      <c r="AQ337" s="150"/>
      <c r="AR337" s="150"/>
      <c r="AS337" s="150"/>
      <c r="AT337" s="150"/>
      <c r="AU337" s="150"/>
      <c r="AV337" s="150"/>
      <c r="AW337" s="150"/>
      <c r="AX337" s="150"/>
      <c r="AY337" s="150"/>
      <c r="AZ337" s="150"/>
      <c r="BA337" s="150"/>
      <c r="BB337" s="150"/>
      <c r="BC337" s="150"/>
      <c r="BD337" s="150"/>
      <c r="BE337" s="150"/>
      <c r="BF337" s="150"/>
      <c r="BG337" s="150"/>
      <c r="BH337" s="150"/>
      <c r="BI337" s="150"/>
      <c r="BJ337" s="150"/>
      <c r="BK337" s="150"/>
      <c r="BL337" s="150"/>
      <c r="BM337" s="150"/>
      <c r="BN337" s="150"/>
      <c r="BO337" s="150"/>
      <c r="BP337" s="150"/>
      <c r="BQ337" s="150"/>
      <c r="BR337" s="150"/>
      <c r="BS337" s="150"/>
      <c r="BT337" s="150"/>
      <c r="BU337" s="150"/>
      <c r="BV337" s="150"/>
      <c r="BW337" s="150"/>
      <c r="BX337" s="150"/>
      <c r="BY337" s="150"/>
      <c r="BZ337" s="150"/>
      <c r="CA337" s="150"/>
      <c r="CB337" s="150"/>
      <c r="CC337" s="150"/>
      <c r="CD337" s="150"/>
      <c r="CE337" s="150"/>
      <c r="CF337" s="150"/>
      <c r="CG337" s="150"/>
      <c r="CH337" s="150"/>
      <c r="CI337" s="150"/>
      <c r="CJ337" s="150"/>
      <c r="CK337" s="150"/>
      <c r="CL337" s="150"/>
      <c r="CM337" s="150"/>
      <c r="CN337" s="150"/>
      <c r="CO337" s="150"/>
      <c r="CP337" s="150"/>
      <c r="CQ337" s="150"/>
      <c r="CR337" s="150"/>
      <c r="CS337" s="150"/>
      <c r="CT337" s="150"/>
      <c r="CU337" s="150"/>
      <c r="CV337" s="150"/>
      <c r="CW337" s="150"/>
      <c r="CX337" s="150"/>
      <c r="CY337" s="150"/>
      <c r="CZ337" s="150"/>
      <c r="DA337" s="150"/>
      <c r="DB337" s="150"/>
      <c r="DC337" s="150"/>
      <c r="DD337" s="150"/>
      <c r="DE337" s="150"/>
      <c r="DF337" s="150"/>
      <c r="DG337" s="150"/>
      <c r="DH337" s="150"/>
      <c r="DI337" s="150"/>
      <c r="DJ337" s="150"/>
      <c r="DK337" s="150"/>
    </row>
    <row r="338" spans="1:115" s="227" customFormat="1" x14ac:dyDescent="0.25">
      <c r="A338" s="257"/>
      <c r="B338" s="258"/>
      <c r="C338" s="585"/>
      <c r="D338" s="560"/>
      <c r="E338" s="537"/>
      <c r="F338" s="253"/>
      <c r="G338" s="541"/>
      <c r="H338" s="536">
        <f>F338*G338</f>
        <v>0</v>
      </c>
      <c r="I338" s="537"/>
      <c r="J338" s="253"/>
      <c r="K338" s="541"/>
      <c r="L338" s="536">
        <f>J338*K338</f>
        <v>0</v>
      </c>
      <c r="M338" s="150"/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  <c r="AN338" s="150"/>
      <c r="AO338" s="150"/>
      <c r="AP338" s="150"/>
      <c r="AQ338" s="150"/>
      <c r="AR338" s="150"/>
      <c r="AS338" s="150"/>
      <c r="AT338" s="150"/>
      <c r="AU338" s="150"/>
      <c r="AV338" s="150"/>
      <c r="AW338" s="150"/>
      <c r="AX338" s="150"/>
      <c r="AY338" s="150"/>
      <c r="AZ338" s="150"/>
      <c r="BA338" s="150"/>
      <c r="BB338" s="150"/>
      <c r="BC338" s="150"/>
      <c r="BD338" s="150"/>
      <c r="BE338" s="150"/>
      <c r="BF338" s="150"/>
      <c r="BG338" s="150"/>
      <c r="BH338" s="150"/>
      <c r="BI338" s="150"/>
      <c r="BJ338" s="150"/>
      <c r="BK338" s="150"/>
      <c r="BL338" s="150"/>
      <c r="BM338" s="150"/>
      <c r="BN338" s="150"/>
      <c r="BO338" s="150"/>
      <c r="BP338" s="150"/>
      <c r="BQ338" s="150"/>
      <c r="BR338" s="150"/>
      <c r="BS338" s="150"/>
      <c r="BT338" s="150"/>
      <c r="BU338" s="150"/>
      <c r="BV338" s="150"/>
      <c r="BW338" s="150"/>
      <c r="BX338" s="150"/>
      <c r="BY338" s="150"/>
      <c r="BZ338" s="150"/>
      <c r="CA338" s="150"/>
      <c r="CB338" s="150"/>
      <c r="CC338" s="150"/>
      <c r="CD338" s="150"/>
      <c r="CE338" s="150"/>
      <c r="CF338" s="150"/>
      <c r="CG338" s="150"/>
      <c r="CH338" s="150"/>
      <c r="CI338" s="150"/>
      <c r="CJ338" s="150"/>
      <c r="CK338" s="150"/>
      <c r="CL338" s="150"/>
      <c r="CM338" s="150"/>
      <c r="CN338" s="150"/>
      <c r="CO338" s="150"/>
      <c r="CP338" s="150"/>
      <c r="CQ338" s="150"/>
      <c r="CR338" s="150"/>
      <c r="CS338" s="150"/>
      <c r="CT338" s="150"/>
      <c r="CU338" s="150"/>
      <c r="CV338" s="150"/>
      <c r="CW338" s="150"/>
      <c r="CX338" s="150"/>
      <c r="CY338" s="150"/>
      <c r="CZ338" s="150"/>
      <c r="DA338" s="150"/>
      <c r="DB338" s="150"/>
      <c r="DC338" s="150"/>
      <c r="DD338" s="150"/>
      <c r="DE338" s="150"/>
      <c r="DF338" s="150"/>
      <c r="DG338" s="150"/>
      <c r="DH338" s="150"/>
      <c r="DI338" s="150"/>
      <c r="DJ338" s="150"/>
      <c r="DK338" s="150"/>
    </row>
    <row r="339" spans="1:115" x14ac:dyDescent="0.25">
      <c r="A339" s="258"/>
      <c r="B339" s="258"/>
      <c r="C339" s="584"/>
      <c r="D339" s="559" t="s">
        <v>0</v>
      </c>
      <c r="E339" s="534"/>
      <c r="F339" s="542">
        <f>SUM(F332:F338)</f>
        <v>0</v>
      </c>
      <c r="G339" s="543" t="e">
        <f>H339/F339</f>
        <v>#DIV/0!</v>
      </c>
      <c r="H339" s="544">
        <f>SUM(H332:H338)</f>
        <v>0</v>
      </c>
      <c r="I339" s="534"/>
      <c r="J339" s="542">
        <f>SUM(J332:J338)</f>
        <v>0</v>
      </c>
      <c r="K339" s="543" t="e">
        <f>L339/J339</f>
        <v>#DIV/0!</v>
      </c>
      <c r="L339" s="544">
        <f>SUM(L332:L338)</f>
        <v>0</v>
      </c>
    </row>
    <row r="340" spans="1:115" x14ac:dyDescent="0.25">
      <c r="A340" s="545"/>
      <c r="B340" s="545"/>
      <c r="C340" s="586"/>
      <c r="D340" s="561"/>
      <c r="E340" s="546"/>
      <c r="F340" s="546"/>
      <c r="G340" s="547"/>
      <c r="H340" s="548"/>
      <c r="I340" s="546"/>
      <c r="J340" s="546"/>
      <c r="K340" s="547"/>
      <c r="L340" s="548"/>
    </row>
    <row r="341" spans="1:115" x14ac:dyDescent="0.25">
      <c r="A341" s="258"/>
      <c r="B341" s="258"/>
      <c r="C341" s="584"/>
      <c r="D341" s="558"/>
      <c r="E341" s="534"/>
      <c r="F341" s="253"/>
      <c r="G341" s="535"/>
      <c r="H341" s="536">
        <f>F341*G341</f>
        <v>0</v>
      </c>
      <c r="I341" s="534"/>
      <c r="J341" s="253"/>
      <c r="K341" s="535"/>
      <c r="L341" s="536">
        <f>J341*K341</f>
        <v>0</v>
      </c>
    </row>
    <row r="342" spans="1:115" x14ac:dyDescent="0.25">
      <c r="A342" s="258"/>
      <c r="B342" s="258"/>
      <c r="C342" s="588"/>
      <c r="D342" s="559">
        <f>D333+1</f>
        <v>45646</v>
      </c>
      <c r="E342" s="537"/>
      <c r="F342" s="253"/>
      <c r="G342" s="541"/>
      <c r="H342" s="536">
        <f>F342*G342</f>
        <v>0</v>
      </c>
      <c r="I342" s="537"/>
      <c r="J342" s="253"/>
      <c r="K342" s="541"/>
      <c r="L342" s="536">
        <f>J342*K342</f>
        <v>0</v>
      </c>
    </row>
    <row r="343" spans="1:115" x14ac:dyDescent="0.25">
      <c r="A343" s="258"/>
      <c r="B343" s="258"/>
      <c r="C343" s="585"/>
      <c r="D343" s="595"/>
      <c r="E343" s="537"/>
      <c r="F343" s="253"/>
      <c r="G343" s="541"/>
      <c r="H343" s="536">
        <f>F343*G343</f>
        <v>0</v>
      </c>
      <c r="I343" s="537"/>
      <c r="J343" s="253"/>
      <c r="K343" s="541"/>
      <c r="L343" s="536">
        <f>J343*K343</f>
        <v>0</v>
      </c>
    </row>
    <row r="344" spans="1:115" s="227" customFormat="1" x14ac:dyDescent="0.25">
      <c r="A344" s="258"/>
      <c r="B344" s="258"/>
      <c r="C344" s="584"/>
      <c r="D344" s="595"/>
      <c r="E344" s="537"/>
      <c r="F344" s="541"/>
      <c r="G344" s="541"/>
      <c r="H344" s="540">
        <f t="shared" ref="H344:H351" si="46">F344*G344</f>
        <v>0</v>
      </c>
      <c r="I344" s="537"/>
      <c r="J344" s="541"/>
      <c r="K344" s="541"/>
      <c r="L344" s="540">
        <f t="shared" ref="L344:L351" si="47">J344*K344</f>
        <v>0</v>
      </c>
      <c r="M344" s="150"/>
      <c r="N344" s="150"/>
      <c r="O344" s="150"/>
      <c r="P344" s="150"/>
      <c r="Q344" s="150"/>
      <c r="R344" s="150"/>
      <c r="S344" s="150"/>
      <c r="T344" s="150"/>
      <c r="U344" s="150"/>
      <c r="V344" s="150"/>
      <c r="W344" s="150"/>
      <c r="X344" s="150"/>
      <c r="Y344" s="150"/>
      <c r="Z344" s="150"/>
      <c r="AA344" s="150"/>
      <c r="AB344" s="150"/>
      <c r="AC344" s="150"/>
      <c r="AD344" s="150"/>
      <c r="AE344" s="150"/>
      <c r="AF344" s="150"/>
      <c r="AG344" s="150"/>
      <c r="AH344" s="150"/>
      <c r="AI344" s="150"/>
      <c r="AJ344" s="150"/>
      <c r="AK344" s="150"/>
      <c r="AL344" s="150"/>
      <c r="AM344" s="150"/>
      <c r="AN344" s="150"/>
      <c r="AO344" s="150"/>
      <c r="AP344" s="150"/>
      <c r="AQ344" s="150"/>
      <c r="AR344" s="150"/>
      <c r="AS344" s="150"/>
      <c r="AT344" s="150"/>
      <c r="AU344" s="150"/>
      <c r="AV344" s="150"/>
      <c r="AW344" s="150"/>
      <c r="AX344" s="150"/>
      <c r="AY344" s="150"/>
      <c r="AZ344" s="150"/>
      <c r="BA344" s="150"/>
      <c r="BB344" s="150"/>
      <c r="BC344" s="150"/>
      <c r="BD344" s="150"/>
      <c r="BE344" s="150"/>
      <c r="BF344" s="150"/>
      <c r="BG344" s="150"/>
      <c r="BH344" s="150"/>
      <c r="BI344" s="150"/>
      <c r="BJ344" s="150"/>
      <c r="BK344" s="150"/>
      <c r="BL344" s="150"/>
      <c r="BM344" s="150"/>
      <c r="BN344" s="150"/>
      <c r="BO344" s="150"/>
      <c r="BP344" s="150"/>
      <c r="BQ344" s="150"/>
      <c r="BR344" s="150"/>
      <c r="BS344" s="150"/>
      <c r="BT344" s="150"/>
      <c r="BU344" s="150"/>
      <c r="BV344" s="150"/>
      <c r="BW344" s="150"/>
      <c r="BX344" s="150"/>
      <c r="BY344" s="150"/>
      <c r="BZ344" s="150"/>
      <c r="CA344" s="150"/>
      <c r="CB344" s="150"/>
      <c r="CC344" s="150"/>
      <c r="CD344" s="150"/>
      <c r="CE344" s="150"/>
      <c r="CF344" s="150"/>
      <c r="CG344" s="150"/>
      <c r="CH344" s="150"/>
      <c r="CI344" s="150"/>
      <c r="CJ344" s="150"/>
      <c r="CK344" s="150"/>
      <c r="CL344" s="150"/>
      <c r="CM344" s="150"/>
      <c r="CN344" s="150"/>
      <c r="CO344" s="150"/>
      <c r="CP344" s="150"/>
      <c r="CQ344" s="150"/>
      <c r="CR344" s="150"/>
      <c r="CS344" s="150"/>
      <c r="CT344" s="150"/>
      <c r="CU344" s="150"/>
      <c r="CV344" s="150"/>
      <c r="CW344" s="150"/>
      <c r="CX344" s="150"/>
      <c r="CY344" s="150"/>
      <c r="CZ344" s="150"/>
      <c r="DA344" s="150"/>
      <c r="DB344" s="150"/>
      <c r="DC344" s="150"/>
      <c r="DD344" s="150"/>
      <c r="DE344" s="150"/>
      <c r="DF344" s="150"/>
      <c r="DG344" s="150"/>
      <c r="DH344" s="150"/>
      <c r="DI344" s="150"/>
      <c r="DJ344" s="150"/>
      <c r="DK344" s="150"/>
    </row>
    <row r="345" spans="1:115" s="227" customFormat="1" x14ac:dyDescent="0.25">
      <c r="A345" s="258"/>
      <c r="B345" s="258"/>
      <c r="C345" s="584"/>
      <c r="D345" s="595"/>
      <c r="E345" s="537"/>
      <c r="F345" s="541"/>
      <c r="G345" s="541"/>
      <c r="H345" s="540">
        <f t="shared" si="46"/>
        <v>0</v>
      </c>
      <c r="I345" s="537"/>
      <c r="J345" s="541"/>
      <c r="K345" s="541"/>
      <c r="L345" s="540">
        <f t="shared" si="47"/>
        <v>0</v>
      </c>
      <c r="M345" s="150"/>
      <c r="N345" s="150"/>
      <c r="O345" s="150"/>
      <c r="P345" s="150"/>
      <c r="Q345" s="150"/>
      <c r="R345" s="150"/>
      <c r="S345" s="150"/>
      <c r="T345" s="150"/>
      <c r="U345" s="150"/>
      <c r="V345" s="150"/>
      <c r="W345" s="150"/>
      <c r="X345" s="150"/>
      <c r="Y345" s="150"/>
      <c r="Z345" s="150"/>
      <c r="AA345" s="150"/>
      <c r="AB345" s="150"/>
      <c r="AC345" s="150"/>
      <c r="AD345" s="150"/>
      <c r="AE345" s="150"/>
      <c r="AF345" s="150"/>
      <c r="AG345" s="150"/>
      <c r="AH345" s="150"/>
      <c r="AI345" s="150"/>
      <c r="AJ345" s="150"/>
      <c r="AK345" s="150"/>
      <c r="AL345" s="150"/>
      <c r="AM345" s="150"/>
      <c r="AN345" s="150"/>
      <c r="AO345" s="150"/>
      <c r="AP345" s="150"/>
      <c r="AQ345" s="150"/>
      <c r="AR345" s="150"/>
      <c r="AS345" s="150"/>
      <c r="AT345" s="150"/>
      <c r="AU345" s="150"/>
      <c r="AV345" s="150"/>
      <c r="AW345" s="150"/>
      <c r="AX345" s="150"/>
      <c r="AY345" s="150"/>
      <c r="AZ345" s="150"/>
      <c r="BA345" s="150"/>
      <c r="BB345" s="150"/>
      <c r="BC345" s="150"/>
      <c r="BD345" s="150"/>
      <c r="BE345" s="150"/>
      <c r="BF345" s="150"/>
      <c r="BG345" s="150"/>
      <c r="BH345" s="150"/>
      <c r="BI345" s="150"/>
      <c r="BJ345" s="150"/>
      <c r="BK345" s="150"/>
      <c r="BL345" s="150"/>
      <c r="BM345" s="150"/>
      <c r="BN345" s="150"/>
      <c r="BO345" s="150"/>
      <c r="BP345" s="150"/>
      <c r="BQ345" s="150"/>
      <c r="BR345" s="150"/>
      <c r="BS345" s="150"/>
      <c r="BT345" s="150"/>
      <c r="BU345" s="150"/>
      <c r="BV345" s="150"/>
      <c r="BW345" s="150"/>
      <c r="BX345" s="150"/>
      <c r="BY345" s="150"/>
      <c r="BZ345" s="150"/>
      <c r="CA345" s="150"/>
      <c r="CB345" s="150"/>
      <c r="CC345" s="150"/>
      <c r="CD345" s="150"/>
      <c r="CE345" s="150"/>
      <c r="CF345" s="150"/>
      <c r="CG345" s="150"/>
      <c r="CH345" s="150"/>
      <c r="CI345" s="150"/>
      <c r="CJ345" s="150"/>
      <c r="CK345" s="150"/>
      <c r="CL345" s="150"/>
      <c r="CM345" s="150"/>
      <c r="CN345" s="150"/>
      <c r="CO345" s="150"/>
      <c r="CP345" s="150"/>
      <c r="CQ345" s="150"/>
      <c r="CR345" s="150"/>
      <c r="CS345" s="150"/>
      <c r="CT345" s="150"/>
      <c r="CU345" s="150"/>
      <c r="CV345" s="150"/>
      <c r="CW345" s="150"/>
      <c r="CX345" s="150"/>
      <c r="CY345" s="150"/>
      <c r="CZ345" s="150"/>
      <c r="DA345" s="150"/>
      <c r="DB345" s="150"/>
      <c r="DC345" s="150"/>
      <c r="DD345" s="150"/>
      <c r="DE345" s="150"/>
      <c r="DF345" s="150"/>
      <c r="DG345" s="150"/>
      <c r="DH345" s="150"/>
      <c r="DI345" s="150"/>
      <c r="DJ345" s="150"/>
      <c r="DK345" s="150"/>
    </row>
    <row r="346" spans="1:115" s="227" customFormat="1" x14ac:dyDescent="0.25">
      <c r="A346" s="258"/>
      <c r="B346" s="258"/>
      <c r="C346" s="584"/>
      <c r="D346" s="595"/>
      <c r="E346" s="537"/>
      <c r="F346" s="541"/>
      <c r="G346" s="541"/>
      <c r="H346" s="540">
        <f t="shared" si="46"/>
        <v>0</v>
      </c>
      <c r="I346" s="537"/>
      <c r="J346" s="541"/>
      <c r="K346" s="541"/>
      <c r="L346" s="540">
        <f t="shared" si="47"/>
        <v>0</v>
      </c>
      <c r="M346" s="150"/>
      <c r="N346" s="150"/>
      <c r="O346" s="150"/>
      <c r="P346" s="150"/>
      <c r="Q346" s="150"/>
      <c r="R346" s="150"/>
      <c r="S346" s="150"/>
      <c r="T346" s="150"/>
      <c r="U346" s="150"/>
      <c r="V346" s="150"/>
      <c r="W346" s="150"/>
      <c r="X346" s="150"/>
      <c r="Y346" s="150"/>
      <c r="Z346" s="150"/>
      <c r="AA346" s="150"/>
      <c r="AB346" s="150"/>
      <c r="AC346" s="150"/>
      <c r="AD346" s="150"/>
      <c r="AE346" s="150"/>
      <c r="AF346" s="150"/>
      <c r="AG346" s="150"/>
      <c r="AH346" s="150"/>
      <c r="AI346" s="150"/>
      <c r="AJ346" s="150"/>
      <c r="AK346" s="150"/>
      <c r="AL346" s="150"/>
      <c r="AM346" s="150"/>
      <c r="AN346" s="150"/>
      <c r="AO346" s="150"/>
      <c r="AP346" s="150"/>
      <c r="AQ346" s="150"/>
      <c r="AR346" s="150"/>
      <c r="AS346" s="150"/>
      <c r="AT346" s="150"/>
      <c r="AU346" s="150"/>
      <c r="AV346" s="150"/>
      <c r="AW346" s="150"/>
      <c r="AX346" s="150"/>
      <c r="AY346" s="150"/>
      <c r="AZ346" s="150"/>
      <c r="BA346" s="150"/>
      <c r="BB346" s="150"/>
      <c r="BC346" s="150"/>
      <c r="BD346" s="150"/>
      <c r="BE346" s="150"/>
      <c r="BF346" s="150"/>
      <c r="BG346" s="150"/>
      <c r="BH346" s="150"/>
      <c r="BI346" s="150"/>
      <c r="BJ346" s="150"/>
      <c r="BK346" s="150"/>
      <c r="BL346" s="150"/>
      <c r="BM346" s="150"/>
      <c r="BN346" s="150"/>
      <c r="BO346" s="150"/>
      <c r="BP346" s="150"/>
      <c r="BQ346" s="150"/>
      <c r="BR346" s="150"/>
      <c r="BS346" s="150"/>
      <c r="BT346" s="150"/>
      <c r="BU346" s="150"/>
      <c r="BV346" s="150"/>
      <c r="BW346" s="150"/>
      <c r="BX346" s="150"/>
      <c r="BY346" s="150"/>
      <c r="BZ346" s="150"/>
      <c r="CA346" s="150"/>
      <c r="CB346" s="150"/>
      <c r="CC346" s="150"/>
      <c r="CD346" s="150"/>
      <c r="CE346" s="150"/>
      <c r="CF346" s="150"/>
      <c r="CG346" s="150"/>
      <c r="CH346" s="150"/>
      <c r="CI346" s="150"/>
      <c r="CJ346" s="150"/>
      <c r="CK346" s="150"/>
      <c r="CL346" s="150"/>
      <c r="CM346" s="150"/>
      <c r="CN346" s="150"/>
      <c r="CO346" s="150"/>
      <c r="CP346" s="150"/>
      <c r="CQ346" s="150"/>
      <c r="CR346" s="150"/>
      <c r="CS346" s="150"/>
      <c r="CT346" s="150"/>
      <c r="CU346" s="150"/>
      <c r="CV346" s="150"/>
      <c r="CW346" s="150"/>
      <c r="CX346" s="150"/>
      <c r="CY346" s="150"/>
      <c r="CZ346" s="150"/>
      <c r="DA346" s="150"/>
      <c r="DB346" s="150"/>
      <c r="DC346" s="150"/>
      <c r="DD346" s="150"/>
      <c r="DE346" s="150"/>
      <c r="DF346" s="150"/>
      <c r="DG346" s="150"/>
      <c r="DH346" s="150"/>
      <c r="DI346" s="150"/>
      <c r="DJ346" s="150"/>
      <c r="DK346" s="150"/>
    </row>
    <row r="347" spans="1:115" x14ac:dyDescent="0.25">
      <c r="A347" s="258"/>
      <c r="B347" s="258"/>
      <c r="C347" s="584"/>
      <c r="D347" s="596"/>
      <c r="E347" s="534"/>
      <c r="F347" s="262"/>
      <c r="G347" s="262"/>
      <c r="H347" s="536">
        <f t="shared" si="46"/>
        <v>0</v>
      </c>
      <c r="I347" s="534"/>
      <c r="J347" s="262"/>
      <c r="K347" s="262"/>
      <c r="L347" s="536">
        <f t="shared" si="47"/>
        <v>0</v>
      </c>
    </row>
    <row r="348" spans="1:115" s="227" customFormat="1" x14ac:dyDescent="0.25">
      <c r="A348" s="258"/>
      <c r="B348" s="258"/>
      <c r="C348" s="584"/>
      <c r="D348" s="595"/>
      <c r="E348" s="537"/>
      <c r="F348" s="541"/>
      <c r="G348" s="541"/>
      <c r="H348" s="540">
        <f t="shared" si="46"/>
        <v>0</v>
      </c>
      <c r="I348" s="537"/>
      <c r="J348" s="541"/>
      <c r="K348" s="541"/>
      <c r="L348" s="540">
        <f t="shared" si="47"/>
        <v>0</v>
      </c>
      <c r="M348" s="150"/>
      <c r="N348" s="150"/>
      <c r="O348" s="150"/>
      <c r="P348" s="150"/>
      <c r="Q348" s="150"/>
      <c r="R348" s="150"/>
      <c r="S348" s="150"/>
      <c r="T348" s="150"/>
      <c r="U348" s="150"/>
      <c r="V348" s="150"/>
      <c r="W348" s="150"/>
      <c r="X348" s="150"/>
      <c r="Y348" s="150"/>
      <c r="Z348" s="150"/>
      <c r="AA348" s="150"/>
      <c r="AB348" s="150"/>
      <c r="AC348" s="150"/>
      <c r="AD348" s="150"/>
      <c r="AE348" s="150"/>
      <c r="AF348" s="150"/>
      <c r="AG348" s="150"/>
      <c r="AH348" s="150"/>
      <c r="AI348" s="150"/>
      <c r="AJ348" s="150"/>
      <c r="AK348" s="150"/>
      <c r="AL348" s="150"/>
      <c r="AM348" s="150"/>
      <c r="AN348" s="150"/>
      <c r="AO348" s="150"/>
      <c r="AP348" s="150"/>
      <c r="AQ348" s="150"/>
      <c r="AR348" s="150"/>
      <c r="AS348" s="150"/>
      <c r="AT348" s="150"/>
      <c r="AU348" s="150"/>
      <c r="AV348" s="150"/>
      <c r="AW348" s="150"/>
      <c r="AX348" s="150"/>
      <c r="AY348" s="150"/>
      <c r="AZ348" s="150"/>
      <c r="BA348" s="150"/>
      <c r="BB348" s="150"/>
      <c r="BC348" s="150"/>
      <c r="BD348" s="150"/>
      <c r="BE348" s="150"/>
      <c r="BF348" s="150"/>
      <c r="BG348" s="150"/>
      <c r="BH348" s="150"/>
      <c r="BI348" s="150"/>
      <c r="BJ348" s="150"/>
      <c r="BK348" s="150"/>
      <c r="BL348" s="150"/>
      <c r="BM348" s="150"/>
      <c r="BN348" s="150"/>
      <c r="BO348" s="150"/>
      <c r="BP348" s="150"/>
      <c r="BQ348" s="150"/>
      <c r="BR348" s="150"/>
      <c r="BS348" s="150"/>
      <c r="BT348" s="150"/>
      <c r="BU348" s="150"/>
      <c r="BV348" s="150"/>
      <c r="BW348" s="150"/>
      <c r="BX348" s="150"/>
      <c r="BY348" s="150"/>
      <c r="BZ348" s="150"/>
      <c r="CA348" s="150"/>
      <c r="CB348" s="150"/>
      <c r="CC348" s="150"/>
      <c r="CD348" s="150"/>
      <c r="CE348" s="150"/>
      <c r="CF348" s="150"/>
      <c r="CG348" s="150"/>
      <c r="CH348" s="150"/>
      <c r="CI348" s="150"/>
      <c r="CJ348" s="150"/>
      <c r="CK348" s="150"/>
      <c r="CL348" s="150"/>
      <c r="CM348" s="150"/>
      <c r="CN348" s="150"/>
      <c r="CO348" s="150"/>
      <c r="CP348" s="150"/>
      <c r="CQ348" s="150"/>
      <c r="CR348" s="150"/>
      <c r="CS348" s="150"/>
      <c r="CT348" s="150"/>
      <c r="CU348" s="150"/>
      <c r="CV348" s="150"/>
      <c r="CW348" s="150"/>
      <c r="CX348" s="150"/>
      <c r="CY348" s="150"/>
      <c r="CZ348" s="150"/>
      <c r="DA348" s="150"/>
      <c r="DB348" s="150"/>
      <c r="DC348" s="150"/>
      <c r="DD348" s="150"/>
      <c r="DE348" s="150"/>
      <c r="DF348" s="150"/>
      <c r="DG348" s="150"/>
      <c r="DH348" s="150"/>
      <c r="DI348" s="150"/>
      <c r="DJ348" s="150"/>
      <c r="DK348" s="150"/>
    </row>
    <row r="349" spans="1:115" s="617" customFormat="1" x14ac:dyDescent="0.25">
      <c r="A349" s="610"/>
      <c r="B349" s="610"/>
      <c r="C349" s="611"/>
      <c r="D349" s="612"/>
      <c r="E349" s="613"/>
      <c r="F349" s="614"/>
      <c r="G349" s="615"/>
      <c r="H349" s="616">
        <f t="shared" si="46"/>
        <v>0</v>
      </c>
      <c r="I349" s="613"/>
      <c r="J349" s="614"/>
      <c r="K349" s="615"/>
      <c r="L349" s="616">
        <f t="shared" si="47"/>
        <v>0</v>
      </c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  <c r="BY349" s="25"/>
      <c r="BZ349" s="25"/>
      <c r="CA349" s="25"/>
      <c r="CB349" s="25"/>
      <c r="CC349" s="25"/>
      <c r="CD349" s="25"/>
      <c r="CE349" s="25"/>
      <c r="CF349" s="25"/>
      <c r="CG349" s="25"/>
      <c r="CH349" s="25"/>
      <c r="CI349" s="25"/>
      <c r="CJ349" s="25"/>
      <c r="CK349" s="25"/>
      <c r="CL349" s="25"/>
      <c r="CM349" s="25"/>
      <c r="CN349" s="25"/>
      <c r="CO349" s="25"/>
      <c r="CP349" s="25"/>
      <c r="CQ349" s="25"/>
      <c r="CR349" s="25"/>
      <c r="CS349" s="25"/>
      <c r="CT349" s="25"/>
      <c r="CU349" s="25"/>
      <c r="CV349" s="25"/>
      <c r="CW349" s="25"/>
      <c r="CX349" s="25"/>
      <c r="CY349" s="25"/>
      <c r="CZ349" s="25"/>
      <c r="DA349" s="25"/>
      <c r="DB349" s="25"/>
      <c r="DC349" s="25"/>
      <c r="DD349" s="25"/>
      <c r="DE349" s="25"/>
      <c r="DF349" s="25"/>
      <c r="DG349" s="25"/>
      <c r="DH349" s="25"/>
      <c r="DI349" s="25"/>
      <c r="DJ349" s="25"/>
      <c r="DK349" s="25"/>
    </row>
    <row r="350" spans="1:115" s="227" customFormat="1" x14ac:dyDescent="0.25">
      <c r="A350" s="258"/>
      <c r="B350" s="258"/>
      <c r="C350" s="584"/>
      <c r="D350" s="560"/>
      <c r="E350" s="537"/>
      <c r="F350" s="541"/>
      <c r="G350" s="541"/>
      <c r="H350" s="540">
        <f t="shared" si="46"/>
        <v>0</v>
      </c>
      <c r="I350" s="537"/>
      <c r="J350" s="541"/>
      <c r="K350" s="541"/>
      <c r="L350" s="540">
        <f t="shared" si="47"/>
        <v>0</v>
      </c>
      <c r="M350" s="150"/>
      <c r="N350" s="150"/>
      <c r="O350" s="150"/>
      <c r="P350" s="150"/>
      <c r="Q350" s="150"/>
      <c r="R350" s="150"/>
      <c r="S350" s="150"/>
      <c r="T350" s="150"/>
      <c r="U350" s="150"/>
      <c r="V350" s="150"/>
      <c r="W350" s="150"/>
      <c r="X350" s="150"/>
      <c r="Y350" s="150"/>
      <c r="Z350" s="150"/>
      <c r="AA350" s="150"/>
      <c r="AB350" s="150"/>
      <c r="AC350" s="150"/>
      <c r="AD350" s="150"/>
      <c r="AE350" s="150"/>
      <c r="AF350" s="150"/>
      <c r="AG350" s="150"/>
      <c r="AH350" s="150"/>
      <c r="AI350" s="150"/>
      <c r="AJ350" s="150"/>
      <c r="AK350" s="150"/>
      <c r="AL350" s="150"/>
      <c r="AM350" s="150"/>
      <c r="AN350" s="150"/>
      <c r="AO350" s="150"/>
      <c r="AP350" s="150"/>
      <c r="AQ350" s="150"/>
      <c r="AR350" s="150"/>
      <c r="AS350" s="150"/>
      <c r="AT350" s="150"/>
      <c r="AU350" s="150"/>
      <c r="AV350" s="150"/>
      <c r="AW350" s="150"/>
      <c r="AX350" s="150"/>
      <c r="AY350" s="150"/>
      <c r="AZ350" s="150"/>
      <c r="BA350" s="150"/>
      <c r="BB350" s="150"/>
      <c r="BC350" s="150"/>
      <c r="BD350" s="150"/>
      <c r="BE350" s="150"/>
      <c r="BF350" s="150"/>
      <c r="BG350" s="150"/>
      <c r="BH350" s="150"/>
      <c r="BI350" s="150"/>
      <c r="BJ350" s="150"/>
      <c r="BK350" s="150"/>
      <c r="BL350" s="150"/>
      <c r="BM350" s="150"/>
      <c r="BN350" s="150"/>
      <c r="BO350" s="150"/>
      <c r="BP350" s="150"/>
      <c r="BQ350" s="150"/>
      <c r="BR350" s="150"/>
      <c r="BS350" s="150"/>
      <c r="BT350" s="150"/>
      <c r="BU350" s="150"/>
      <c r="BV350" s="150"/>
      <c r="BW350" s="150"/>
      <c r="BX350" s="150"/>
      <c r="BY350" s="150"/>
      <c r="BZ350" s="150"/>
      <c r="CA350" s="150"/>
      <c r="CB350" s="150"/>
      <c r="CC350" s="150"/>
      <c r="CD350" s="150"/>
      <c r="CE350" s="150"/>
      <c r="CF350" s="150"/>
      <c r="CG350" s="150"/>
      <c r="CH350" s="150"/>
      <c r="CI350" s="150"/>
      <c r="CJ350" s="150"/>
      <c r="CK350" s="150"/>
      <c r="CL350" s="150"/>
      <c r="CM350" s="150"/>
      <c r="CN350" s="150"/>
      <c r="CO350" s="150"/>
      <c r="CP350" s="150"/>
      <c r="CQ350" s="150"/>
      <c r="CR350" s="150"/>
      <c r="CS350" s="150"/>
      <c r="CT350" s="150"/>
      <c r="CU350" s="150"/>
      <c r="CV350" s="150"/>
      <c r="CW350" s="150"/>
      <c r="CX350" s="150"/>
      <c r="CY350" s="150"/>
      <c r="CZ350" s="150"/>
      <c r="DA350" s="150"/>
      <c r="DB350" s="150"/>
      <c r="DC350" s="150"/>
      <c r="DD350" s="150"/>
      <c r="DE350" s="150"/>
      <c r="DF350" s="150"/>
      <c r="DG350" s="150"/>
      <c r="DH350" s="150"/>
      <c r="DI350" s="150"/>
      <c r="DJ350" s="150"/>
      <c r="DK350" s="150"/>
    </row>
    <row r="351" spans="1:115" x14ac:dyDescent="0.25">
      <c r="A351" s="258"/>
      <c r="B351" s="258"/>
      <c r="C351" s="584"/>
      <c r="D351" s="559"/>
      <c r="E351" s="537"/>
      <c r="F351" s="253"/>
      <c r="G351" s="541"/>
      <c r="H351" s="536">
        <f t="shared" si="46"/>
        <v>0</v>
      </c>
      <c r="I351" s="537"/>
      <c r="J351" s="253"/>
      <c r="K351" s="541"/>
      <c r="L351" s="536">
        <f t="shared" si="47"/>
        <v>0</v>
      </c>
    </row>
    <row r="352" spans="1:115" s="227" customFormat="1" x14ac:dyDescent="0.25">
      <c r="A352" s="257"/>
      <c r="B352" s="258"/>
      <c r="C352" s="585"/>
      <c r="D352" s="560"/>
      <c r="E352" s="537"/>
      <c r="F352" s="253"/>
      <c r="G352" s="541"/>
      <c r="H352" s="536">
        <f>F352*G352</f>
        <v>0</v>
      </c>
      <c r="I352" s="537"/>
      <c r="J352" s="253"/>
      <c r="K352" s="541"/>
      <c r="L352" s="536">
        <f>J352*K352</f>
        <v>0</v>
      </c>
      <c r="M352" s="150"/>
      <c r="N352" s="150"/>
      <c r="O352" s="150"/>
      <c r="P352" s="150"/>
      <c r="Q352" s="150"/>
      <c r="R352" s="150"/>
      <c r="S352" s="150"/>
      <c r="T352" s="150"/>
      <c r="U352" s="150"/>
      <c r="V352" s="150"/>
      <c r="W352" s="150"/>
      <c r="X352" s="150"/>
      <c r="Y352" s="150"/>
      <c r="Z352" s="150"/>
      <c r="AA352" s="150"/>
      <c r="AB352" s="150"/>
      <c r="AC352" s="150"/>
      <c r="AD352" s="150"/>
      <c r="AE352" s="150"/>
      <c r="AF352" s="150"/>
      <c r="AG352" s="150"/>
      <c r="AH352" s="150"/>
      <c r="AI352" s="150"/>
      <c r="AJ352" s="150"/>
      <c r="AK352" s="150"/>
      <c r="AL352" s="150"/>
      <c r="AM352" s="150"/>
      <c r="AN352" s="150"/>
      <c r="AO352" s="150"/>
      <c r="AP352" s="150"/>
      <c r="AQ352" s="150"/>
      <c r="AR352" s="150"/>
      <c r="AS352" s="150"/>
      <c r="AT352" s="150"/>
      <c r="AU352" s="150"/>
      <c r="AV352" s="150"/>
      <c r="AW352" s="150"/>
      <c r="AX352" s="150"/>
      <c r="AY352" s="150"/>
      <c r="AZ352" s="150"/>
      <c r="BA352" s="150"/>
      <c r="BB352" s="150"/>
      <c r="BC352" s="150"/>
      <c r="BD352" s="150"/>
      <c r="BE352" s="150"/>
      <c r="BF352" s="150"/>
      <c r="BG352" s="150"/>
      <c r="BH352" s="150"/>
      <c r="BI352" s="150"/>
      <c r="BJ352" s="150"/>
      <c r="BK352" s="150"/>
      <c r="BL352" s="150"/>
      <c r="BM352" s="150"/>
      <c r="BN352" s="150"/>
      <c r="BO352" s="150"/>
      <c r="BP352" s="150"/>
      <c r="BQ352" s="150"/>
      <c r="BR352" s="150"/>
      <c r="BS352" s="150"/>
      <c r="BT352" s="150"/>
      <c r="BU352" s="150"/>
      <c r="BV352" s="150"/>
      <c r="BW352" s="150"/>
      <c r="BX352" s="150"/>
      <c r="BY352" s="150"/>
      <c r="BZ352" s="150"/>
      <c r="CA352" s="150"/>
      <c r="CB352" s="150"/>
      <c r="CC352" s="150"/>
      <c r="CD352" s="150"/>
      <c r="CE352" s="150"/>
      <c r="CF352" s="150"/>
      <c r="CG352" s="150"/>
      <c r="CH352" s="150"/>
      <c r="CI352" s="150"/>
      <c r="CJ352" s="150"/>
      <c r="CK352" s="150"/>
      <c r="CL352" s="150"/>
      <c r="CM352" s="150"/>
      <c r="CN352" s="150"/>
      <c r="CO352" s="150"/>
      <c r="CP352" s="150"/>
      <c r="CQ352" s="150"/>
      <c r="CR352" s="150"/>
      <c r="CS352" s="150"/>
      <c r="CT352" s="150"/>
      <c r="CU352" s="150"/>
      <c r="CV352" s="150"/>
      <c r="CW352" s="150"/>
      <c r="CX352" s="150"/>
      <c r="CY352" s="150"/>
      <c r="CZ352" s="150"/>
      <c r="DA352" s="150"/>
      <c r="DB352" s="150"/>
      <c r="DC352" s="150"/>
      <c r="DD352" s="150"/>
      <c r="DE352" s="150"/>
      <c r="DF352" s="150"/>
      <c r="DG352" s="150"/>
      <c r="DH352" s="150"/>
      <c r="DI352" s="150"/>
      <c r="DJ352" s="150"/>
      <c r="DK352" s="150"/>
    </row>
    <row r="353" spans="1:115" x14ac:dyDescent="0.25">
      <c r="A353" s="258"/>
      <c r="B353" s="258"/>
      <c r="C353" s="585"/>
      <c r="D353" s="559"/>
      <c r="E353" s="537"/>
      <c r="F353" s="253"/>
      <c r="G353" s="541"/>
      <c r="H353" s="536">
        <f>F353*G353</f>
        <v>0</v>
      </c>
      <c r="I353" s="537"/>
      <c r="J353" s="253"/>
      <c r="K353" s="541"/>
      <c r="L353" s="536">
        <f>J353*K353</f>
        <v>0</v>
      </c>
    </row>
    <row r="354" spans="1:115" x14ac:dyDescent="0.25">
      <c r="A354" s="258"/>
      <c r="B354" s="258"/>
      <c r="C354" s="584"/>
      <c r="D354" s="558"/>
      <c r="E354" s="534"/>
      <c r="F354" s="253"/>
      <c r="G354" s="535"/>
      <c r="H354" s="536">
        <f>F354*G354</f>
        <v>0</v>
      </c>
      <c r="I354" s="534"/>
      <c r="J354" s="253"/>
      <c r="K354" s="535"/>
      <c r="L354" s="536">
        <f>J354*K354</f>
        <v>0</v>
      </c>
    </row>
    <row r="355" spans="1:115" x14ac:dyDescent="0.25">
      <c r="A355" s="258"/>
      <c r="B355" s="258"/>
      <c r="C355" s="584"/>
      <c r="D355" s="559" t="s">
        <v>0</v>
      </c>
      <c r="E355" s="534"/>
      <c r="F355" s="542">
        <f>SUM(F341:F354)</f>
        <v>0</v>
      </c>
      <c r="G355" s="543" t="e">
        <f>H355/F355</f>
        <v>#DIV/0!</v>
      </c>
      <c r="H355" s="544">
        <f>SUM(H341:H354)</f>
        <v>0</v>
      </c>
      <c r="I355" s="534"/>
      <c r="J355" s="542">
        <f>SUM(J341:J354)</f>
        <v>0</v>
      </c>
      <c r="K355" s="543" t="e">
        <f>L355/J355</f>
        <v>#DIV/0!</v>
      </c>
      <c r="L355" s="544">
        <f>SUM(L341:L354)</f>
        <v>0</v>
      </c>
    </row>
    <row r="356" spans="1:115" x14ac:dyDescent="0.25">
      <c r="A356" s="545"/>
      <c r="B356" s="545"/>
      <c r="C356" s="586"/>
      <c r="D356" s="561"/>
      <c r="E356" s="546"/>
      <c r="F356" s="546"/>
      <c r="G356" s="547"/>
      <c r="H356" s="548"/>
      <c r="I356" s="546"/>
      <c r="J356" s="546"/>
      <c r="K356" s="547"/>
      <c r="L356" s="548"/>
    </row>
    <row r="357" spans="1:115" x14ac:dyDescent="0.25">
      <c r="A357" s="258"/>
      <c r="B357" s="258"/>
      <c r="C357" s="584"/>
      <c r="D357" s="558"/>
      <c r="E357" s="534"/>
      <c r="F357" s="253"/>
      <c r="G357" s="535"/>
      <c r="H357" s="536">
        <f t="shared" ref="H357:H368" si="48">F357*G357</f>
        <v>0</v>
      </c>
      <c r="I357" s="534"/>
      <c r="J357" s="253"/>
      <c r="K357" s="535"/>
      <c r="L357" s="536">
        <f t="shared" ref="L357:L363" si="49">J357*K357</f>
        <v>0</v>
      </c>
    </row>
    <row r="358" spans="1:115" x14ac:dyDescent="0.25">
      <c r="A358" s="258"/>
      <c r="B358" s="258"/>
      <c r="C358" s="584"/>
      <c r="D358" s="559">
        <f>D342+1</f>
        <v>45647</v>
      </c>
      <c r="E358" s="534"/>
      <c r="F358" s="253"/>
      <c r="G358" s="541"/>
      <c r="H358" s="536">
        <f t="shared" si="48"/>
        <v>0</v>
      </c>
      <c r="I358" s="534"/>
      <c r="J358" s="253"/>
      <c r="K358" s="541"/>
      <c r="L358" s="536">
        <f t="shared" si="49"/>
        <v>0</v>
      </c>
    </row>
    <row r="359" spans="1:115" s="227" customFormat="1" x14ac:dyDescent="0.25">
      <c r="A359" s="258"/>
      <c r="B359" s="258"/>
      <c r="C359" s="584"/>
      <c r="D359" s="595"/>
      <c r="E359" s="541"/>
      <c r="F359" s="541"/>
      <c r="G359" s="541"/>
      <c r="H359" s="540">
        <f t="shared" si="48"/>
        <v>0</v>
      </c>
      <c r="I359" s="537"/>
      <c r="J359" s="541"/>
      <c r="K359" s="541"/>
      <c r="L359" s="540">
        <f t="shared" si="49"/>
        <v>0</v>
      </c>
      <c r="M359" s="150"/>
      <c r="N359" s="150"/>
      <c r="O359" s="150"/>
      <c r="P359" s="150"/>
      <c r="Q359" s="150"/>
      <c r="R359" s="150"/>
      <c r="S359" s="150"/>
      <c r="T359" s="150"/>
      <c r="U359" s="150"/>
      <c r="V359" s="150"/>
      <c r="W359" s="150"/>
      <c r="X359" s="150"/>
      <c r="Y359" s="150"/>
      <c r="Z359" s="150"/>
      <c r="AA359" s="150"/>
      <c r="AB359" s="150"/>
      <c r="AC359" s="150"/>
      <c r="AD359" s="150"/>
      <c r="AE359" s="150"/>
      <c r="AF359" s="150"/>
      <c r="AG359" s="150"/>
      <c r="AH359" s="150"/>
      <c r="AI359" s="150"/>
      <c r="AJ359" s="150"/>
      <c r="AK359" s="150"/>
      <c r="AL359" s="150"/>
      <c r="AM359" s="150"/>
      <c r="AN359" s="150"/>
      <c r="AO359" s="150"/>
      <c r="AP359" s="150"/>
      <c r="AQ359" s="150"/>
      <c r="AR359" s="150"/>
      <c r="AS359" s="150"/>
      <c r="AT359" s="150"/>
      <c r="AU359" s="150"/>
      <c r="AV359" s="150"/>
      <c r="AW359" s="150"/>
      <c r="AX359" s="150"/>
      <c r="AY359" s="150"/>
      <c r="AZ359" s="150"/>
      <c r="BA359" s="150"/>
      <c r="BB359" s="150"/>
      <c r="BC359" s="150"/>
      <c r="BD359" s="150"/>
      <c r="BE359" s="150"/>
      <c r="BF359" s="150"/>
      <c r="BG359" s="150"/>
      <c r="BH359" s="150"/>
      <c r="BI359" s="150"/>
      <c r="BJ359" s="150"/>
      <c r="BK359" s="150"/>
      <c r="BL359" s="150"/>
      <c r="BM359" s="150"/>
      <c r="BN359" s="150"/>
      <c r="BO359" s="150"/>
      <c r="BP359" s="150"/>
      <c r="BQ359" s="150"/>
      <c r="BR359" s="150"/>
      <c r="BS359" s="150"/>
      <c r="BT359" s="150"/>
      <c r="BU359" s="150"/>
      <c r="BV359" s="150"/>
      <c r="BW359" s="150"/>
      <c r="BX359" s="150"/>
      <c r="BY359" s="150"/>
      <c r="BZ359" s="150"/>
      <c r="CA359" s="150"/>
      <c r="CB359" s="150"/>
      <c r="CC359" s="150"/>
      <c r="CD359" s="150"/>
      <c r="CE359" s="150"/>
      <c r="CF359" s="150"/>
      <c r="CG359" s="150"/>
      <c r="CH359" s="150"/>
      <c r="CI359" s="150"/>
      <c r="CJ359" s="150"/>
      <c r="CK359" s="150"/>
      <c r="CL359" s="150"/>
      <c r="CM359" s="150"/>
      <c r="CN359" s="150"/>
      <c r="CO359" s="150"/>
      <c r="CP359" s="150"/>
      <c r="CQ359" s="150"/>
      <c r="CR359" s="150"/>
      <c r="CS359" s="150"/>
      <c r="CT359" s="150"/>
      <c r="CU359" s="150"/>
      <c r="CV359" s="150"/>
      <c r="CW359" s="150"/>
      <c r="CX359" s="150"/>
      <c r="CY359" s="150"/>
      <c r="CZ359" s="150"/>
      <c r="DA359" s="150"/>
      <c r="DB359" s="150"/>
      <c r="DC359" s="150"/>
      <c r="DD359" s="150"/>
      <c r="DE359" s="150"/>
      <c r="DF359" s="150"/>
      <c r="DG359" s="150"/>
      <c r="DH359" s="150"/>
      <c r="DI359" s="150"/>
      <c r="DJ359" s="150"/>
      <c r="DK359" s="150"/>
    </row>
    <row r="360" spans="1:115" s="227" customFormat="1" x14ac:dyDescent="0.25">
      <c r="A360" s="258"/>
      <c r="B360" s="258"/>
      <c r="C360" s="584"/>
      <c r="D360" s="595"/>
      <c r="E360" s="541"/>
      <c r="F360" s="541"/>
      <c r="G360" s="541"/>
      <c r="H360" s="540">
        <f t="shared" si="48"/>
        <v>0</v>
      </c>
      <c r="I360" s="537"/>
      <c r="J360" s="541"/>
      <c r="K360" s="541"/>
      <c r="L360" s="540">
        <f t="shared" si="49"/>
        <v>0</v>
      </c>
      <c r="M360" s="150"/>
      <c r="N360" s="150"/>
      <c r="O360" s="150"/>
      <c r="P360" s="150"/>
      <c r="Q360" s="150"/>
      <c r="R360" s="150"/>
      <c r="S360" s="150"/>
      <c r="T360" s="150"/>
      <c r="U360" s="150"/>
      <c r="V360" s="150"/>
      <c r="W360" s="150"/>
      <c r="X360" s="150"/>
      <c r="Y360" s="150"/>
      <c r="Z360" s="150"/>
      <c r="AA360" s="150"/>
      <c r="AB360" s="150"/>
      <c r="AC360" s="150"/>
      <c r="AD360" s="150"/>
      <c r="AE360" s="150"/>
      <c r="AF360" s="150"/>
      <c r="AG360" s="150"/>
      <c r="AH360" s="150"/>
      <c r="AI360" s="150"/>
      <c r="AJ360" s="150"/>
      <c r="AK360" s="150"/>
      <c r="AL360" s="150"/>
      <c r="AM360" s="150"/>
      <c r="AN360" s="150"/>
      <c r="AO360" s="150"/>
      <c r="AP360" s="150"/>
      <c r="AQ360" s="150"/>
      <c r="AR360" s="150"/>
      <c r="AS360" s="150"/>
      <c r="AT360" s="150"/>
      <c r="AU360" s="150"/>
      <c r="AV360" s="150"/>
      <c r="AW360" s="150"/>
      <c r="AX360" s="150"/>
      <c r="AY360" s="150"/>
      <c r="AZ360" s="150"/>
      <c r="BA360" s="150"/>
      <c r="BB360" s="150"/>
      <c r="BC360" s="150"/>
      <c r="BD360" s="150"/>
      <c r="BE360" s="150"/>
      <c r="BF360" s="150"/>
      <c r="BG360" s="150"/>
      <c r="BH360" s="150"/>
      <c r="BI360" s="150"/>
      <c r="BJ360" s="150"/>
      <c r="BK360" s="150"/>
      <c r="BL360" s="150"/>
      <c r="BM360" s="150"/>
      <c r="BN360" s="150"/>
      <c r="BO360" s="150"/>
      <c r="BP360" s="150"/>
      <c r="BQ360" s="150"/>
      <c r="BR360" s="150"/>
      <c r="BS360" s="150"/>
      <c r="BT360" s="150"/>
      <c r="BU360" s="150"/>
      <c r="BV360" s="150"/>
      <c r="BW360" s="150"/>
      <c r="BX360" s="150"/>
      <c r="BY360" s="150"/>
      <c r="BZ360" s="150"/>
      <c r="CA360" s="150"/>
      <c r="CB360" s="150"/>
      <c r="CC360" s="150"/>
      <c r="CD360" s="150"/>
      <c r="CE360" s="150"/>
      <c r="CF360" s="150"/>
      <c r="CG360" s="150"/>
      <c r="CH360" s="150"/>
      <c r="CI360" s="150"/>
      <c r="CJ360" s="150"/>
      <c r="CK360" s="150"/>
      <c r="CL360" s="150"/>
      <c r="CM360" s="150"/>
      <c r="CN360" s="150"/>
      <c r="CO360" s="150"/>
      <c r="CP360" s="150"/>
      <c r="CQ360" s="150"/>
      <c r="CR360" s="150"/>
      <c r="CS360" s="150"/>
      <c r="CT360" s="150"/>
      <c r="CU360" s="150"/>
      <c r="CV360" s="150"/>
      <c r="CW360" s="150"/>
      <c r="CX360" s="150"/>
      <c r="CY360" s="150"/>
      <c r="CZ360" s="150"/>
      <c r="DA360" s="150"/>
      <c r="DB360" s="150"/>
      <c r="DC360" s="150"/>
      <c r="DD360" s="150"/>
      <c r="DE360" s="150"/>
      <c r="DF360" s="150"/>
      <c r="DG360" s="150"/>
      <c r="DH360" s="150"/>
      <c r="DI360" s="150"/>
      <c r="DJ360" s="150"/>
      <c r="DK360" s="150"/>
    </row>
    <row r="361" spans="1:115" s="227" customFormat="1" x14ac:dyDescent="0.25">
      <c r="A361" s="258"/>
      <c r="B361" s="258"/>
      <c r="C361" s="584"/>
      <c r="D361" s="595"/>
      <c r="E361" s="541"/>
      <c r="F361" s="541"/>
      <c r="G361" s="541"/>
      <c r="H361" s="540">
        <f t="shared" si="48"/>
        <v>0</v>
      </c>
      <c r="I361" s="537"/>
      <c r="J361" s="541"/>
      <c r="K361" s="541"/>
      <c r="L361" s="540">
        <f t="shared" si="49"/>
        <v>0</v>
      </c>
      <c r="M361" s="150"/>
      <c r="N361" s="150"/>
      <c r="O361" s="150"/>
      <c r="P361" s="150"/>
      <c r="Q361" s="150"/>
      <c r="R361" s="150"/>
      <c r="S361" s="150"/>
      <c r="T361" s="150"/>
      <c r="U361" s="150"/>
      <c r="V361" s="150"/>
      <c r="W361" s="150"/>
      <c r="X361" s="150"/>
      <c r="Y361" s="150"/>
      <c r="Z361" s="150"/>
      <c r="AA361" s="150"/>
      <c r="AB361" s="150"/>
      <c r="AC361" s="150"/>
      <c r="AD361" s="150"/>
      <c r="AE361" s="150"/>
      <c r="AF361" s="150"/>
      <c r="AG361" s="150"/>
      <c r="AH361" s="150"/>
      <c r="AI361" s="150"/>
      <c r="AJ361" s="150"/>
      <c r="AK361" s="150"/>
      <c r="AL361" s="150"/>
      <c r="AM361" s="150"/>
      <c r="AN361" s="150"/>
      <c r="AO361" s="150"/>
      <c r="AP361" s="150"/>
      <c r="AQ361" s="150"/>
      <c r="AR361" s="150"/>
      <c r="AS361" s="150"/>
      <c r="AT361" s="150"/>
      <c r="AU361" s="150"/>
      <c r="AV361" s="150"/>
      <c r="AW361" s="150"/>
      <c r="AX361" s="150"/>
      <c r="AY361" s="150"/>
      <c r="AZ361" s="150"/>
      <c r="BA361" s="150"/>
      <c r="BB361" s="150"/>
      <c r="BC361" s="150"/>
      <c r="BD361" s="150"/>
      <c r="BE361" s="150"/>
      <c r="BF361" s="150"/>
      <c r="BG361" s="150"/>
      <c r="BH361" s="150"/>
      <c r="BI361" s="150"/>
      <c r="BJ361" s="150"/>
      <c r="BK361" s="150"/>
      <c r="BL361" s="150"/>
      <c r="BM361" s="150"/>
      <c r="BN361" s="150"/>
      <c r="BO361" s="150"/>
      <c r="BP361" s="150"/>
      <c r="BQ361" s="150"/>
      <c r="BR361" s="150"/>
      <c r="BS361" s="150"/>
      <c r="BT361" s="150"/>
      <c r="BU361" s="150"/>
      <c r="BV361" s="150"/>
      <c r="BW361" s="150"/>
      <c r="BX361" s="150"/>
      <c r="BY361" s="150"/>
      <c r="BZ361" s="150"/>
      <c r="CA361" s="150"/>
      <c r="CB361" s="150"/>
      <c r="CC361" s="150"/>
      <c r="CD361" s="150"/>
      <c r="CE361" s="150"/>
      <c r="CF361" s="150"/>
      <c r="CG361" s="150"/>
      <c r="CH361" s="150"/>
      <c r="CI361" s="150"/>
      <c r="CJ361" s="150"/>
      <c r="CK361" s="150"/>
      <c r="CL361" s="150"/>
      <c r="CM361" s="150"/>
      <c r="CN361" s="150"/>
      <c r="CO361" s="150"/>
      <c r="CP361" s="150"/>
      <c r="CQ361" s="150"/>
      <c r="CR361" s="150"/>
      <c r="CS361" s="150"/>
      <c r="CT361" s="150"/>
      <c r="CU361" s="150"/>
      <c r="CV361" s="150"/>
      <c r="CW361" s="150"/>
      <c r="CX361" s="150"/>
      <c r="CY361" s="150"/>
      <c r="CZ361" s="150"/>
      <c r="DA361" s="150"/>
      <c r="DB361" s="150"/>
      <c r="DC361" s="150"/>
      <c r="DD361" s="150"/>
      <c r="DE361" s="150"/>
      <c r="DF361" s="150"/>
      <c r="DG361" s="150"/>
      <c r="DH361" s="150"/>
      <c r="DI361" s="150"/>
      <c r="DJ361" s="150"/>
      <c r="DK361" s="150"/>
    </row>
    <row r="362" spans="1:115" s="227" customFormat="1" x14ac:dyDescent="0.25">
      <c r="A362" s="258"/>
      <c r="B362" s="258"/>
      <c r="C362" s="584"/>
      <c r="D362" s="595"/>
      <c r="E362" s="537"/>
      <c r="F362" s="541"/>
      <c r="G362" s="541"/>
      <c r="H362" s="540">
        <f t="shared" si="48"/>
        <v>0</v>
      </c>
      <c r="I362" s="537"/>
      <c r="J362" s="541"/>
      <c r="K362" s="541"/>
      <c r="L362" s="540">
        <f t="shared" si="49"/>
        <v>0</v>
      </c>
      <c r="M362" s="150"/>
      <c r="N362" s="150"/>
      <c r="O362" s="150"/>
      <c r="P362" s="150"/>
      <c r="Q362" s="150"/>
      <c r="R362" s="150"/>
      <c r="S362" s="150"/>
      <c r="T362" s="150"/>
      <c r="U362" s="150"/>
      <c r="V362" s="150"/>
      <c r="W362" s="150"/>
      <c r="X362" s="150"/>
      <c r="Y362" s="150"/>
      <c r="Z362" s="150"/>
      <c r="AA362" s="150"/>
      <c r="AB362" s="150"/>
      <c r="AC362" s="150"/>
      <c r="AD362" s="150"/>
      <c r="AE362" s="150"/>
      <c r="AF362" s="150"/>
      <c r="AG362" s="150"/>
      <c r="AH362" s="150"/>
      <c r="AI362" s="150"/>
      <c r="AJ362" s="150"/>
      <c r="AK362" s="150"/>
      <c r="AL362" s="150"/>
      <c r="AM362" s="150"/>
      <c r="AN362" s="150"/>
      <c r="AO362" s="150"/>
      <c r="AP362" s="150"/>
      <c r="AQ362" s="150"/>
      <c r="AR362" s="150"/>
      <c r="AS362" s="150"/>
      <c r="AT362" s="150"/>
      <c r="AU362" s="150"/>
      <c r="AV362" s="150"/>
      <c r="AW362" s="150"/>
      <c r="AX362" s="150"/>
      <c r="AY362" s="150"/>
      <c r="AZ362" s="150"/>
      <c r="BA362" s="150"/>
      <c r="BB362" s="150"/>
      <c r="BC362" s="150"/>
      <c r="BD362" s="150"/>
      <c r="BE362" s="150"/>
      <c r="BF362" s="150"/>
      <c r="BG362" s="150"/>
      <c r="BH362" s="150"/>
      <c r="BI362" s="150"/>
      <c r="BJ362" s="150"/>
      <c r="BK362" s="150"/>
      <c r="BL362" s="150"/>
      <c r="BM362" s="150"/>
      <c r="BN362" s="150"/>
      <c r="BO362" s="150"/>
      <c r="BP362" s="150"/>
      <c r="BQ362" s="150"/>
      <c r="BR362" s="150"/>
      <c r="BS362" s="150"/>
      <c r="BT362" s="150"/>
      <c r="BU362" s="150"/>
      <c r="BV362" s="150"/>
      <c r="BW362" s="150"/>
      <c r="BX362" s="150"/>
      <c r="BY362" s="150"/>
      <c r="BZ362" s="150"/>
      <c r="CA362" s="150"/>
      <c r="CB362" s="150"/>
      <c r="CC362" s="150"/>
      <c r="CD362" s="150"/>
      <c r="CE362" s="150"/>
      <c r="CF362" s="150"/>
      <c r="CG362" s="150"/>
      <c r="CH362" s="150"/>
      <c r="CI362" s="150"/>
      <c r="CJ362" s="150"/>
      <c r="CK362" s="150"/>
      <c r="CL362" s="150"/>
      <c r="CM362" s="150"/>
      <c r="CN362" s="150"/>
      <c r="CO362" s="150"/>
      <c r="CP362" s="150"/>
      <c r="CQ362" s="150"/>
      <c r="CR362" s="150"/>
      <c r="CS362" s="150"/>
      <c r="CT362" s="150"/>
      <c r="CU362" s="150"/>
      <c r="CV362" s="150"/>
      <c r="CW362" s="150"/>
      <c r="CX362" s="150"/>
      <c r="CY362" s="150"/>
      <c r="CZ362" s="150"/>
      <c r="DA362" s="150"/>
      <c r="DB362" s="150"/>
      <c r="DC362" s="150"/>
      <c r="DD362" s="150"/>
      <c r="DE362" s="150"/>
      <c r="DF362" s="150"/>
      <c r="DG362" s="150"/>
      <c r="DH362" s="150"/>
      <c r="DI362" s="150"/>
      <c r="DJ362" s="150"/>
      <c r="DK362" s="150"/>
    </row>
    <row r="363" spans="1:115" s="227" customFormat="1" x14ac:dyDescent="0.25">
      <c r="A363" s="258"/>
      <c r="B363" s="258"/>
      <c r="C363" s="584"/>
      <c r="D363" s="595"/>
      <c r="E363" s="537"/>
      <c r="F363" s="541"/>
      <c r="G363" s="541"/>
      <c r="H363" s="540">
        <f t="shared" si="48"/>
        <v>0</v>
      </c>
      <c r="I363" s="537"/>
      <c r="J363" s="541"/>
      <c r="K363" s="541"/>
      <c r="L363" s="540">
        <f t="shared" si="49"/>
        <v>0</v>
      </c>
      <c r="M363" s="150"/>
      <c r="N363" s="150"/>
      <c r="O363" s="150"/>
      <c r="P363" s="150"/>
      <c r="Q363" s="150"/>
      <c r="R363" s="150"/>
      <c r="S363" s="150"/>
      <c r="T363" s="150"/>
      <c r="U363" s="150"/>
      <c r="V363" s="150"/>
      <c r="W363" s="150"/>
      <c r="X363" s="150"/>
      <c r="Y363" s="150"/>
      <c r="Z363" s="150"/>
      <c r="AA363" s="150"/>
      <c r="AB363" s="150"/>
      <c r="AC363" s="150"/>
      <c r="AD363" s="150"/>
      <c r="AE363" s="150"/>
      <c r="AF363" s="150"/>
      <c r="AG363" s="150"/>
      <c r="AH363" s="150"/>
      <c r="AI363" s="150"/>
      <c r="AJ363" s="150"/>
      <c r="AK363" s="150"/>
      <c r="AL363" s="150"/>
      <c r="AM363" s="150"/>
      <c r="AN363" s="150"/>
      <c r="AO363" s="150"/>
      <c r="AP363" s="150"/>
      <c r="AQ363" s="150"/>
      <c r="AR363" s="150"/>
      <c r="AS363" s="150"/>
      <c r="AT363" s="150"/>
      <c r="AU363" s="150"/>
      <c r="AV363" s="150"/>
      <c r="AW363" s="150"/>
      <c r="AX363" s="150"/>
      <c r="AY363" s="150"/>
      <c r="AZ363" s="150"/>
      <c r="BA363" s="150"/>
      <c r="BB363" s="150"/>
      <c r="BC363" s="150"/>
      <c r="BD363" s="150"/>
      <c r="BE363" s="150"/>
      <c r="BF363" s="150"/>
      <c r="BG363" s="150"/>
      <c r="BH363" s="150"/>
      <c r="BI363" s="150"/>
      <c r="BJ363" s="150"/>
      <c r="BK363" s="150"/>
      <c r="BL363" s="150"/>
      <c r="BM363" s="150"/>
      <c r="BN363" s="150"/>
      <c r="BO363" s="150"/>
      <c r="BP363" s="150"/>
      <c r="BQ363" s="150"/>
      <c r="BR363" s="150"/>
      <c r="BS363" s="150"/>
      <c r="BT363" s="150"/>
      <c r="BU363" s="150"/>
      <c r="BV363" s="150"/>
      <c r="BW363" s="150"/>
      <c r="BX363" s="150"/>
      <c r="BY363" s="150"/>
      <c r="BZ363" s="150"/>
      <c r="CA363" s="150"/>
      <c r="CB363" s="150"/>
      <c r="CC363" s="150"/>
      <c r="CD363" s="150"/>
      <c r="CE363" s="150"/>
      <c r="CF363" s="150"/>
      <c r="CG363" s="150"/>
      <c r="CH363" s="150"/>
      <c r="CI363" s="150"/>
      <c r="CJ363" s="150"/>
      <c r="CK363" s="150"/>
      <c r="CL363" s="150"/>
      <c r="CM363" s="150"/>
      <c r="CN363" s="150"/>
      <c r="CO363" s="150"/>
      <c r="CP363" s="150"/>
      <c r="CQ363" s="150"/>
      <c r="CR363" s="150"/>
      <c r="CS363" s="150"/>
      <c r="CT363" s="150"/>
      <c r="CU363" s="150"/>
      <c r="CV363" s="150"/>
      <c r="CW363" s="150"/>
      <c r="CX363" s="150"/>
      <c r="CY363" s="150"/>
      <c r="CZ363" s="150"/>
      <c r="DA363" s="150"/>
      <c r="DB363" s="150"/>
      <c r="DC363" s="150"/>
      <c r="DD363" s="150"/>
      <c r="DE363" s="150"/>
      <c r="DF363" s="150"/>
      <c r="DG363" s="150"/>
      <c r="DH363" s="150"/>
      <c r="DI363" s="150"/>
      <c r="DJ363" s="150"/>
      <c r="DK363" s="150"/>
    </row>
    <row r="364" spans="1:115" s="227" customFormat="1" x14ac:dyDescent="0.25">
      <c r="A364" s="258"/>
      <c r="B364" s="258"/>
      <c r="C364" s="584"/>
      <c r="D364" s="560"/>
      <c r="E364" s="537"/>
      <c r="F364" s="541"/>
      <c r="G364" s="541"/>
      <c r="H364" s="540">
        <f>F364*G364</f>
        <v>0</v>
      </c>
      <c r="I364" s="537"/>
      <c r="J364" s="541"/>
      <c r="K364" s="541"/>
      <c r="L364" s="540">
        <f>J364*K364</f>
        <v>0</v>
      </c>
      <c r="M364" s="150"/>
      <c r="N364" s="150"/>
      <c r="O364" s="150"/>
      <c r="P364" s="150"/>
      <c r="Q364" s="150"/>
      <c r="R364" s="150"/>
      <c r="S364" s="150"/>
      <c r="T364" s="150"/>
      <c r="U364" s="150"/>
      <c r="V364" s="150"/>
      <c r="W364" s="150"/>
      <c r="X364" s="150"/>
      <c r="Y364" s="150"/>
      <c r="Z364" s="150"/>
      <c r="AA364" s="150"/>
      <c r="AB364" s="150"/>
      <c r="AC364" s="150"/>
      <c r="AD364" s="150"/>
      <c r="AE364" s="150"/>
      <c r="AF364" s="150"/>
      <c r="AG364" s="150"/>
      <c r="AH364" s="150"/>
      <c r="AI364" s="150"/>
      <c r="AJ364" s="150"/>
      <c r="AK364" s="150"/>
      <c r="AL364" s="150"/>
      <c r="AM364" s="150"/>
      <c r="AN364" s="150"/>
      <c r="AO364" s="150"/>
      <c r="AP364" s="150"/>
      <c r="AQ364" s="150"/>
      <c r="AR364" s="150"/>
      <c r="AS364" s="150"/>
      <c r="AT364" s="150"/>
      <c r="AU364" s="150"/>
      <c r="AV364" s="150"/>
      <c r="AW364" s="150"/>
      <c r="AX364" s="150"/>
      <c r="AY364" s="150"/>
      <c r="AZ364" s="150"/>
      <c r="BA364" s="150"/>
      <c r="BB364" s="150"/>
      <c r="BC364" s="150"/>
      <c r="BD364" s="150"/>
      <c r="BE364" s="150"/>
      <c r="BF364" s="150"/>
      <c r="BG364" s="150"/>
      <c r="BH364" s="150"/>
      <c r="BI364" s="150"/>
      <c r="BJ364" s="150"/>
      <c r="BK364" s="150"/>
      <c r="BL364" s="150"/>
      <c r="BM364" s="150"/>
      <c r="BN364" s="150"/>
      <c r="BO364" s="150"/>
      <c r="BP364" s="150"/>
      <c r="BQ364" s="150"/>
      <c r="BR364" s="150"/>
      <c r="BS364" s="150"/>
      <c r="BT364" s="150"/>
      <c r="BU364" s="150"/>
      <c r="BV364" s="150"/>
      <c r="BW364" s="150"/>
      <c r="BX364" s="150"/>
      <c r="BY364" s="150"/>
      <c r="BZ364" s="150"/>
      <c r="CA364" s="150"/>
      <c r="CB364" s="150"/>
      <c r="CC364" s="150"/>
      <c r="CD364" s="150"/>
      <c r="CE364" s="150"/>
      <c r="CF364" s="150"/>
      <c r="CG364" s="150"/>
      <c r="CH364" s="150"/>
      <c r="CI364" s="150"/>
      <c r="CJ364" s="150"/>
      <c r="CK364" s="150"/>
      <c r="CL364" s="150"/>
      <c r="CM364" s="150"/>
      <c r="CN364" s="150"/>
      <c r="CO364" s="150"/>
      <c r="CP364" s="150"/>
      <c r="CQ364" s="150"/>
      <c r="CR364" s="150"/>
      <c r="CS364" s="150"/>
      <c r="CT364" s="150"/>
      <c r="CU364" s="150"/>
      <c r="CV364" s="150"/>
      <c r="CW364" s="150"/>
      <c r="CX364" s="150"/>
      <c r="CY364" s="150"/>
      <c r="CZ364" s="150"/>
      <c r="DA364" s="150"/>
      <c r="DB364" s="150"/>
      <c r="DC364" s="150"/>
      <c r="DD364" s="150"/>
      <c r="DE364" s="150"/>
      <c r="DF364" s="150"/>
      <c r="DG364" s="150"/>
      <c r="DH364" s="150"/>
      <c r="DI364" s="150"/>
      <c r="DJ364" s="150"/>
      <c r="DK364" s="150"/>
    </row>
    <row r="365" spans="1:115" x14ac:dyDescent="0.25">
      <c r="A365" s="258"/>
      <c r="B365" s="258"/>
      <c r="C365" s="584"/>
      <c r="D365" s="559"/>
      <c r="E365" s="534"/>
      <c r="F365" s="262"/>
      <c r="G365" s="262"/>
      <c r="H365" s="536">
        <f t="shared" si="48"/>
        <v>0</v>
      </c>
      <c r="I365" s="534"/>
      <c r="J365" s="262"/>
      <c r="K365" s="262"/>
      <c r="L365" s="536">
        <f t="shared" ref="L365" si="50">J365*K365</f>
        <v>0</v>
      </c>
    </row>
    <row r="366" spans="1:115" x14ac:dyDescent="0.25">
      <c r="A366" s="258"/>
      <c r="B366" s="258"/>
      <c r="C366" s="584"/>
      <c r="D366" s="559"/>
      <c r="E366" s="534"/>
      <c r="F366" s="262"/>
      <c r="G366" s="262"/>
      <c r="H366" s="536">
        <f>F366*G366</f>
        <v>0</v>
      </c>
      <c r="I366" s="534"/>
      <c r="J366" s="262"/>
      <c r="K366" s="262"/>
      <c r="L366" s="536">
        <f>J366*K366</f>
        <v>0</v>
      </c>
    </row>
    <row r="367" spans="1:115" s="227" customFormat="1" x14ac:dyDescent="0.25">
      <c r="A367" s="258"/>
      <c r="B367" s="258"/>
      <c r="C367" s="585"/>
      <c r="D367" s="560"/>
      <c r="E367" s="537"/>
      <c r="F367" s="253"/>
      <c r="G367" s="541"/>
      <c r="H367" s="536">
        <f>F367*G367</f>
        <v>0</v>
      </c>
      <c r="I367" s="537"/>
      <c r="J367" s="253"/>
      <c r="K367" s="541"/>
      <c r="L367" s="536">
        <f>J367*K367</f>
        <v>0</v>
      </c>
      <c r="M367" s="150"/>
      <c r="N367" s="150"/>
      <c r="O367" s="150"/>
      <c r="P367" s="150"/>
      <c r="Q367" s="150"/>
      <c r="R367" s="150"/>
      <c r="S367" s="150"/>
      <c r="T367" s="150"/>
      <c r="U367" s="150"/>
      <c r="V367" s="150"/>
      <c r="W367" s="150"/>
      <c r="X367" s="150"/>
      <c r="Y367" s="150"/>
      <c r="Z367" s="150"/>
      <c r="AA367" s="150"/>
      <c r="AB367" s="150"/>
      <c r="AC367" s="150"/>
      <c r="AD367" s="150"/>
      <c r="AE367" s="150"/>
      <c r="AF367" s="150"/>
      <c r="AG367" s="150"/>
      <c r="AH367" s="150"/>
      <c r="AI367" s="150"/>
      <c r="AJ367" s="150"/>
      <c r="AK367" s="150"/>
      <c r="AL367" s="150"/>
      <c r="AM367" s="150"/>
      <c r="AN367" s="150"/>
      <c r="AO367" s="150"/>
      <c r="AP367" s="150"/>
      <c r="AQ367" s="150"/>
      <c r="AR367" s="150"/>
      <c r="AS367" s="150"/>
      <c r="AT367" s="150"/>
      <c r="AU367" s="150"/>
      <c r="AV367" s="150"/>
      <c r="AW367" s="150"/>
      <c r="AX367" s="150"/>
      <c r="AY367" s="150"/>
      <c r="AZ367" s="150"/>
      <c r="BA367" s="150"/>
      <c r="BB367" s="150"/>
      <c r="BC367" s="150"/>
      <c r="BD367" s="150"/>
      <c r="BE367" s="150"/>
      <c r="BF367" s="150"/>
      <c r="BG367" s="150"/>
      <c r="BH367" s="150"/>
      <c r="BI367" s="150"/>
      <c r="BJ367" s="150"/>
      <c r="BK367" s="150"/>
      <c r="BL367" s="150"/>
      <c r="BM367" s="150"/>
      <c r="BN367" s="150"/>
      <c r="BO367" s="150"/>
      <c r="BP367" s="150"/>
      <c r="BQ367" s="150"/>
      <c r="BR367" s="150"/>
      <c r="BS367" s="150"/>
      <c r="BT367" s="150"/>
      <c r="BU367" s="150"/>
      <c r="BV367" s="150"/>
      <c r="BW367" s="150"/>
      <c r="BX367" s="150"/>
      <c r="BY367" s="150"/>
      <c r="BZ367" s="150"/>
      <c r="CA367" s="150"/>
      <c r="CB367" s="150"/>
      <c r="CC367" s="150"/>
      <c r="CD367" s="150"/>
      <c r="CE367" s="150"/>
      <c r="CF367" s="150"/>
      <c r="CG367" s="150"/>
      <c r="CH367" s="150"/>
      <c r="CI367" s="150"/>
      <c r="CJ367" s="150"/>
      <c r="CK367" s="150"/>
      <c r="CL367" s="150"/>
      <c r="CM367" s="150"/>
      <c r="CN367" s="150"/>
      <c r="CO367" s="150"/>
      <c r="CP367" s="150"/>
      <c r="CQ367" s="150"/>
      <c r="CR367" s="150"/>
      <c r="CS367" s="150"/>
      <c r="CT367" s="150"/>
      <c r="CU367" s="150"/>
      <c r="CV367" s="150"/>
      <c r="CW367" s="150"/>
      <c r="CX367" s="150"/>
      <c r="CY367" s="150"/>
      <c r="CZ367" s="150"/>
      <c r="DA367" s="150"/>
      <c r="DB367" s="150"/>
      <c r="DC367" s="150"/>
      <c r="DD367" s="150"/>
      <c r="DE367" s="150"/>
      <c r="DF367" s="150"/>
      <c r="DG367" s="150"/>
      <c r="DH367" s="150"/>
      <c r="DI367" s="150"/>
      <c r="DJ367" s="150"/>
      <c r="DK367" s="150"/>
    </row>
    <row r="368" spans="1:115" x14ac:dyDescent="0.25">
      <c r="A368" s="257"/>
      <c r="B368" s="258"/>
      <c r="C368" s="585"/>
      <c r="D368" s="560"/>
      <c r="E368" s="537"/>
      <c r="F368" s="253"/>
      <c r="G368" s="541"/>
      <c r="H368" s="536">
        <f t="shared" si="48"/>
        <v>0</v>
      </c>
      <c r="I368" s="537"/>
      <c r="J368" s="253"/>
      <c r="K368" s="541"/>
      <c r="L368" s="536">
        <f t="shared" ref="L368" si="51">J368*K368</f>
        <v>0</v>
      </c>
    </row>
    <row r="369" spans="1:115" x14ac:dyDescent="0.25">
      <c r="A369" s="257"/>
      <c r="B369" s="258"/>
      <c r="C369" s="585"/>
      <c r="D369" s="560"/>
      <c r="E369" s="537"/>
      <c r="F369" s="253"/>
      <c r="G369" s="541"/>
      <c r="H369" s="536">
        <f>F369*G369</f>
        <v>0</v>
      </c>
      <c r="I369" s="537"/>
      <c r="J369" s="253"/>
      <c r="K369" s="541"/>
      <c r="L369" s="536">
        <f>J369*K369</f>
        <v>0</v>
      </c>
    </row>
    <row r="370" spans="1:115" x14ac:dyDescent="0.25">
      <c r="A370" s="258"/>
      <c r="B370" s="258"/>
      <c r="C370" s="584"/>
      <c r="D370" s="559" t="s">
        <v>0</v>
      </c>
      <c r="E370" s="534"/>
      <c r="F370" s="542">
        <f>SUM(F357:F369)</f>
        <v>0</v>
      </c>
      <c r="G370" s="543" t="e">
        <f>H370/F370</f>
        <v>#DIV/0!</v>
      </c>
      <c r="H370" s="544">
        <f>SUM(H357:H369)</f>
        <v>0</v>
      </c>
      <c r="I370" s="534"/>
      <c r="J370" s="542">
        <f>SUM(J357:J369)</f>
        <v>0</v>
      </c>
      <c r="K370" s="543" t="e">
        <f>L370/J370</f>
        <v>#DIV/0!</v>
      </c>
      <c r="L370" s="544">
        <f>SUM(L357:L369)</f>
        <v>0</v>
      </c>
    </row>
    <row r="371" spans="1:115" x14ac:dyDescent="0.25">
      <c r="A371" s="545"/>
      <c r="B371" s="545"/>
      <c r="C371" s="586"/>
      <c r="D371" s="561"/>
      <c r="E371" s="546"/>
      <c r="F371" s="546"/>
      <c r="G371" s="547"/>
      <c r="H371" s="548"/>
      <c r="I371" s="546"/>
      <c r="J371" s="546"/>
      <c r="K371" s="547"/>
      <c r="L371" s="548"/>
    </row>
    <row r="372" spans="1:115" x14ac:dyDescent="0.25">
      <c r="A372" s="258"/>
      <c r="B372" s="258"/>
      <c r="C372" s="584"/>
      <c r="D372" s="558"/>
      <c r="E372" s="534"/>
      <c r="F372" s="253"/>
      <c r="G372" s="535"/>
      <c r="H372" s="536">
        <f t="shared" ref="H372:H384" si="52">F372*G372</f>
        <v>0</v>
      </c>
      <c r="I372" s="534"/>
      <c r="J372" s="253"/>
      <c r="K372" s="535"/>
      <c r="L372" s="536">
        <f t="shared" ref="L372:L376" si="53">J372*K372</f>
        <v>0</v>
      </c>
    </row>
    <row r="373" spans="1:115" x14ac:dyDescent="0.25">
      <c r="A373" s="258"/>
      <c r="B373" s="258"/>
      <c r="C373" s="584"/>
      <c r="D373" s="559">
        <f>D358+1</f>
        <v>45648</v>
      </c>
      <c r="E373" s="534"/>
      <c r="F373" s="253"/>
      <c r="G373" s="541"/>
      <c r="H373" s="536">
        <f t="shared" si="52"/>
        <v>0</v>
      </c>
      <c r="I373" s="534"/>
      <c r="J373" s="253"/>
      <c r="K373" s="541"/>
      <c r="L373" s="536">
        <f t="shared" si="53"/>
        <v>0</v>
      </c>
    </row>
    <row r="374" spans="1:115" x14ac:dyDescent="0.25">
      <c r="A374" s="258"/>
      <c r="B374" s="258"/>
      <c r="C374" s="585"/>
      <c r="D374" s="595"/>
      <c r="E374" s="537"/>
      <c r="F374" s="253"/>
      <c r="G374" s="541"/>
      <c r="H374" s="536">
        <f t="shared" si="52"/>
        <v>0</v>
      </c>
      <c r="I374" s="537"/>
      <c r="J374" s="253"/>
      <c r="K374" s="541"/>
      <c r="L374" s="536">
        <f t="shared" si="53"/>
        <v>0</v>
      </c>
    </row>
    <row r="375" spans="1:115" s="227" customFormat="1" x14ac:dyDescent="0.25">
      <c r="A375" s="258"/>
      <c r="B375" s="258"/>
      <c r="C375" s="584"/>
      <c r="D375" s="595"/>
      <c r="E375" s="537"/>
      <c r="F375" s="541"/>
      <c r="G375" s="541"/>
      <c r="H375" s="540">
        <f t="shared" si="52"/>
        <v>0</v>
      </c>
      <c r="I375" s="537"/>
      <c r="J375" s="541"/>
      <c r="K375" s="541"/>
      <c r="L375" s="540">
        <f t="shared" si="53"/>
        <v>0</v>
      </c>
      <c r="M375" s="150"/>
      <c r="N375" s="150"/>
      <c r="O375" s="150"/>
      <c r="P375" s="150"/>
      <c r="Q375" s="150"/>
      <c r="R375" s="150"/>
      <c r="S375" s="150"/>
      <c r="T375" s="150"/>
      <c r="U375" s="150"/>
      <c r="V375" s="150"/>
      <c r="W375" s="150"/>
      <c r="X375" s="150"/>
      <c r="Y375" s="150"/>
      <c r="Z375" s="150"/>
      <c r="AA375" s="150"/>
      <c r="AB375" s="150"/>
      <c r="AC375" s="150"/>
      <c r="AD375" s="150"/>
      <c r="AE375" s="150"/>
      <c r="AF375" s="150"/>
      <c r="AG375" s="150"/>
      <c r="AH375" s="150"/>
      <c r="AI375" s="150"/>
      <c r="AJ375" s="150"/>
      <c r="AK375" s="150"/>
      <c r="AL375" s="150"/>
      <c r="AM375" s="150"/>
      <c r="AN375" s="150"/>
      <c r="AO375" s="150"/>
      <c r="AP375" s="150"/>
      <c r="AQ375" s="150"/>
      <c r="AR375" s="150"/>
      <c r="AS375" s="150"/>
      <c r="AT375" s="150"/>
      <c r="AU375" s="150"/>
      <c r="AV375" s="150"/>
      <c r="AW375" s="150"/>
      <c r="AX375" s="150"/>
      <c r="AY375" s="150"/>
      <c r="AZ375" s="150"/>
      <c r="BA375" s="150"/>
      <c r="BB375" s="150"/>
      <c r="BC375" s="150"/>
      <c r="BD375" s="150"/>
      <c r="BE375" s="150"/>
      <c r="BF375" s="150"/>
      <c r="BG375" s="150"/>
      <c r="BH375" s="150"/>
      <c r="BI375" s="150"/>
      <c r="BJ375" s="150"/>
      <c r="BK375" s="150"/>
      <c r="BL375" s="150"/>
      <c r="BM375" s="150"/>
      <c r="BN375" s="150"/>
      <c r="BO375" s="150"/>
      <c r="BP375" s="150"/>
      <c r="BQ375" s="150"/>
      <c r="BR375" s="150"/>
      <c r="BS375" s="150"/>
      <c r="BT375" s="150"/>
      <c r="BU375" s="150"/>
      <c r="BV375" s="150"/>
      <c r="BW375" s="150"/>
      <c r="BX375" s="150"/>
      <c r="BY375" s="150"/>
      <c r="BZ375" s="150"/>
      <c r="CA375" s="150"/>
      <c r="CB375" s="150"/>
      <c r="CC375" s="150"/>
      <c r="CD375" s="150"/>
      <c r="CE375" s="150"/>
      <c r="CF375" s="150"/>
      <c r="CG375" s="150"/>
      <c r="CH375" s="150"/>
      <c r="CI375" s="150"/>
      <c r="CJ375" s="150"/>
      <c r="CK375" s="150"/>
      <c r="CL375" s="150"/>
      <c r="CM375" s="150"/>
      <c r="CN375" s="150"/>
      <c r="CO375" s="150"/>
      <c r="CP375" s="150"/>
      <c r="CQ375" s="150"/>
      <c r="CR375" s="150"/>
      <c r="CS375" s="150"/>
      <c r="CT375" s="150"/>
      <c r="CU375" s="150"/>
      <c r="CV375" s="150"/>
      <c r="CW375" s="150"/>
      <c r="CX375" s="150"/>
      <c r="CY375" s="150"/>
      <c r="CZ375" s="150"/>
      <c r="DA375" s="150"/>
      <c r="DB375" s="150"/>
      <c r="DC375" s="150"/>
      <c r="DD375" s="150"/>
      <c r="DE375" s="150"/>
      <c r="DF375" s="150"/>
      <c r="DG375" s="150"/>
      <c r="DH375" s="150"/>
      <c r="DI375" s="150"/>
      <c r="DJ375" s="150"/>
      <c r="DK375" s="150"/>
    </row>
    <row r="376" spans="1:115" s="227" customFormat="1" x14ac:dyDescent="0.25">
      <c r="A376" s="258"/>
      <c r="B376" s="258"/>
      <c r="C376" s="584"/>
      <c r="D376" s="595"/>
      <c r="E376" s="537"/>
      <c r="F376" s="541"/>
      <c r="G376" s="541"/>
      <c r="H376" s="540">
        <f t="shared" si="52"/>
        <v>0</v>
      </c>
      <c r="I376" s="537"/>
      <c r="J376" s="541"/>
      <c r="K376" s="541"/>
      <c r="L376" s="540">
        <f t="shared" si="53"/>
        <v>0</v>
      </c>
      <c r="M376" s="150"/>
      <c r="N376" s="150"/>
      <c r="O376" s="150"/>
      <c r="P376" s="150"/>
      <c r="Q376" s="150"/>
      <c r="R376" s="150"/>
      <c r="S376" s="150"/>
      <c r="T376" s="150"/>
      <c r="U376" s="150"/>
      <c r="V376" s="150"/>
      <c r="W376" s="150"/>
      <c r="X376" s="150"/>
      <c r="Y376" s="150"/>
      <c r="Z376" s="150"/>
      <c r="AA376" s="150"/>
      <c r="AB376" s="150"/>
      <c r="AC376" s="150"/>
      <c r="AD376" s="150"/>
      <c r="AE376" s="150"/>
      <c r="AF376" s="150"/>
      <c r="AG376" s="150"/>
      <c r="AH376" s="150"/>
      <c r="AI376" s="150"/>
      <c r="AJ376" s="150"/>
      <c r="AK376" s="150"/>
      <c r="AL376" s="150"/>
      <c r="AM376" s="150"/>
      <c r="AN376" s="150"/>
      <c r="AO376" s="150"/>
      <c r="AP376" s="150"/>
      <c r="AQ376" s="150"/>
      <c r="AR376" s="150"/>
      <c r="AS376" s="150"/>
      <c r="AT376" s="150"/>
      <c r="AU376" s="150"/>
      <c r="AV376" s="150"/>
      <c r="AW376" s="150"/>
      <c r="AX376" s="150"/>
      <c r="AY376" s="150"/>
      <c r="AZ376" s="150"/>
      <c r="BA376" s="150"/>
      <c r="BB376" s="150"/>
      <c r="BC376" s="150"/>
      <c r="BD376" s="150"/>
      <c r="BE376" s="150"/>
      <c r="BF376" s="150"/>
      <c r="BG376" s="150"/>
      <c r="BH376" s="150"/>
      <c r="BI376" s="150"/>
      <c r="BJ376" s="150"/>
      <c r="BK376" s="150"/>
      <c r="BL376" s="150"/>
      <c r="BM376" s="150"/>
      <c r="BN376" s="150"/>
      <c r="BO376" s="150"/>
      <c r="BP376" s="150"/>
      <c r="BQ376" s="150"/>
      <c r="BR376" s="150"/>
      <c r="BS376" s="150"/>
      <c r="BT376" s="150"/>
      <c r="BU376" s="150"/>
      <c r="BV376" s="150"/>
      <c r="BW376" s="150"/>
      <c r="BX376" s="150"/>
      <c r="BY376" s="150"/>
      <c r="BZ376" s="150"/>
      <c r="CA376" s="150"/>
      <c r="CB376" s="150"/>
      <c r="CC376" s="150"/>
      <c r="CD376" s="150"/>
      <c r="CE376" s="150"/>
      <c r="CF376" s="150"/>
      <c r="CG376" s="150"/>
      <c r="CH376" s="150"/>
      <c r="CI376" s="150"/>
      <c r="CJ376" s="150"/>
      <c r="CK376" s="150"/>
      <c r="CL376" s="150"/>
      <c r="CM376" s="150"/>
      <c r="CN376" s="150"/>
      <c r="CO376" s="150"/>
      <c r="CP376" s="150"/>
      <c r="CQ376" s="150"/>
      <c r="CR376" s="150"/>
      <c r="CS376" s="150"/>
      <c r="CT376" s="150"/>
      <c r="CU376" s="150"/>
      <c r="CV376" s="150"/>
      <c r="CW376" s="150"/>
      <c r="CX376" s="150"/>
      <c r="CY376" s="150"/>
      <c r="CZ376" s="150"/>
      <c r="DA376" s="150"/>
      <c r="DB376" s="150"/>
      <c r="DC376" s="150"/>
      <c r="DD376" s="150"/>
      <c r="DE376" s="150"/>
      <c r="DF376" s="150"/>
      <c r="DG376" s="150"/>
      <c r="DH376" s="150"/>
      <c r="DI376" s="150"/>
      <c r="DJ376" s="150"/>
      <c r="DK376" s="150"/>
    </row>
    <row r="377" spans="1:115" s="227" customFormat="1" x14ac:dyDescent="0.25">
      <c r="A377" s="258"/>
      <c r="B377" s="258"/>
      <c r="C377" s="584"/>
      <c r="D377" s="560"/>
      <c r="E377" s="537"/>
      <c r="F377" s="541"/>
      <c r="G377" s="541"/>
      <c r="H377" s="540">
        <f>F377*G377</f>
        <v>0</v>
      </c>
      <c r="I377" s="537"/>
      <c r="J377" s="541"/>
      <c r="K377" s="541"/>
      <c r="L377" s="540">
        <f>J377*K377</f>
        <v>0</v>
      </c>
      <c r="M377" s="150"/>
      <c r="N377" s="150"/>
      <c r="O377" s="150"/>
      <c r="P377" s="150"/>
      <c r="Q377" s="150"/>
      <c r="R377" s="150"/>
      <c r="S377" s="150"/>
      <c r="T377" s="150"/>
      <c r="U377" s="150"/>
      <c r="V377" s="150"/>
      <c r="W377" s="150"/>
      <c r="X377" s="150"/>
      <c r="Y377" s="150"/>
      <c r="Z377" s="150"/>
      <c r="AA377" s="150"/>
      <c r="AB377" s="150"/>
      <c r="AC377" s="150"/>
      <c r="AD377" s="150"/>
      <c r="AE377" s="150"/>
      <c r="AF377" s="150"/>
      <c r="AG377" s="150"/>
      <c r="AH377" s="150"/>
      <c r="AI377" s="150"/>
      <c r="AJ377" s="150"/>
      <c r="AK377" s="150"/>
      <c r="AL377" s="150"/>
      <c r="AM377" s="150"/>
      <c r="AN377" s="150"/>
      <c r="AO377" s="150"/>
      <c r="AP377" s="150"/>
      <c r="AQ377" s="150"/>
      <c r="AR377" s="150"/>
      <c r="AS377" s="150"/>
      <c r="AT377" s="150"/>
      <c r="AU377" s="150"/>
      <c r="AV377" s="150"/>
      <c r="AW377" s="150"/>
      <c r="AX377" s="150"/>
      <c r="AY377" s="150"/>
      <c r="AZ377" s="150"/>
      <c r="BA377" s="150"/>
      <c r="BB377" s="150"/>
      <c r="BC377" s="150"/>
      <c r="BD377" s="150"/>
      <c r="BE377" s="150"/>
      <c r="BF377" s="150"/>
      <c r="BG377" s="150"/>
      <c r="BH377" s="150"/>
      <c r="BI377" s="150"/>
      <c r="BJ377" s="150"/>
      <c r="BK377" s="150"/>
      <c r="BL377" s="150"/>
      <c r="BM377" s="150"/>
      <c r="BN377" s="150"/>
      <c r="BO377" s="150"/>
      <c r="BP377" s="150"/>
      <c r="BQ377" s="150"/>
      <c r="BR377" s="150"/>
      <c r="BS377" s="150"/>
      <c r="BT377" s="150"/>
      <c r="BU377" s="150"/>
      <c r="BV377" s="150"/>
      <c r="BW377" s="150"/>
      <c r="BX377" s="150"/>
      <c r="BY377" s="150"/>
      <c r="BZ377" s="150"/>
      <c r="CA377" s="150"/>
      <c r="CB377" s="150"/>
      <c r="CC377" s="150"/>
      <c r="CD377" s="150"/>
      <c r="CE377" s="150"/>
      <c r="CF377" s="150"/>
      <c r="CG377" s="150"/>
      <c r="CH377" s="150"/>
      <c r="CI377" s="150"/>
      <c r="CJ377" s="150"/>
      <c r="CK377" s="150"/>
      <c r="CL377" s="150"/>
      <c r="CM377" s="150"/>
      <c r="CN377" s="150"/>
      <c r="CO377" s="150"/>
      <c r="CP377" s="150"/>
      <c r="CQ377" s="150"/>
      <c r="CR377" s="150"/>
      <c r="CS377" s="150"/>
      <c r="CT377" s="150"/>
      <c r="CU377" s="150"/>
      <c r="CV377" s="150"/>
      <c r="CW377" s="150"/>
      <c r="CX377" s="150"/>
      <c r="CY377" s="150"/>
      <c r="CZ377" s="150"/>
      <c r="DA377" s="150"/>
      <c r="DB377" s="150"/>
      <c r="DC377" s="150"/>
      <c r="DD377" s="150"/>
      <c r="DE377" s="150"/>
      <c r="DF377" s="150"/>
      <c r="DG377" s="150"/>
      <c r="DH377" s="150"/>
      <c r="DI377" s="150"/>
      <c r="DJ377" s="150"/>
      <c r="DK377" s="150"/>
    </row>
    <row r="378" spans="1:115" x14ac:dyDescent="0.25">
      <c r="A378" s="258"/>
      <c r="B378" s="258"/>
      <c r="C378" s="584"/>
      <c r="D378" s="559"/>
      <c r="E378" s="534"/>
      <c r="F378" s="262"/>
      <c r="G378" s="262"/>
      <c r="H378" s="536">
        <f t="shared" si="52"/>
        <v>0</v>
      </c>
      <c r="I378" s="534"/>
      <c r="J378" s="262"/>
      <c r="K378" s="262"/>
      <c r="L378" s="536">
        <f t="shared" ref="L378:L380" si="54">J378*K378</f>
        <v>0</v>
      </c>
    </row>
    <row r="379" spans="1:115" x14ac:dyDescent="0.25">
      <c r="A379" s="258"/>
      <c r="B379" s="258"/>
      <c r="C379" s="584"/>
      <c r="D379" s="559"/>
      <c r="E379" s="534"/>
      <c r="F379" s="262"/>
      <c r="G379" s="262"/>
      <c r="H379" s="536">
        <f t="shared" si="52"/>
        <v>0</v>
      </c>
      <c r="I379" s="534"/>
      <c r="J379" s="262"/>
      <c r="K379" s="262"/>
      <c r="L379" s="536">
        <f t="shared" si="54"/>
        <v>0</v>
      </c>
    </row>
    <row r="380" spans="1:115" x14ac:dyDescent="0.25">
      <c r="A380" s="258"/>
      <c r="B380" s="258"/>
      <c r="C380" s="584"/>
      <c r="D380" s="559"/>
      <c r="E380" s="534"/>
      <c r="F380" s="262"/>
      <c r="G380" s="253"/>
      <c r="H380" s="536">
        <f t="shared" si="52"/>
        <v>0</v>
      </c>
      <c r="I380" s="534"/>
      <c r="J380" s="262"/>
      <c r="K380" s="253"/>
      <c r="L380" s="536">
        <f t="shared" si="54"/>
        <v>0</v>
      </c>
    </row>
    <row r="381" spans="1:115" s="227" customFormat="1" x14ac:dyDescent="0.25">
      <c r="A381" s="258"/>
      <c r="B381" s="258"/>
      <c r="C381" s="585"/>
      <c r="D381" s="560"/>
      <c r="E381" s="537"/>
      <c r="F381" s="253"/>
      <c r="G381" s="541"/>
      <c r="H381" s="536">
        <f>F381*G381</f>
        <v>0</v>
      </c>
      <c r="I381" s="537"/>
      <c r="J381" s="253"/>
      <c r="K381" s="541"/>
      <c r="L381" s="536">
        <f>J381*K381</f>
        <v>0</v>
      </c>
      <c r="M381" s="150"/>
      <c r="N381" s="150"/>
      <c r="O381" s="150"/>
      <c r="P381" s="150"/>
      <c r="Q381" s="150"/>
      <c r="R381" s="150"/>
      <c r="S381" s="150"/>
      <c r="T381" s="150"/>
      <c r="U381" s="150"/>
      <c r="V381" s="150"/>
      <c r="W381" s="150"/>
      <c r="X381" s="150"/>
      <c r="Y381" s="150"/>
      <c r="Z381" s="150"/>
      <c r="AA381" s="150"/>
      <c r="AB381" s="150"/>
      <c r="AC381" s="150"/>
      <c r="AD381" s="150"/>
      <c r="AE381" s="150"/>
      <c r="AF381" s="150"/>
      <c r="AG381" s="150"/>
      <c r="AH381" s="150"/>
      <c r="AI381" s="150"/>
      <c r="AJ381" s="150"/>
      <c r="AK381" s="150"/>
      <c r="AL381" s="150"/>
      <c r="AM381" s="150"/>
      <c r="AN381" s="150"/>
      <c r="AO381" s="150"/>
      <c r="AP381" s="150"/>
      <c r="AQ381" s="150"/>
      <c r="AR381" s="150"/>
      <c r="AS381" s="150"/>
      <c r="AT381" s="150"/>
      <c r="AU381" s="150"/>
      <c r="AV381" s="150"/>
      <c r="AW381" s="150"/>
      <c r="AX381" s="150"/>
      <c r="AY381" s="150"/>
      <c r="AZ381" s="150"/>
      <c r="BA381" s="150"/>
      <c r="BB381" s="150"/>
      <c r="BC381" s="150"/>
      <c r="BD381" s="150"/>
      <c r="BE381" s="150"/>
      <c r="BF381" s="150"/>
      <c r="BG381" s="150"/>
      <c r="BH381" s="150"/>
      <c r="BI381" s="150"/>
      <c r="BJ381" s="150"/>
      <c r="BK381" s="150"/>
      <c r="BL381" s="150"/>
      <c r="BM381" s="150"/>
      <c r="BN381" s="150"/>
      <c r="BO381" s="150"/>
      <c r="BP381" s="150"/>
      <c r="BQ381" s="150"/>
      <c r="BR381" s="150"/>
      <c r="BS381" s="150"/>
      <c r="BT381" s="150"/>
      <c r="BU381" s="150"/>
      <c r="BV381" s="150"/>
      <c r="BW381" s="150"/>
      <c r="BX381" s="150"/>
      <c r="BY381" s="150"/>
      <c r="BZ381" s="150"/>
      <c r="CA381" s="150"/>
      <c r="CB381" s="150"/>
      <c r="CC381" s="150"/>
      <c r="CD381" s="150"/>
      <c r="CE381" s="150"/>
      <c r="CF381" s="150"/>
      <c r="CG381" s="150"/>
      <c r="CH381" s="150"/>
      <c r="CI381" s="150"/>
      <c r="CJ381" s="150"/>
      <c r="CK381" s="150"/>
      <c r="CL381" s="150"/>
      <c r="CM381" s="150"/>
      <c r="CN381" s="150"/>
      <c r="CO381" s="150"/>
      <c r="CP381" s="150"/>
      <c r="CQ381" s="150"/>
      <c r="CR381" s="150"/>
      <c r="CS381" s="150"/>
      <c r="CT381" s="150"/>
      <c r="CU381" s="150"/>
      <c r="CV381" s="150"/>
      <c r="CW381" s="150"/>
      <c r="CX381" s="150"/>
      <c r="CY381" s="150"/>
      <c r="CZ381" s="150"/>
      <c r="DA381" s="150"/>
      <c r="DB381" s="150"/>
      <c r="DC381" s="150"/>
      <c r="DD381" s="150"/>
      <c r="DE381" s="150"/>
      <c r="DF381" s="150"/>
      <c r="DG381" s="150"/>
      <c r="DH381" s="150"/>
      <c r="DI381" s="150"/>
      <c r="DJ381" s="150"/>
      <c r="DK381" s="150"/>
    </row>
    <row r="382" spans="1:115" x14ac:dyDescent="0.25">
      <c r="A382" s="258"/>
      <c r="B382" s="258"/>
      <c r="C382" s="584"/>
      <c r="D382" s="559"/>
      <c r="E382" s="534"/>
      <c r="F382" s="253"/>
      <c r="G382" s="541"/>
      <c r="H382" s="536">
        <f t="shared" si="52"/>
        <v>0</v>
      </c>
      <c r="I382" s="534"/>
      <c r="J382" s="253"/>
      <c r="K382" s="541"/>
      <c r="L382" s="536">
        <f t="shared" ref="L382:L384" si="55">J382*K382</f>
        <v>0</v>
      </c>
    </row>
    <row r="383" spans="1:115" x14ac:dyDescent="0.25">
      <c r="A383" s="258"/>
      <c r="B383" s="258"/>
      <c r="C383" s="584"/>
      <c r="D383" s="558"/>
      <c r="E383" s="534"/>
      <c r="F383" s="253"/>
      <c r="G383" s="541"/>
      <c r="H383" s="536">
        <f t="shared" si="52"/>
        <v>0</v>
      </c>
      <c r="I383" s="534"/>
      <c r="J383" s="253"/>
      <c r="K383" s="541"/>
      <c r="L383" s="536">
        <f t="shared" si="55"/>
        <v>0</v>
      </c>
    </row>
    <row r="384" spans="1:115" x14ac:dyDescent="0.25">
      <c r="A384" s="258"/>
      <c r="B384" s="258"/>
      <c r="C384" s="584"/>
      <c r="D384" s="558"/>
      <c r="E384" s="534"/>
      <c r="F384" s="253"/>
      <c r="G384" s="535"/>
      <c r="H384" s="536">
        <f t="shared" si="52"/>
        <v>0</v>
      </c>
      <c r="I384" s="534"/>
      <c r="J384" s="253"/>
      <c r="K384" s="535"/>
      <c r="L384" s="536">
        <f t="shared" si="55"/>
        <v>0</v>
      </c>
    </row>
    <row r="385" spans="1:115" x14ac:dyDescent="0.25">
      <c r="A385" s="258"/>
      <c r="B385" s="258"/>
      <c r="C385" s="584"/>
      <c r="D385" s="559" t="s">
        <v>0</v>
      </c>
      <c r="E385" s="534"/>
      <c r="F385" s="542">
        <f>SUM(F372:F384)</f>
        <v>0</v>
      </c>
      <c r="G385" s="543" t="e">
        <f>H385/F385</f>
        <v>#DIV/0!</v>
      </c>
      <c r="H385" s="544">
        <f>SUM(H372:H384)</f>
        <v>0</v>
      </c>
      <c r="I385" s="534"/>
      <c r="J385" s="542">
        <f>SUM(J372:J384)</f>
        <v>0</v>
      </c>
      <c r="K385" s="543" t="e">
        <f>L385/J385</f>
        <v>#DIV/0!</v>
      </c>
      <c r="L385" s="544">
        <f>SUM(L372:L384)</f>
        <v>0</v>
      </c>
    </row>
    <row r="386" spans="1:115" x14ac:dyDescent="0.25">
      <c r="A386" s="545"/>
      <c r="B386" s="545"/>
      <c r="C386" s="586"/>
      <c r="D386" s="561"/>
      <c r="E386" s="546"/>
      <c r="F386" s="546"/>
      <c r="G386" s="547"/>
      <c r="H386" s="548"/>
      <c r="I386" s="546"/>
      <c r="J386" s="546"/>
      <c r="K386" s="547"/>
      <c r="L386" s="548"/>
    </row>
    <row r="387" spans="1:115" x14ac:dyDescent="0.25">
      <c r="A387" s="258"/>
      <c r="B387" s="258"/>
      <c r="C387" s="584"/>
      <c r="D387" s="558"/>
      <c r="E387" s="534"/>
      <c r="F387" s="253"/>
      <c r="G387" s="535"/>
      <c r="H387" s="536">
        <f>F387*G387</f>
        <v>0</v>
      </c>
      <c r="I387" s="534"/>
      <c r="J387" s="253"/>
      <c r="K387" s="535"/>
      <c r="L387" s="536">
        <f>J387*K387</f>
        <v>0</v>
      </c>
    </row>
    <row r="388" spans="1:115" x14ac:dyDescent="0.25">
      <c r="A388" s="258"/>
      <c r="B388" s="258"/>
      <c r="C388" s="584"/>
      <c r="D388" s="559">
        <f>D373+1</f>
        <v>45649</v>
      </c>
      <c r="E388" s="534"/>
      <c r="F388" s="253"/>
      <c r="G388" s="541"/>
      <c r="H388" s="536">
        <f>F388*G388</f>
        <v>0</v>
      </c>
      <c r="I388" s="534"/>
      <c r="J388" s="253"/>
      <c r="K388" s="541"/>
      <c r="L388" s="536">
        <f>J388*K388</f>
        <v>0</v>
      </c>
    </row>
    <row r="389" spans="1:115" s="227" customFormat="1" x14ac:dyDescent="0.25">
      <c r="A389" s="258"/>
      <c r="B389" s="258"/>
      <c r="C389" s="584"/>
      <c r="D389" s="560"/>
      <c r="E389" s="537"/>
      <c r="F389" s="541"/>
      <c r="G389" s="541"/>
      <c r="H389" s="540">
        <f t="shared" ref="H389:H397" si="56">F389*G389</f>
        <v>0</v>
      </c>
      <c r="I389" s="537"/>
      <c r="J389" s="541"/>
      <c r="K389" s="541"/>
      <c r="L389" s="540">
        <f t="shared" ref="L389:L397" si="57">J389*K389</f>
        <v>0</v>
      </c>
      <c r="M389" s="150"/>
      <c r="N389" s="150"/>
      <c r="O389" s="150"/>
      <c r="P389" s="150"/>
      <c r="Q389" s="150"/>
      <c r="R389" s="150"/>
      <c r="S389" s="150"/>
      <c r="T389" s="150"/>
      <c r="U389" s="150"/>
      <c r="V389" s="150"/>
      <c r="W389" s="150"/>
      <c r="X389" s="150"/>
      <c r="Y389" s="150"/>
      <c r="Z389" s="150"/>
      <c r="AA389" s="150"/>
      <c r="AB389" s="150"/>
      <c r="AC389" s="150"/>
      <c r="AD389" s="150"/>
      <c r="AE389" s="150"/>
      <c r="AF389" s="150"/>
      <c r="AG389" s="150"/>
      <c r="AH389" s="150"/>
      <c r="AI389" s="150"/>
      <c r="AJ389" s="150"/>
      <c r="AK389" s="150"/>
      <c r="AL389" s="150"/>
      <c r="AM389" s="150"/>
      <c r="AN389" s="150"/>
      <c r="AO389" s="150"/>
      <c r="AP389" s="150"/>
      <c r="AQ389" s="150"/>
      <c r="AR389" s="150"/>
      <c r="AS389" s="150"/>
      <c r="AT389" s="150"/>
      <c r="AU389" s="150"/>
      <c r="AV389" s="150"/>
      <c r="AW389" s="150"/>
      <c r="AX389" s="150"/>
      <c r="AY389" s="150"/>
      <c r="AZ389" s="150"/>
      <c r="BA389" s="150"/>
      <c r="BB389" s="150"/>
      <c r="BC389" s="150"/>
      <c r="BD389" s="150"/>
      <c r="BE389" s="150"/>
      <c r="BF389" s="150"/>
      <c r="BG389" s="150"/>
      <c r="BH389" s="150"/>
      <c r="BI389" s="150"/>
      <c r="BJ389" s="150"/>
      <c r="BK389" s="150"/>
      <c r="BL389" s="150"/>
      <c r="BM389" s="150"/>
      <c r="BN389" s="150"/>
      <c r="BO389" s="150"/>
      <c r="BP389" s="150"/>
      <c r="BQ389" s="150"/>
      <c r="BR389" s="150"/>
      <c r="BS389" s="150"/>
      <c r="BT389" s="150"/>
      <c r="BU389" s="150"/>
      <c r="BV389" s="150"/>
      <c r="BW389" s="150"/>
      <c r="BX389" s="150"/>
      <c r="BY389" s="150"/>
      <c r="BZ389" s="150"/>
      <c r="CA389" s="150"/>
      <c r="CB389" s="150"/>
      <c r="CC389" s="150"/>
      <c r="CD389" s="150"/>
      <c r="CE389" s="150"/>
      <c r="CF389" s="150"/>
      <c r="CG389" s="150"/>
      <c r="CH389" s="150"/>
      <c r="CI389" s="150"/>
      <c r="CJ389" s="150"/>
      <c r="CK389" s="150"/>
      <c r="CL389" s="150"/>
      <c r="CM389" s="150"/>
      <c r="CN389" s="150"/>
      <c r="CO389" s="150"/>
      <c r="CP389" s="150"/>
      <c r="CQ389" s="150"/>
      <c r="CR389" s="150"/>
      <c r="CS389" s="150"/>
      <c r="CT389" s="150"/>
      <c r="CU389" s="150"/>
      <c r="CV389" s="150"/>
      <c r="CW389" s="150"/>
      <c r="CX389" s="150"/>
      <c r="CY389" s="150"/>
      <c r="CZ389" s="150"/>
      <c r="DA389" s="150"/>
      <c r="DB389" s="150"/>
      <c r="DC389" s="150"/>
      <c r="DD389" s="150"/>
      <c r="DE389" s="150"/>
      <c r="DF389" s="150"/>
      <c r="DG389" s="150"/>
      <c r="DH389" s="150"/>
      <c r="DI389" s="150"/>
      <c r="DJ389" s="150"/>
      <c r="DK389" s="150"/>
    </row>
    <row r="390" spans="1:115" s="227" customFormat="1" x14ac:dyDescent="0.25">
      <c r="A390" s="258"/>
      <c r="B390" s="258"/>
      <c r="C390" s="584"/>
      <c r="D390" s="560"/>
      <c r="E390" s="537"/>
      <c r="F390" s="541"/>
      <c r="G390" s="541"/>
      <c r="H390" s="540">
        <f t="shared" si="56"/>
        <v>0</v>
      </c>
      <c r="I390" s="537"/>
      <c r="J390" s="541"/>
      <c r="K390" s="541"/>
      <c r="L390" s="540">
        <f t="shared" si="57"/>
        <v>0</v>
      </c>
      <c r="M390" s="150"/>
      <c r="N390" s="150"/>
      <c r="O390" s="150"/>
      <c r="P390" s="150"/>
      <c r="Q390" s="150"/>
      <c r="R390" s="150"/>
      <c r="S390" s="150"/>
      <c r="T390" s="150"/>
      <c r="U390" s="150"/>
      <c r="V390" s="150"/>
      <c r="W390" s="150"/>
      <c r="X390" s="150"/>
      <c r="Y390" s="150"/>
      <c r="Z390" s="150"/>
      <c r="AA390" s="150"/>
      <c r="AB390" s="150"/>
      <c r="AC390" s="150"/>
      <c r="AD390" s="150"/>
      <c r="AE390" s="150"/>
      <c r="AF390" s="150"/>
      <c r="AG390" s="150"/>
      <c r="AH390" s="150"/>
      <c r="AI390" s="150"/>
      <c r="AJ390" s="150"/>
      <c r="AK390" s="150"/>
      <c r="AL390" s="150"/>
      <c r="AM390" s="150"/>
      <c r="AN390" s="150"/>
      <c r="AO390" s="150"/>
      <c r="AP390" s="150"/>
      <c r="AQ390" s="150"/>
      <c r="AR390" s="150"/>
      <c r="AS390" s="150"/>
      <c r="AT390" s="150"/>
      <c r="AU390" s="150"/>
      <c r="AV390" s="150"/>
      <c r="AW390" s="150"/>
      <c r="AX390" s="150"/>
      <c r="AY390" s="150"/>
      <c r="AZ390" s="150"/>
      <c r="BA390" s="150"/>
      <c r="BB390" s="150"/>
      <c r="BC390" s="150"/>
      <c r="BD390" s="150"/>
      <c r="BE390" s="150"/>
      <c r="BF390" s="150"/>
      <c r="BG390" s="150"/>
      <c r="BH390" s="150"/>
      <c r="BI390" s="150"/>
      <c r="BJ390" s="150"/>
      <c r="BK390" s="150"/>
      <c r="BL390" s="150"/>
      <c r="BM390" s="150"/>
      <c r="BN390" s="150"/>
      <c r="BO390" s="150"/>
      <c r="BP390" s="150"/>
      <c r="BQ390" s="150"/>
      <c r="BR390" s="150"/>
      <c r="BS390" s="150"/>
      <c r="BT390" s="150"/>
      <c r="BU390" s="150"/>
      <c r="BV390" s="150"/>
      <c r="BW390" s="150"/>
      <c r="BX390" s="150"/>
      <c r="BY390" s="150"/>
      <c r="BZ390" s="150"/>
      <c r="CA390" s="150"/>
      <c r="CB390" s="150"/>
      <c r="CC390" s="150"/>
      <c r="CD390" s="150"/>
      <c r="CE390" s="150"/>
      <c r="CF390" s="150"/>
      <c r="CG390" s="150"/>
      <c r="CH390" s="150"/>
      <c r="CI390" s="150"/>
      <c r="CJ390" s="150"/>
      <c r="CK390" s="150"/>
      <c r="CL390" s="150"/>
      <c r="CM390" s="150"/>
      <c r="CN390" s="150"/>
      <c r="CO390" s="150"/>
      <c r="CP390" s="150"/>
      <c r="CQ390" s="150"/>
      <c r="CR390" s="150"/>
      <c r="CS390" s="150"/>
      <c r="CT390" s="150"/>
      <c r="CU390" s="150"/>
      <c r="CV390" s="150"/>
      <c r="CW390" s="150"/>
      <c r="CX390" s="150"/>
      <c r="CY390" s="150"/>
      <c r="CZ390" s="150"/>
      <c r="DA390" s="150"/>
      <c r="DB390" s="150"/>
      <c r="DC390" s="150"/>
      <c r="DD390" s="150"/>
      <c r="DE390" s="150"/>
      <c r="DF390" s="150"/>
      <c r="DG390" s="150"/>
      <c r="DH390" s="150"/>
      <c r="DI390" s="150"/>
      <c r="DJ390" s="150"/>
      <c r="DK390" s="150"/>
    </row>
    <row r="391" spans="1:115" s="227" customFormat="1" x14ac:dyDescent="0.25">
      <c r="A391" s="258"/>
      <c r="B391" s="258"/>
      <c r="C391" s="584"/>
      <c r="D391" s="560"/>
      <c r="E391" s="537"/>
      <c r="F391" s="541"/>
      <c r="G391" s="541"/>
      <c r="H391" s="540">
        <f t="shared" si="56"/>
        <v>0</v>
      </c>
      <c r="I391" s="537"/>
      <c r="J391" s="541"/>
      <c r="K391" s="541"/>
      <c r="L391" s="540">
        <f t="shared" si="57"/>
        <v>0</v>
      </c>
      <c r="M391" s="150"/>
      <c r="N391" s="150"/>
      <c r="O391" s="150"/>
      <c r="P391" s="150"/>
      <c r="Q391" s="150"/>
      <c r="R391" s="150"/>
      <c r="S391" s="150"/>
      <c r="T391" s="150"/>
      <c r="U391" s="150"/>
      <c r="V391" s="150"/>
      <c r="W391" s="150"/>
      <c r="X391" s="150"/>
      <c r="Y391" s="150"/>
      <c r="Z391" s="150"/>
      <c r="AA391" s="150"/>
      <c r="AB391" s="150"/>
      <c r="AC391" s="150"/>
      <c r="AD391" s="150"/>
      <c r="AE391" s="150"/>
      <c r="AF391" s="150"/>
      <c r="AG391" s="150"/>
      <c r="AH391" s="150"/>
      <c r="AI391" s="150"/>
      <c r="AJ391" s="150"/>
      <c r="AK391" s="150"/>
      <c r="AL391" s="150"/>
      <c r="AM391" s="150"/>
      <c r="AN391" s="150"/>
      <c r="AO391" s="150"/>
      <c r="AP391" s="150"/>
      <c r="AQ391" s="150"/>
      <c r="AR391" s="150"/>
      <c r="AS391" s="150"/>
      <c r="AT391" s="150"/>
      <c r="AU391" s="150"/>
      <c r="AV391" s="150"/>
      <c r="AW391" s="150"/>
      <c r="AX391" s="150"/>
      <c r="AY391" s="150"/>
      <c r="AZ391" s="150"/>
      <c r="BA391" s="150"/>
      <c r="BB391" s="150"/>
      <c r="BC391" s="150"/>
      <c r="BD391" s="150"/>
      <c r="BE391" s="150"/>
      <c r="BF391" s="150"/>
      <c r="BG391" s="150"/>
      <c r="BH391" s="150"/>
      <c r="BI391" s="150"/>
      <c r="BJ391" s="150"/>
      <c r="BK391" s="150"/>
      <c r="BL391" s="150"/>
      <c r="BM391" s="150"/>
      <c r="BN391" s="150"/>
      <c r="BO391" s="150"/>
      <c r="BP391" s="150"/>
      <c r="BQ391" s="150"/>
      <c r="BR391" s="150"/>
      <c r="BS391" s="150"/>
      <c r="BT391" s="150"/>
      <c r="BU391" s="150"/>
      <c r="BV391" s="150"/>
      <c r="BW391" s="150"/>
      <c r="BX391" s="150"/>
      <c r="BY391" s="150"/>
      <c r="BZ391" s="150"/>
      <c r="CA391" s="150"/>
      <c r="CB391" s="150"/>
      <c r="CC391" s="150"/>
      <c r="CD391" s="150"/>
      <c r="CE391" s="150"/>
      <c r="CF391" s="150"/>
      <c r="CG391" s="150"/>
      <c r="CH391" s="150"/>
      <c r="CI391" s="150"/>
      <c r="CJ391" s="150"/>
      <c r="CK391" s="150"/>
      <c r="CL391" s="150"/>
      <c r="CM391" s="150"/>
      <c r="CN391" s="150"/>
      <c r="CO391" s="150"/>
      <c r="CP391" s="150"/>
      <c r="CQ391" s="150"/>
      <c r="CR391" s="150"/>
      <c r="CS391" s="150"/>
      <c r="CT391" s="150"/>
      <c r="CU391" s="150"/>
      <c r="CV391" s="150"/>
      <c r="CW391" s="150"/>
      <c r="CX391" s="150"/>
      <c r="CY391" s="150"/>
      <c r="CZ391" s="150"/>
      <c r="DA391" s="150"/>
      <c r="DB391" s="150"/>
      <c r="DC391" s="150"/>
      <c r="DD391" s="150"/>
      <c r="DE391" s="150"/>
      <c r="DF391" s="150"/>
      <c r="DG391" s="150"/>
      <c r="DH391" s="150"/>
      <c r="DI391" s="150"/>
      <c r="DJ391" s="150"/>
      <c r="DK391" s="150"/>
    </row>
    <row r="392" spans="1:115" s="227" customFormat="1" x14ac:dyDescent="0.25">
      <c r="A392" s="258"/>
      <c r="B392" s="258"/>
      <c r="C392" s="584"/>
      <c r="D392" s="560"/>
      <c r="E392" s="537"/>
      <c r="F392" s="541"/>
      <c r="G392" s="541"/>
      <c r="H392" s="540">
        <f t="shared" si="56"/>
        <v>0</v>
      </c>
      <c r="I392" s="537"/>
      <c r="J392" s="541"/>
      <c r="K392" s="541"/>
      <c r="L392" s="540">
        <f t="shared" si="57"/>
        <v>0</v>
      </c>
      <c r="M392" s="150"/>
      <c r="N392" s="150"/>
      <c r="O392" s="150"/>
      <c r="P392" s="150"/>
      <c r="Q392" s="150"/>
      <c r="R392" s="150"/>
      <c r="S392" s="150"/>
      <c r="T392" s="150"/>
      <c r="U392" s="150"/>
      <c r="V392" s="150"/>
      <c r="W392" s="150"/>
      <c r="X392" s="150"/>
      <c r="Y392" s="150"/>
      <c r="Z392" s="150"/>
      <c r="AA392" s="150"/>
      <c r="AB392" s="150"/>
      <c r="AC392" s="150"/>
      <c r="AD392" s="150"/>
      <c r="AE392" s="150"/>
      <c r="AF392" s="150"/>
      <c r="AG392" s="150"/>
      <c r="AH392" s="150"/>
      <c r="AI392" s="150"/>
      <c r="AJ392" s="150"/>
      <c r="AK392" s="150"/>
      <c r="AL392" s="150"/>
      <c r="AM392" s="150"/>
      <c r="AN392" s="150"/>
      <c r="AO392" s="150"/>
      <c r="AP392" s="150"/>
      <c r="AQ392" s="150"/>
      <c r="AR392" s="150"/>
      <c r="AS392" s="150"/>
      <c r="AT392" s="150"/>
      <c r="AU392" s="150"/>
      <c r="AV392" s="150"/>
      <c r="AW392" s="150"/>
      <c r="AX392" s="150"/>
      <c r="AY392" s="150"/>
      <c r="AZ392" s="150"/>
      <c r="BA392" s="150"/>
      <c r="BB392" s="150"/>
      <c r="BC392" s="150"/>
      <c r="BD392" s="150"/>
      <c r="BE392" s="150"/>
      <c r="BF392" s="150"/>
      <c r="BG392" s="150"/>
      <c r="BH392" s="150"/>
      <c r="BI392" s="150"/>
      <c r="BJ392" s="150"/>
      <c r="BK392" s="150"/>
      <c r="BL392" s="150"/>
      <c r="BM392" s="150"/>
      <c r="BN392" s="150"/>
      <c r="BO392" s="150"/>
      <c r="BP392" s="150"/>
      <c r="BQ392" s="150"/>
      <c r="BR392" s="150"/>
      <c r="BS392" s="150"/>
      <c r="BT392" s="150"/>
      <c r="BU392" s="150"/>
      <c r="BV392" s="150"/>
      <c r="BW392" s="150"/>
      <c r="BX392" s="150"/>
      <c r="BY392" s="150"/>
      <c r="BZ392" s="150"/>
      <c r="CA392" s="150"/>
      <c r="CB392" s="150"/>
      <c r="CC392" s="150"/>
      <c r="CD392" s="150"/>
      <c r="CE392" s="150"/>
      <c r="CF392" s="150"/>
      <c r="CG392" s="150"/>
      <c r="CH392" s="150"/>
      <c r="CI392" s="150"/>
      <c r="CJ392" s="150"/>
      <c r="CK392" s="150"/>
      <c r="CL392" s="150"/>
      <c r="CM392" s="150"/>
      <c r="CN392" s="150"/>
      <c r="CO392" s="150"/>
      <c r="CP392" s="150"/>
      <c r="CQ392" s="150"/>
      <c r="CR392" s="150"/>
      <c r="CS392" s="150"/>
      <c r="CT392" s="150"/>
      <c r="CU392" s="150"/>
      <c r="CV392" s="150"/>
      <c r="CW392" s="150"/>
      <c r="CX392" s="150"/>
      <c r="CY392" s="150"/>
      <c r="CZ392" s="150"/>
      <c r="DA392" s="150"/>
      <c r="DB392" s="150"/>
      <c r="DC392" s="150"/>
      <c r="DD392" s="150"/>
      <c r="DE392" s="150"/>
      <c r="DF392" s="150"/>
      <c r="DG392" s="150"/>
      <c r="DH392" s="150"/>
      <c r="DI392" s="150"/>
      <c r="DJ392" s="150"/>
      <c r="DK392" s="150"/>
    </row>
    <row r="393" spans="1:115" s="227" customFormat="1" x14ac:dyDescent="0.25">
      <c r="A393" s="258"/>
      <c r="B393" s="258"/>
      <c r="C393" s="584"/>
      <c r="D393" s="560"/>
      <c r="E393" s="537"/>
      <c r="F393" s="541"/>
      <c r="G393" s="541"/>
      <c r="H393" s="540">
        <f t="shared" si="56"/>
        <v>0</v>
      </c>
      <c r="I393" s="537"/>
      <c r="J393" s="541"/>
      <c r="K393" s="541"/>
      <c r="L393" s="540">
        <f t="shared" si="57"/>
        <v>0</v>
      </c>
      <c r="M393" s="150"/>
      <c r="N393" s="150"/>
      <c r="O393" s="150"/>
      <c r="P393" s="150"/>
      <c r="Q393" s="150"/>
      <c r="R393" s="150"/>
      <c r="S393" s="150"/>
      <c r="T393" s="150"/>
      <c r="U393" s="150"/>
      <c r="V393" s="150"/>
      <c r="W393" s="150"/>
      <c r="X393" s="150"/>
      <c r="Y393" s="150"/>
      <c r="Z393" s="150"/>
      <c r="AA393" s="150"/>
      <c r="AB393" s="150"/>
      <c r="AC393" s="150"/>
      <c r="AD393" s="150"/>
      <c r="AE393" s="150"/>
      <c r="AF393" s="150"/>
      <c r="AG393" s="150"/>
      <c r="AH393" s="150"/>
      <c r="AI393" s="150"/>
      <c r="AJ393" s="150"/>
      <c r="AK393" s="150"/>
      <c r="AL393" s="150"/>
      <c r="AM393" s="150"/>
      <c r="AN393" s="150"/>
      <c r="AO393" s="150"/>
      <c r="AP393" s="150"/>
      <c r="AQ393" s="150"/>
      <c r="AR393" s="150"/>
      <c r="AS393" s="150"/>
      <c r="AT393" s="150"/>
      <c r="AU393" s="150"/>
      <c r="AV393" s="150"/>
      <c r="AW393" s="150"/>
      <c r="AX393" s="150"/>
      <c r="AY393" s="150"/>
      <c r="AZ393" s="150"/>
      <c r="BA393" s="150"/>
      <c r="BB393" s="150"/>
      <c r="BC393" s="150"/>
      <c r="BD393" s="150"/>
      <c r="BE393" s="150"/>
      <c r="BF393" s="150"/>
      <c r="BG393" s="150"/>
      <c r="BH393" s="150"/>
      <c r="BI393" s="150"/>
      <c r="BJ393" s="150"/>
      <c r="BK393" s="150"/>
      <c r="BL393" s="150"/>
      <c r="BM393" s="150"/>
      <c r="BN393" s="150"/>
      <c r="BO393" s="150"/>
      <c r="BP393" s="150"/>
      <c r="BQ393" s="150"/>
      <c r="BR393" s="150"/>
      <c r="BS393" s="150"/>
      <c r="BT393" s="150"/>
      <c r="BU393" s="150"/>
      <c r="BV393" s="150"/>
      <c r="BW393" s="150"/>
      <c r="BX393" s="150"/>
      <c r="BY393" s="150"/>
      <c r="BZ393" s="150"/>
      <c r="CA393" s="150"/>
      <c r="CB393" s="150"/>
      <c r="CC393" s="150"/>
      <c r="CD393" s="150"/>
      <c r="CE393" s="150"/>
      <c r="CF393" s="150"/>
      <c r="CG393" s="150"/>
      <c r="CH393" s="150"/>
      <c r="CI393" s="150"/>
      <c r="CJ393" s="150"/>
      <c r="CK393" s="150"/>
      <c r="CL393" s="150"/>
      <c r="CM393" s="150"/>
      <c r="CN393" s="150"/>
      <c r="CO393" s="150"/>
      <c r="CP393" s="150"/>
      <c r="CQ393" s="150"/>
      <c r="CR393" s="150"/>
      <c r="CS393" s="150"/>
      <c r="CT393" s="150"/>
      <c r="CU393" s="150"/>
      <c r="CV393" s="150"/>
      <c r="CW393" s="150"/>
      <c r="CX393" s="150"/>
      <c r="CY393" s="150"/>
      <c r="CZ393" s="150"/>
      <c r="DA393" s="150"/>
      <c r="DB393" s="150"/>
      <c r="DC393" s="150"/>
      <c r="DD393" s="150"/>
      <c r="DE393" s="150"/>
      <c r="DF393" s="150"/>
      <c r="DG393" s="150"/>
      <c r="DH393" s="150"/>
      <c r="DI393" s="150"/>
      <c r="DJ393" s="150"/>
      <c r="DK393" s="150"/>
    </row>
    <row r="394" spans="1:115" s="227" customFormat="1" x14ac:dyDescent="0.25">
      <c r="A394" s="258"/>
      <c r="B394" s="258"/>
      <c r="C394" s="584"/>
      <c r="D394" s="560"/>
      <c r="E394" s="537"/>
      <c r="F394" s="541"/>
      <c r="G394" s="541"/>
      <c r="H394" s="540">
        <f t="shared" si="56"/>
        <v>0</v>
      </c>
      <c r="I394" s="537"/>
      <c r="J394" s="541"/>
      <c r="K394" s="541"/>
      <c r="L394" s="540">
        <f t="shared" si="57"/>
        <v>0</v>
      </c>
      <c r="M394" s="150"/>
      <c r="N394" s="150"/>
      <c r="O394" s="150"/>
      <c r="P394" s="150"/>
      <c r="Q394" s="150"/>
      <c r="R394" s="150"/>
      <c r="S394" s="150"/>
      <c r="T394" s="150"/>
      <c r="U394" s="150"/>
      <c r="V394" s="150"/>
      <c r="W394" s="150"/>
      <c r="X394" s="150"/>
      <c r="Y394" s="150"/>
      <c r="Z394" s="150"/>
      <c r="AA394" s="150"/>
      <c r="AB394" s="150"/>
      <c r="AC394" s="150"/>
      <c r="AD394" s="150"/>
      <c r="AE394" s="150"/>
      <c r="AF394" s="150"/>
      <c r="AG394" s="150"/>
      <c r="AH394" s="150"/>
      <c r="AI394" s="150"/>
      <c r="AJ394" s="150"/>
      <c r="AK394" s="150"/>
      <c r="AL394" s="150"/>
      <c r="AM394" s="150"/>
      <c r="AN394" s="150"/>
      <c r="AO394" s="150"/>
      <c r="AP394" s="150"/>
      <c r="AQ394" s="150"/>
      <c r="AR394" s="150"/>
      <c r="AS394" s="150"/>
      <c r="AT394" s="150"/>
      <c r="AU394" s="150"/>
      <c r="AV394" s="150"/>
      <c r="AW394" s="150"/>
      <c r="AX394" s="150"/>
      <c r="AY394" s="150"/>
      <c r="AZ394" s="150"/>
      <c r="BA394" s="150"/>
      <c r="BB394" s="150"/>
      <c r="BC394" s="150"/>
      <c r="BD394" s="150"/>
      <c r="BE394" s="150"/>
      <c r="BF394" s="150"/>
      <c r="BG394" s="150"/>
      <c r="BH394" s="150"/>
      <c r="BI394" s="150"/>
      <c r="BJ394" s="150"/>
      <c r="BK394" s="150"/>
      <c r="BL394" s="150"/>
      <c r="BM394" s="150"/>
      <c r="BN394" s="150"/>
      <c r="BO394" s="150"/>
      <c r="BP394" s="150"/>
      <c r="BQ394" s="150"/>
      <c r="BR394" s="150"/>
      <c r="BS394" s="150"/>
      <c r="BT394" s="150"/>
      <c r="BU394" s="150"/>
      <c r="BV394" s="150"/>
      <c r="BW394" s="150"/>
      <c r="BX394" s="150"/>
      <c r="BY394" s="150"/>
      <c r="BZ394" s="150"/>
      <c r="CA394" s="150"/>
      <c r="CB394" s="150"/>
      <c r="CC394" s="150"/>
      <c r="CD394" s="150"/>
      <c r="CE394" s="150"/>
      <c r="CF394" s="150"/>
      <c r="CG394" s="150"/>
      <c r="CH394" s="150"/>
      <c r="CI394" s="150"/>
      <c r="CJ394" s="150"/>
      <c r="CK394" s="150"/>
      <c r="CL394" s="150"/>
      <c r="CM394" s="150"/>
      <c r="CN394" s="150"/>
      <c r="CO394" s="150"/>
      <c r="CP394" s="150"/>
      <c r="CQ394" s="150"/>
      <c r="CR394" s="150"/>
      <c r="CS394" s="150"/>
      <c r="CT394" s="150"/>
      <c r="CU394" s="150"/>
      <c r="CV394" s="150"/>
      <c r="CW394" s="150"/>
      <c r="CX394" s="150"/>
      <c r="CY394" s="150"/>
      <c r="CZ394" s="150"/>
      <c r="DA394" s="150"/>
      <c r="DB394" s="150"/>
      <c r="DC394" s="150"/>
      <c r="DD394" s="150"/>
      <c r="DE394" s="150"/>
      <c r="DF394" s="150"/>
      <c r="DG394" s="150"/>
      <c r="DH394" s="150"/>
      <c r="DI394" s="150"/>
      <c r="DJ394" s="150"/>
      <c r="DK394" s="150"/>
    </row>
    <row r="395" spans="1:115" x14ac:dyDescent="0.25">
      <c r="A395" s="258"/>
      <c r="B395" s="258"/>
      <c r="C395" s="584"/>
      <c r="D395" s="559"/>
      <c r="E395" s="534"/>
      <c r="F395" s="262"/>
      <c r="G395" s="262"/>
      <c r="H395" s="536">
        <f t="shared" si="56"/>
        <v>0</v>
      </c>
      <c r="I395" s="534"/>
      <c r="J395" s="262"/>
      <c r="K395" s="262"/>
      <c r="L395" s="536">
        <f t="shared" si="57"/>
        <v>0</v>
      </c>
    </row>
    <row r="396" spans="1:115" x14ac:dyDescent="0.25">
      <c r="A396" s="258"/>
      <c r="B396" s="258"/>
      <c r="C396" s="584"/>
      <c r="D396" s="559"/>
      <c r="E396" s="534"/>
      <c r="F396" s="262"/>
      <c r="G396" s="262"/>
      <c r="H396" s="536">
        <f t="shared" si="56"/>
        <v>0</v>
      </c>
      <c r="I396" s="534"/>
      <c r="J396" s="262"/>
      <c r="K396" s="262"/>
      <c r="L396" s="536">
        <f t="shared" si="57"/>
        <v>0</v>
      </c>
    </row>
    <row r="397" spans="1:115" x14ac:dyDescent="0.25">
      <c r="A397" s="258"/>
      <c r="B397" s="258"/>
      <c r="C397" s="584"/>
      <c r="D397" s="559"/>
      <c r="E397" s="534"/>
      <c r="F397" s="262"/>
      <c r="G397" s="262"/>
      <c r="H397" s="536">
        <f t="shared" si="56"/>
        <v>0</v>
      </c>
      <c r="I397" s="534"/>
      <c r="J397" s="262"/>
      <c r="K397" s="262"/>
      <c r="L397" s="536">
        <f t="shared" si="57"/>
        <v>0</v>
      </c>
    </row>
    <row r="398" spans="1:115" s="227" customFormat="1" x14ac:dyDescent="0.25">
      <c r="A398" s="258"/>
      <c r="B398" s="258"/>
      <c r="C398" s="585"/>
      <c r="D398" s="560"/>
      <c r="E398" s="537"/>
      <c r="F398" s="253"/>
      <c r="G398" s="541"/>
      <c r="H398" s="536">
        <f>F398*G398</f>
        <v>0</v>
      </c>
      <c r="I398" s="537"/>
      <c r="J398" s="253"/>
      <c r="K398" s="541"/>
      <c r="L398" s="536">
        <f>J398*K398</f>
        <v>0</v>
      </c>
      <c r="M398" s="150"/>
      <c r="N398" s="150"/>
      <c r="O398" s="150"/>
      <c r="P398" s="150"/>
      <c r="Q398" s="150"/>
      <c r="R398" s="150"/>
      <c r="S398" s="150"/>
      <c r="T398" s="150"/>
      <c r="U398" s="150"/>
      <c r="V398" s="150"/>
      <c r="W398" s="150"/>
      <c r="X398" s="150"/>
      <c r="Y398" s="150"/>
      <c r="Z398" s="150"/>
      <c r="AA398" s="150"/>
      <c r="AB398" s="150"/>
      <c r="AC398" s="150"/>
      <c r="AD398" s="150"/>
      <c r="AE398" s="150"/>
      <c r="AF398" s="150"/>
      <c r="AG398" s="150"/>
      <c r="AH398" s="150"/>
      <c r="AI398" s="150"/>
      <c r="AJ398" s="150"/>
      <c r="AK398" s="150"/>
      <c r="AL398" s="150"/>
      <c r="AM398" s="150"/>
      <c r="AN398" s="150"/>
      <c r="AO398" s="150"/>
      <c r="AP398" s="150"/>
      <c r="AQ398" s="150"/>
      <c r="AR398" s="150"/>
      <c r="AS398" s="150"/>
      <c r="AT398" s="150"/>
      <c r="AU398" s="150"/>
      <c r="AV398" s="150"/>
      <c r="AW398" s="150"/>
      <c r="AX398" s="150"/>
      <c r="AY398" s="150"/>
      <c r="AZ398" s="150"/>
      <c r="BA398" s="150"/>
      <c r="BB398" s="150"/>
      <c r="BC398" s="150"/>
      <c r="BD398" s="150"/>
      <c r="BE398" s="150"/>
      <c r="BF398" s="150"/>
      <c r="BG398" s="150"/>
      <c r="BH398" s="150"/>
      <c r="BI398" s="150"/>
      <c r="BJ398" s="150"/>
      <c r="BK398" s="150"/>
      <c r="BL398" s="150"/>
      <c r="BM398" s="150"/>
      <c r="BN398" s="150"/>
      <c r="BO398" s="150"/>
      <c r="BP398" s="150"/>
      <c r="BQ398" s="150"/>
      <c r="BR398" s="150"/>
      <c r="BS398" s="150"/>
      <c r="BT398" s="150"/>
      <c r="BU398" s="150"/>
      <c r="BV398" s="150"/>
      <c r="BW398" s="150"/>
      <c r="BX398" s="150"/>
      <c r="BY398" s="150"/>
      <c r="BZ398" s="150"/>
      <c r="CA398" s="150"/>
      <c r="CB398" s="150"/>
      <c r="CC398" s="150"/>
      <c r="CD398" s="150"/>
      <c r="CE398" s="150"/>
      <c r="CF398" s="150"/>
      <c r="CG398" s="150"/>
      <c r="CH398" s="150"/>
      <c r="CI398" s="150"/>
      <c r="CJ398" s="150"/>
      <c r="CK398" s="150"/>
      <c r="CL398" s="150"/>
      <c r="CM398" s="150"/>
      <c r="CN398" s="150"/>
      <c r="CO398" s="150"/>
      <c r="CP398" s="150"/>
      <c r="CQ398" s="150"/>
      <c r="CR398" s="150"/>
      <c r="CS398" s="150"/>
      <c r="CT398" s="150"/>
      <c r="CU398" s="150"/>
      <c r="CV398" s="150"/>
      <c r="CW398" s="150"/>
      <c r="CX398" s="150"/>
      <c r="CY398" s="150"/>
      <c r="CZ398" s="150"/>
      <c r="DA398" s="150"/>
      <c r="DB398" s="150"/>
      <c r="DC398" s="150"/>
      <c r="DD398" s="150"/>
      <c r="DE398" s="150"/>
      <c r="DF398" s="150"/>
      <c r="DG398" s="150"/>
      <c r="DH398" s="150"/>
      <c r="DI398" s="150"/>
      <c r="DJ398" s="150"/>
      <c r="DK398" s="150"/>
    </row>
    <row r="399" spans="1:115" s="227" customFormat="1" x14ac:dyDescent="0.25">
      <c r="A399" s="258"/>
      <c r="B399" s="258"/>
      <c r="C399" s="585"/>
      <c r="D399" s="560"/>
      <c r="E399" s="537"/>
      <c r="F399" s="253"/>
      <c r="G399" s="541"/>
      <c r="H399" s="536">
        <f>F399*G399</f>
        <v>0</v>
      </c>
      <c r="I399" s="537"/>
      <c r="J399" s="253"/>
      <c r="K399" s="541"/>
      <c r="L399" s="536">
        <f>J399*K399</f>
        <v>0</v>
      </c>
      <c r="M399" s="150"/>
      <c r="N399" s="150"/>
      <c r="O399" s="150"/>
      <c r="P399" s="150"/>
      <c r="Q399" s="150"/>
      <c r="R399" s="150"/>
      <c r="S399" s="150"/>
      <c r="T399" s="150"/>
      <c r="U399" s="150"/>
      <c r="V399" s="150"/>
      <c r="W399" s="150"/>
      <c r="X399" s="150"/>
      <c r="Y399" s="150"/>
      <c r="Z399" s="150"/>
      <c r="AA399" s="150"/>
      <c r="AB399" s="150"/>
      <c r="AC399" s="150"/>
      <c r="AD399" s="150"/>
      <c r="AE399" s="150"/>
      <c r="AF399" s="150"/>
      <c r="AG399" s="150"/>
      <c r="AH399" s="150"/>
      <c r="AI399" s="150"/>
      <c r="AJ399" s="150"/>
      <c r="AK399" s="150"/>
      <c r="AL399" s="150"/>
      <c r="AM399" s="150"/>
      <c r="AN399" s="150"/>
      <c r="AO399" s="150"/>
      <c r="AP399" s="150"/>
      <c r="AQ399" s="150"/>
      <c r="AR399" s="150"/>
      <c r="AS399" s="150"/>
      <c r="AT399" s="150"/>
      <c r="AU399" s="150"/>
      <c r="AV399" s="150"/>
      <c r="AW399" s="150"/>
      <c r="AX399" s="150"/>
      <c r="AY399" s="150"/>
      <c r="AZ399" s="150"/>
      <c r="BA399" s="150"/>
      <c r="BB399" s="150"/>
      <c r="BC399" s="150"/>
      <c r="BD399" s="150"/>
      <c r="BE399" s="150"/>
      <c r="BF399" s="150"/>
      <c r="BG399" s="150"/>
      <c r="BH399" s="150"/>
      <c r="BI399" s="150"/>
      <c r="BJ399" s="150"/>
      <c r="BK399" s="150"/>
      <c r="BL399" s="150"/>
      <c r="BM399" s="150"/>
      <c r="BN399" s="150"/>
      <c r="BO399" s="150"/>
      <c r="BP399" s="150"/>
      <c r="BQ399" s="150"/>
      <c r="BR399" s="150"/>
      <c r="BS399" s="150"/>
      <c r="BT399" s="150"/>
      <c r="BU399" s="150"/>
      <c r="BV399" s="150"/>
      <c r="BW399" s="150"/>
      <c r="BX399" s="150"/>
      <c r="BY399" s="150"/>
      <c r="BZ399" s="150"/>
      <c r="CA399" s="150"/>
      <c r="CB399" s="150"/>
      <c r="CC399" s="150"/>
      <c r="CD399" s="150"/>
      <c r="CE399" s="150"/>
      <c r="CF399" s="150"/>
      <c r="CG399" s="150"/>
      <c r="CH399" s="150"/>
      <c r="CI399" s="150"/>
      <c r="CJ399" s="150"/>
      <c r="CK399" s="150"/>
      <c r="CL399" s="150"/>
      <c r="CM399" s="150"/>
      <c r="CN399" s="150"/>
      <c r="CO399" s="150"/>
      <c r="CP399" s="150"/>
      <c r="CQ399" s="150"/>
      <c r="CR399" s="150"/>
      <c r="CS399" s="150"/>
      <c r="CT399" s="150"/>
      <c r="CU399" s="150"/>
      <c r="CV399" s="150"/>
      <c r="CW399" s="150"/>
      <c r="CX399" s="150"/>
      <c r="CY399" s="150"/>
      <c r="CZ399" s="150"/>
      <c r="DA399" s="150"/>
      <c r="DB399" s="150"/>
      <c r="DC399" s="150"/>
      <c r="DD399" s="150"/>
      <c r="DE399" s="150"/>
      <c r="DF399" s="150"/>
      <c r="DG399" s="150"/>
      <c r="DH399" s="150"/>
      <c r="DI399" s="150"/>
      <c r="DJ399" s="150"/>
      <c r="DK399" s="150"/>
    </row>
    <row r="400" spans="1:115" x14ac:dyDescent="0.25">
      <c r="A400" s="258"/>
      <c r="B400" s="258"/>
      <c r="C400" s="584"/>
      <c r="D400" s="559"/>
      <c r="E400" s="534"/>
      <c r="F400" s="253"/>
      <c r="G400" s="541"/>
      <c r="H400" s="536">
        <f>F400*G400</f>
        <v>0</v>
      </c>
      <c r="I400" s="534"/>
      <c r="J400" s="253"/>
      <c r="K400" s="541"/>
      <c r="L400" s="536">
        <f>J400*K400</f>
        <v>0</v>
      </c>
    </row>
    <row r="401" spans="1:115" x14ac:dyDescent="0.25">
      <c r="A401" s="258"/>
      <c r="B401" s="258"/>
      <c r="C401" s="584"/>
      <c r="D401" s="559" t="s">
        <v>0</v>
      </c>
      <c r="E401" s="534"/>
      <c r="F401" s="542">
        <f>SUM(F387:F400)</f>
        <v>0</v>
      </c>
      <c r="G401" s="543" t="e">
        <f>H401/F401</f>
        <v>#DIV/0!</v>
      </c>
      <c r="H401" s="544">
        <f>SUM(H387:H400)</f>
        <v>0</v>
      </c>
      <c r="I401" s="534"/>
      <c r="J401" s="542">
        <f>SUM(J387:J400)</f>
        <v>0</v>
      </c>
      <c r="K401" s="543" t="e">
        <f>L401/J401</f>
        <v>#DIV/0!</v>
      </c>
      <c r="L401" s="544">
        <f>SUM(L387:L400)</f>
        <v>0</v>
      </c>
    </row>
    <row r="402" spans="1:115" x14ac:dyDescent="0.25">
      <c r="A402" s="545"/>
      <c r="B402" s="545"/>
      <c r="C402" s="586"/>
      <c r="D402" s="561"/>
      <c r="E402" s="546"/>
      <c r="F402" s="546"/>
      <c r="G402" s="547"/>
      <c r="H402" s="548"/>
      <c r="I402" s="546"/>
      <c r="J402" s="546"/>
      <c r="K402" s="547"/>
      <c r="L402" s="548"/>
    </row>
    <row r="403" spans="1:115" x14ac:dyDescent="0.25">
      <c r="A403" s="258"/>
      <c r="B403" s="258"/>
      <c r="C403" s="584"/>
      <c r="D403" s="558"/>
      <c r="E403" s="534"/>
      <c r="F403" s="253"/>
      <c r="G403" s="535"/>
      <c r="H403" s="536">
        <f t="shared" ref="H403:H414" si="58">F403*G403</f>
        <v>0</v>
      </c>
      <c r="I403" s="534"/>
      <c r="J403" s="253"/>
      <c r="K403" s="535"/>
      <c r="L403" s="536">
        <f t="shared" ref="L403:L414" si="59">J403*K403</f>
        <v>0</v>
      </c>
    </row>
    <row r="404" spans="1:115" x14ac:dyDescent="0.25">
      <c r="A404" s="258"/>
      <c r="B404" s="258"/>
      <c r="C404" s="584"/>
      <c r="D404" s="559">
        <f>D388+1</f>
        <v>45650</v>
      </c>
      <c r="E404" s="534"/>
      <c r="F404" s="253"/>
      <c r="G404" s="541"/>
      <c r="H404" s="536">
        <f t="shared" si="58"/>
        <v>0</v>
      </c>
      <c r="I404" s="534"/>
      <c r="J404" s="253"/>
      <c r="K404" s="541"/>
      <c r="L404" s="536">
        <f t="shared" si="59"/>
        <v>0</v>
      </c>
    </row>
    <row r="405" spans="1:115" s="227" customFormat="1" x14ac:dyDescent="0.25">
      <c r="A405" s="258"/>
      <c r="B405" s="258"/>
      <c r="C405" s="584"/>
      <c r="D405" s="595"/>
      <c r="E405" s="537"/>
      <c r="F405" s="541"/>
      <c r="G405" s="541"/>
      <c r="H405" s="540">
        <f t="shared" si="58"/>
        <v>0</v>
      </c>
      <c r="I405" s="537"/>
      <c r="J405" s="541"/>
      <c r="K405" s="541"/>
      <c r="L405" s="540">
        <f t="shared" si="59"/>
        <v>0</v>
      </c>
      <c r="M405" s="150"/>
      <c r="N405" s="150"/>
      <c r="O405" s="150"/>
      <c r="P405" s="150"/>
      <c r="Q405" s="150"/>
      <c r="R405" s="150"/>
      <c r="S405" s="150"/>
      <c r="T405" s="150"/>
      <c r="U405" s="150"/>
      <c r="V405" s="150"/>
      <c r="W405" s="150"/>
      <c r="X405" s="150"/>
      <c r="Y405" s="150"/>
      <c r="Z405" s="150"/>
      <c r="AA405" s="150"/>
      <c r="AB405" s="150"/>
      <c r="AC405" s="150"/>
      <c r="AD405" s="150"/>
      <c r="AE405" s="150"/>
      <c r="AF405" s="150"/>
      <c r="AG405" s="150"/>
      <c r="AH405" s="150"/>
      <c r="AI405" s="150"/>
      <c r="AJ405" s="150"/>
      <c r="AK405" s="150"/>
      <c r="AL405" s="150"/>
      <c r="AM405" s="150"/>
      <c r="AN405" s="150"/>
      <c r="AO405" s="150"/>
      <c r="AP405" s="150"/>
      <c r="AQ405" s="150"/>
      <c r="AR405" s="150"/>
      <c r="AS405" s="150"/>
      <c r="AT405" s="150"/>
      <c r="AU405" s="150"/>
      <c r="AV405" s="150"/>
      <c r="AW405" s="150"/>
      <c r="AX405" s="150"/>
      <c r="AY405" s="150"/>
      <c r="AZ405" s="150"/>
      <c r="BA405" s="150"/>
      <c r="BB405" s="150"/>
      <c r="BC405" s="150"/>
      <c r="BD405" s="150"/>
      <c r="BE405" s="150"/>
      <c r="BF405" s="150"/>
      <c r="BG405" s="150"/>
      <c r="BH405" s="150"/>
      <c r="BI405" s="150"/>
      <c r="BJ405" s="150"/>
      <c r="BK405" s="150"/>
      <c r="BL405" s="150"/>
      <c r="BM405" s="150"/>
      <c r="BN405" s="150"/>
      <c r="BO405" s="150"/>
      <c r="BP405" s="150"/>
      <c r="BQ405" s="150"/>
      <c r="BR405" s="150"/>
      <c r="BS405" s="150"/>
      <c r="BT405" s="150"/>
      <c r="BU405" s="150"/>
      <c r="BV405" s="150"/>
      <c r="BW405" s="150"/>
      <c r="BX405" s="150"/>
      <c r="BY405" s="150"/>
      <c r="BZ405" s="150"/>
      <c r="CA405" s="150"/>
      <c r="CB405" s="150"/>
      <c r="CC405" s="150"/>
      <c r="CD405" s="150"/>
      <c r="CE405" s="150"/>
      <c r="CF405" s="150"/>
      <c r="CG405" s="150"/>
      <c r="CH405" s="150"/>
      <c r="CI405" s="150"/>
      <c r="CJ405" s="150"/>
      <c r="CK405" s="150"/>
      <c r="CL405" s="150"/>
      <c r="CM405" s="150"/>
      <c r="CN405" s="150"/>
      <c r="CO405" s="150"/>
      <c r="CP405" s="150"/>
      <c r="CQ405" s="150"/>
      <c r="CR405" s="150"/>
      <c r="CS405" s="150"/>
      <c r="CT405" s="150"/>
      <c r="CU405" s="150"/>
      <c r="CV405" s="150"/>
      <c r="CW405" s="150"/>
      <c r="CX405" s="150"/>
      <c r="CY405" s="150"/>
      <c r="CZ405" s="150"/>
      <c r="DA405" s="150"/>
      <c r="DB405" s="150"/>
      <c r="DC405" s="150"/>
      <c r="DD405" s="150"/>
      <c r="DE405" s="150"/>
      <c r="DF405" s="150"/>
      <c r="DG405" s="150"/>
      <c r="DH405" s="150"/>
      <c r="DI405" s="150"/>
      <c r="DJ405" s="150"/>
      <c r="DK405" s="150"/>
    </row>
    <row r="406" spans="1:115" s="227" customFormat="1" ht="13.15" customHeight="1" x14ac:dyDescent="0.25">
      <c r="A406" s="258"/>
      <c r="B406" s="258"/>
      <c r="C406" s="584"/>
      <c r="D406" s="560"/>
      <c r="E406" s="537"/>
      <c r="F406" s="541"/>
      <c r="G406" s="541"/>
      <c r="H406" s="540">
        <f t="shared" si="58"/>
        <v>0</v>
      </c>
      <c r="I406" s="537"/>
      <c r="J406" s="541"/>
      <c r="K406" s="541"/>
      <c r="L406" s="540">
        <f t="shared" si="59"/>
        <v>0</v>
      </c>
      <c r="M406" s="150"/>
      <c r="N406" s="150"/>
      <c r="O406" s="150"/>
      <c r="P406" s="150"/>
      <c r="Q406" s="150"/>
      <c r="R406" s="150"/>
      <c r="S406" s="150"/>
      <c r="T406" s="150"/>
      <c r="U406" s="150"/>
      <c r="V406" s="150"/>
      <c r="W406" s="150"/>
      <c r="X406" s="150"/>
      <c r="Y406" s="150"/>
      <c r="Z406" s="150"/>
      <c r="AA406" s="150"/>
      <c r="AB406" s="150"/>
      <c r="AC406" s="150"/>
      <c r="AD406" s="150"/>
      <c r="AE406" s="150"/>
      <c r="AF406" s="150"/>
      <c r="AG406" s="150"/>
      <c r="AH406" s="150"/>
      <c r="AI406" s="150"/>
      <c r="AJ406" s="150"/>
      <c r="AK406" s="150"/>
      <c r="AL406" s="150"/>
      <c r="AM406" s="150"/>
      <c r="AN406" s="150"/>
      <c r="AO406" s="150"/>
      <c r="AP406" s="150"/>
      <c r="AQ406" s="150"/>
      <c r="AR406" s="150"/>
      <c r="AS406" s="150"/>
      <c r="AT406" s="150"/>
      <c r="AU406" s="150"/>
      <c r="AV406" s="150"/>
      <c r="AW406" s="150"/>
      <c r="AX406" s="150"/>
      <c r="AY406" s="150"/>
      <c r="AZ406" s="150"/>
      <c r="BA406" s="150"/>
      <c r="BB406" s="150"/>
      <c r="BC406" s="150"/>
      <c r="BD406" s="150"/>
      <c r="BE406" s="150"/>
      <c r="BF406" s="150"/>
      <c r="BG406" s="150"/>
      <c r="BH406" s="150"/>
      <c r="BI406" s="150"/>
      <c r="BJ406" s="150"/>
      <c r="BK406" s="150"/>
      <c r="BL406" s="150"/>
      <c r="BM406" s="150"/>
      <c r="BN406" s="150"/>
      <c r="BO406" s="150"/>
      <c r="BP406" s="150"/>
      <c r="BQ406" s="150"/>
      <c r="BR406" s="150"/>
      <c r="BS406" s="150"/>
      <c r="BT406" s="150"/>
      <c r="BU406" s="150"/>
      <c r="BV406" s="150"/>
      <c r="BW406" s="150"/>
      <c r="BX406" s="150"/>
      <c r="BY406" s="150"/>
      <c r="BZ406" s="150"/>
      <c r="CA406" s="150"/>
      <c r="CB406" s="150"/>
      <c r="CC406" s="150"/>
      <c r="CD406" s="150"/>
      <c r="CE406" s="150"/>
      <c r="CF406" s="150"/>
      <c r="CG406" s="150"/>
      <c r="CH406" s="150"/>
      <c r="CI406" s="150"/>
      <c r="CJ406" s="150"/>
      <c r="CK406" s="150"/>
      <c r="CL406" s="150"/>
      <c r="CM406" s="150"/>
      <c r="CN406" s="150"/>
      <c r="CO406" s="150"/>
      <c r="CP406" s="150"/>
      <c r="CQ406" s="150"/>
      <c r="CR406" s="150"/>
      <c r="CS406" s="150"/>
      <c r="CT406" s="150"/>
      <c r="CU406" s="150"/>
      <c r="CV406" s="150"/>
      <c r="CW406" s="150"/>
      <c r="CX406" s="150"/>
      <c r="CY406" s="150"/>
      <c r="CZ406" s="150"/>
      <c r="DA406" s="150"/>
      <c r="DB406" s="150"/>
      <c r="DC406" s="150"/>
      <c r="DD406" s="150"/>
      <c r="DE406" s="150"/>
      <c r="DF406" s="150"/>
      <c r="DG406" s="150"/>
      <c r="DH406" s="150"/>
      <c r="DI406" s="150"/>
      <c r="DJ406" s="150"/>
      <c r="DK406" s="150"/>
    </row>
    <row r="407" spans="1:115" s="227" customFormat="1" x14ac:dyDescent="0.25">
      <c r="A407" s="258"/>
      <c r="B407" s="258"/>
      <c r="C407" s="584"/>
      <c r="D407" s="560"/>
      <c r="E407" s="537"/>
      <c r="F407" s="541"/>
      <c r="G407" s="541"/>
      <c r="H407" s="540">
        <f t="shared" si="58"/>
        <v>0</v>
      </c>
      <c r="I407" s="537"/>
      <c r="J407" s="541"/>
      <c r="K407" s="541"/>
      <c r="L407" s="540">
        <f t="shared" si="59"/>
        <v>0</v>
      </c>
      <c r="M407" s="150"/>
      <c r="N407" s="150"/>
      <c r="O407" s="150"/>
      <c r="P407" s="150"/>
      <c r="Q407" s="150"/>
      <c r="R407" s="150"/>
      <c r="S407" s="150"/>
      <c r="T407" s="150"/>
      <c r="U407" s="150"/>
      <c r="V407" s="150"/>
      <c r="W407" s="150"/>
      <c r="X407" s="150"/>
      <c r="Y407" s="150"/>
      <c r="Z407" s="150"/>
      <c r="AA407" s="150"/>
      <c r="AB407" s="150"/>
      <c r="AC407" s="150"/>
      <c r="AD407" s="150"/>
      <c r="AE407" s="150"/>
      <c r="AF407" s="150"/>
      <c r="AG407" s="150"/>
      <c r="AH407" s="150"/>
      <c r="AI407" s="150"/>
      <c r="AJ407" s="150"/>
      <c r="AK407" s="150"/>
      <c r="AL407" s="150"/>
      <c r="AM407" s="150"/>
      <c r="AN407" s="150"/>
      <c r="AO407" s="150"/>
      <c r="AP407" s="150"/>
      <c r="AQ407" s="150"/>
      <c r="AR407" s="150"/>
      <c r="AS407" s="150"/>
      <c r="AT407" s="150"/>
      <c r="AU407" s="150"/>
      <c r="AV407" s="150"/>
      <c r="AW407" s="150"/>
      <c r="AX407" s="150"/>
      <c r="AY407" s="150"/>
      <c r="AZ407" s="150"/>
      <c r="BA407" s="150"/>
      <c r="BB407" s="150"/>
      <c r="BC407" s="150"/>
      <c r="BD407" s="150"/>
      <c r="BE407" s="150"/>
      <c r="BF407" s="150"/>
      <c r="BG407" s="150"/>
      <c r="BH407" s="150"/>
      <c r="BI407" s="150"/>
      <c r="BJ407" s="150"/>
      <c r="BK407" s="150"/>
      <c r="BL407" s="150"/>
      <c r="BM407" s="150"/>
      <c r="BN407" s="150"/>
      <c r="BO407" s="150"/>
      <c r="BP407" s="150"/>
      <c r="BQ407" s="150"/>
      <c r="BR407" s="150"/>
      <c r="BS407" s="150"/>
      <c r="BT407" s="150"/>
      <c r="BU407" s="150"/>
      <c r="BV407" s="150"/>
      <c r="BW407" s="150"/>
      <c r="BX407" s="150"/>
      <c r="BY407" s="150"/>
      <c r="BZ407" s="150"/>
      <c r="CA407" s="150"/>
      <c r="CB407" s="150"/>
      <c r="CC407" s="150"/>
      <c r="CD407" s="150"/>
      <c r="CE407" s="150"/>
      <c r="CF407" s="150"/>
      <c r="CG407" s="150"/>
      <c r="CH407" s="150"/>
      <c r="CI407" s="150"/>
      <c r="CJ407" s="150"/>
      <c r="CK407" s="150"/>
      <c r="CL407" s="150"/>
      <c r="CM407" s="150"/>
      <c r="CN407" s="150"/>
      <c r="CO407" s="150"/>
      <c r="CP407" s="150"/>
      <c r="CQ407" s="150"/>
      <c r="CR407" s="150"/>
      <c r="CS407" s="150"/>
      <c r="CT407" s="150"/>
      <c r="CU407" s="150"/>
      <c r="CV407" s="150"/>
      <c r="CW407" s="150"/>
      <c r="CX407" s="150"/>
      <c r="CY407" s="150"/>
      <c r="CZ407" s="150"/>
      <c r="DA407" s="150"/>
      <c r="DB407" s="150"/>
      <c r="DC407" s="150"/>
      <c r="DD407" s="150"/>
      <c r="DE407" s="150"/>
      <c r="DF407" s="150"/>
      <c r="DG407" s="150"/>
      <c r="DH407" s="150"/>
      <c r="DI407" s="150"/>
      <c r="DJ407" s="150"/>
      <c r="DK407" s="150"/>
    </row>
    <row r="408" spans="1:115" s="227" customFormat="1" x14ac:dyDescent="0.25">
      <c r="A408" s="258"/>
      <c r="B408" s="258"/>
      <c r="C408" s="584"/>
      <c r="D408" s="595"/>
      <c r="E408" s="537"/>
      <c r="F408" s="541"/>
      <c r="G408" s="541"/>
      <c r="H408" s="540">
        <f t="shared" si="58"/>
        <v>0</v>
      </c>
      <c r="I408" s="537"/>
      <c r="J408" s="541"/>
      <c r="K408" s="541"/>
      <c r="L408" s="540">
        <f t="shared" si="59"/>
        <v>0</v>
      </c>
      <c r="M408" s="150"/>
      <c r="N408" s="150"/>
      <c r="O408" s="150"/>
      <c r="P408" s="150"/>
      <c r="Q408" s="150"/>
      <c r="R408" s="150"/>
      <c r="S408" s="150"/>
      <c r="T408" s="150"/>
      <c r="U408" s="150"/>
      <c r="V408" s="150"/>
      <c r="W408" s="150"/>
      <c r="X408" s="150"/>
      <c r="Y408" s="150"/>
      <c r="Z408" s="150"/>
      <c r="AA408" s="150"/>
      <c r="AB408" s="150"/>
      <c r="AC408" s="150"/>
      <c r="AD408" s="150"/>
      <c r="AE408" s="150"/>
      <c r="AF408" s="150"/>
      <c r="AG408" s="150"/>
      <c r="AH408" s="150"/>
      <c r="AI408" s="150"/>
      <c r="AJ408" s="150"/>
      <c r="AK408" s="150"/>
      <c r="AL408" s="150"/>
      <c r="AM408" s="150"/>
      <c r="AN408" s="150"/>
      <c r="AO408" s="150"/>
      <c r="AP408" s="150"/>
      <c r="AQ408" s="150"/>
      <c r="AR408" s="150"/>
      <c r="AS408" s="150"/>
      <c r="AT408" s="150"/>
      <c r="AU408" s="150"/>
      <c r="AV408" s="150"/>
      <c r="AW408" s="150"/>
      <c r="AX408" s="150"/>
      <c r="AY408" s="150"/>
      <c r="AZ408" s="150"/>
      <c r="BA408" s="150"/>
      <c r="BB408" s="150"/>
      <c r="BC408" s="150"/>
      <c r="BD408" s="150"/>
      <c r="BE408" s="150"/>
      <c r="BF408" s="150"/>
      <c r="BG408" s="150"/>
      <c r="BH408" s="150"/>
      <c r="BI408" s="150"/>
      <c r="BJ408" s="150"/>
      <c r="BK408" s="150"/>
      <c r="BL408" s="150"/>
      <c r="BM408" s="150"/>
      <c r="BN408" s="150"/>
      <c r="BO408" s="150"/>
      <c r="BP408" s="150"/>
      <c r="BQ408" s="150"/>
      <c r="BR408" s="150"/>
      <c r="BS408" s="150"/>
      <c r="BT408" s="150"/>
      <c r="BU408" s="150"/>
      <c r="BV408" s="150"/>
      <c r="BW408" s="150"/>
      <c r="BX408" s="150"/>
      <c r="BY408" s="150"/>
      <c r="BZ408" s="150"/>
      <c r="CA408" s="150"/>
      <c r="CB408" s="150"/>
      <c r="CC408" s="150"/>
      <c r="CD408" s="150"/>
      <c r="CE408" s="150"/>
      <c r="CF408" s="150"/>
      <c r="CG408" s="150"/>
      <c r="CH408" s="150"/>
      <c r="CI408" s="150"/>
      <c r="CJ408" s="150"/>
      <c r="CK408" s="150"/>
      <c r="CL408" s="150"/>
      <c r="CM408" s="150"/>
      <c r="CN408" s="150"/>
      <c r="CO408" s="150"/>
      <c r="CP408" s="150"/>
      <c r="CQ408" s="150"/>
      <c r="CR408" s="150"/>
      <c r="CS408" s="150"/>
      <c r="CT408" s="150"/>
      <c r="CU408" s="150"/>
      <c r="CV408" s="150"/>
      <c r="CW408" s="150"/>
      <c r="CX408" s="150"/>
      <c r="CY408" s="150"/>
      <c r="CZ408" s="150"/>
      <c r="DA408" s="150"/>
      <c r="DB408" s="150"/>
      <c r="DC408" s="150"/>
      <c r="DD408" s="150"/>
      <c r="DE408" s="150"/>
      <c r="DF408" s="150"/>
      <c r="DG408" s="150"/>
      <c r="DH408" s="150"/>
      <c r="DI408" s="150"/>
      <c r="DJ408" s="150"/>
      <c r="DK408" s="150"/>
    </row>
    <row r="409" spans="1:115" s="227" customFormat="1" x14ac:dyDescent="0.25">
      <c r="A409" s="258"/>
      <c r="B409" s="258"/>
      <c r="C409" s="584"/>
      <c r="D409" s="560"/>
      <c r="E409" s="537"/>
      <c r="F409" s="541"/>
      <c r="G409" s="541"/>
      <c r="H409" s="540">
        <f t="shared" si="58"/>
        <v>0</v>
      </c>
      <c r="I409" s="537"/>
      <c r="J409" s="541"/>
      <c r="K409" s="541"/>
      <c r="L409" s="540">
        <f t="shared" si="59"/>
        <v>0</v>
      </c>
      <c r="M409" s="150"/>
      <c r="N409" s="150"/>
      <c r="O409" s="150"/>
      <c r="P409" s="150"/>
      <c r="Q409" s="150"/>
      <c r="R409" s="150"/>
      <c r="S409" s="150"/>
      <c r="T409" s="150"/>
      <c r="U409" s="150"/>
      <c r="V409" s="150"/>
      <c r="W409" s="150"/>
      <c r="X409" s="150"/>
      <c r="Y409" s="150"/>
      <c r="Z409" s="150"/>
      <c r="AA409" s="150"/>
      <c r="AB409" s="150"/>
      <c r="AC409" s="150"/>
      <c r="AD409" s="150"/>
      <c r="AE409" s="150"/>
      <c r="AF409" s="150"/>
      <c r="AG409" s="150"/>
      <c r="AH409" s="150"/>
      <c r="AI409" s="150"/>
      <c r="AJ409" s="150"/>
      <c r="AK409" s="150"/>
      <c r="AL409" s="150"/>
      <c r="AM409" s="150"/>
      <c r="AN409" s="150"/>
      <c r="AO409" s="150"/>
      <c r="AP409" s="150"/>
      <c r="AQ409" s="150"/>
      <c r="AR409" s="150"/>
      <c r="AS409" s="150"/>
      <c r="AT409" s="150"/>
      <c r="AU409" s="150"/>
      <c r="AV409" s="150"/>
      <c r="AW409" s="150"/>
      <c r="AX409" s="150"/>
      <c r="AY409" s="150"/>
      <c r="AZ409" s="150"/>
      <c r="BA409" s="150"/>
      <c r="BB409" s="150"/>
      <c r="BC409" s="150"/>
      <c r="BD409" s="150"/>
      <c r="BE409" s="150"/>
      <c r="BF409" s="150"/>
      <c r="BG409" s="150"/>
      <c r="BH409" s="150"/>
      <c r="BI409" s="150"/>
      <c r="BJ409" s="150"/>
      <c r="BK409" s="150"/>
      <c r="BL409" s="150"/>
      <c r="BM409" s="150"/>
      <c r="BN409" s="150"/>
      <c r="BO409" s="150"/>
      <c r="BP409" s="150"/>
      <c r="BQ409" s="150"/>
      <c r="BR409" s="150"/>
      <c r="BS409" s="150"/>
      <c r="BT409" s="150"/>
      <c r="BU409" s="150"/>
      <c r="BV409" s="150"/>
      <c r="BW409" s="150"/>
      <c r="BX409" s="150"/>
      <c r="BY409" s="150"/>
      <c r="BZ409" s="150"/>
      <c r="CA409" s="150"/>
      <c r="CB409" s="150"/>
      <c r="CC409" s="150"/>
      <c r="CD409" s="150"/>
      <c r="CE409" s="150"/>
      <c r="CF409" s="150"/>
      <c r="CG409" s="150"/>
      <c r="CH409" s="150"/>
      <c r="CI409" s="150"/>
      <c r="CJ409" s="150"/>
      <c r="CK409" s="150"/>
      <c r="CL409" s="150"/>
      <c r="CM409" s="150"/>
      <c r="CN409" s="150"/>
      <c r="CO409" s="150"/>
      <c r="CP409" s="150"/>
      <c r="CQ409" s="150"/>
      <c r="CR409" s="150"/>
      <c r="CS409" s="150"/>
      <c r="CT409" s="150"/>
      <c r="CU409" s="150"/>
      <c r="CV409" s="150"/>
      <c r="CW409" s="150"/>
      <c r="CX409" s="150"/>
      <c r="CY409" s="150"/>
      <c r="CZ409" s="150"/>
      <c r="DA409" s="150"/>
      <c r="DB409" s="150"/>
      <c r="DC409" s="150"/>
      <c r="DD409" s="150"/>
      <c r="DE409" s="150"/>
      <c r="DF409" s="150"/>
      <c r="DG409" s="150"/>
      <c r="DH409" s="150"/>
      <c r="DI409" s="150"/>
      <c r="DJ409" s="150"/>
      <c r="DK409" s="150"/>
    </row>
    <row r="410" spans="1:115" s="227" customFormat="1" x14ac:dyDescent="0.25">
      <c r="A410" s="258"/>
      <c r="B410" s="258"/>
      <c r="C410" s="584"/>
      <c r="D410" s="560"/>
      <c r="E410" s="537"/>
      <c r="F410" s="541"/>
      <c r="G410" s="541"/>
      <c r="H410" s="540">
        <f t="shared" si="58"/>
        <v>0</v>
      </c>
      <c r="I410" s="537"/>
      <c r="J410" s="541"/>
      <c r="K410" s="541"/>
      <c r="L410" s="540">
        <f t="shared" si="59"/>
        <v>0</v>
      </c>
      <c r="M410" s="150"/>
      <c r="N410" s="150"/>
      <c r="O410" s="150"/>
      <c r="P410" s="150"/>
      <c r="Q410" s="150"/>
      <c r="R410" s="150"/>
      <c r="S410" s="150"/>
      <c r="T410" s="150"/>
      <c r="U410" s="150"/>
      <c r="V410" s="150"/>
      <c r="W410" s="150"/>
      <c r="X410" s="150"/>
      <c r="Y410" s="150"/>
      <c r="Z410" s="150"/>
      <c r="AA410" s="150"/>
      <c r="AB410" s="150"/>
      <c r="AC410" s="150"/>
      <c r="AD410" s="150"/>
      <c r="AE410" s="150"/>
      <c r="AF410" s="150"/>
      <c r="AG410" s="150"/>
      <c r="AH410" s="150"/>
      <c r="AI410" s="150"/>
      <c r="AJ410" s="150"/>
      <c r="AK410" s="150"/>
      <c r="AL410" s="150"/>
      <c r="AM410" s="150"/>
      <c r="AN410" s="150"/>
      <c r="AO410" s="150"/>
      <c r="AP410" s="150"/>
      <c r="AQ410" s="150"/>
      <c r="AR410" s="150"/>
      <c r="AS410" s="150"/>
      <c r="AT410" s="150"/>
      <c r="AU410" s="150"/>
      <c r="AV410" s="150"/>
      <c r="AW410" s="150"/>
      <c r="AX410" s="150"/>
      <c r="AY410" s="150"/>
      <c r="AZ410" s="150"/>
      <c r="BA410" s="150"/>
      <c r="BB410" s="150"/>
      <c r="BC410" s="150"/>
      <c r="BD410" s="150"/>
      <c r="BE410" s="150"/>
      <c r="BF410" s="150"/>
      <c r="BG410" s="150"/>
      <c r="BH410" s="150"/>
      <c r="BI410" s="150"/>
      <c r="BJ410" s="150"/>
      <c r="BK410" s="150"/>
      <c r="BL410" s="150"/>
      <c r="BM410" s="150"/>
      <c r="BN410" s="150"/>
      <c r="BO410" s="150"/>
      <c r="BP410" s="150"/>
      <c r="BQ410" s="150"/>
      <c r="BR410" s="150"/>
      <c r="BS410" s="150"/>
      <c r="BT410" s="150"/>
      <c r="BU410" s="150"/>
      <c r="BV410" s="150"/>
      <c r="BW410" s="150"/>
      <c r="BX410" s="150"/>
      <c r="BY410" s="150"/>
      <c r="BZ410" s="150"/>
      <c r="CA410" s="150"/>
      <c r="CB410" s="150"/>
      <c r="CC410" s="150"/>
      <c r="CD410" s="150"/>
      <c r="CE410" s="150"/>
      <c r="CF410" s="150"/>
      <c r="CG410" s="150"/>
      <c r="CH410" s="150"/>
      <c r="CI410" s="150"/>
      <c r="CJ410" s="150"/>
      <c r="CK410" s="150"/>
      <c r="CL410" s="150"/>
      <c r="CM410" s="150"/>
      <c r="CN410" s="150"/>
      <c r="CO410" s="150"/>
      <c r="CP410" s="150"/>
      <c r="CQ410" s="150"/>
      <c r="CR410" s="150"/>
      <c r="CS410" s="150"/>
      <c r="CT410" s="150"/>
      <c r="CU410" s="150"/>
      <c r="CV410" s="150"/>
      <c r="CW410" s="150"/>
      <c r="CX410" s="150"/>
      <c r="CY410" s="150"/>
      <c r="CZ410" s="150"/>
      <c r="DA410" s="150"/>
      <c r="DB410" s="150"/>
      <c r="DC410" s="150"/>
      <c r="DD410" s="150"/>
      <c r="DE410" s="150"/>
      <c r="DF410" s="150"/>
      <c r="DG410" s="150"/>
      <c r="DH410" s="150"/>
      <c r="DI410" s="150"/>
      <c r="DJ410" s="150"/>
      <c r="DK410" s="150"/>
    </row>
    <row r="411" spans="1:115" x14ac:dyDescent="0.25">
      <c r="A411" s="258"/>
      <c r="B411" s="258"/>
      <c r="C411" s="584"/>
      <c r="D411" s="559"/>
      <c r="E411" s="534"/>
      <c r="F411" s="262"/>
      <c r="G411" s="262"/>
      <c r="H411" s="536">
        <f t="shared" si="58"/>
        <v>0</v>
      </c>
      <c r="I411" s="534"/>
      <c r="J411" s="262"/>
      <c r="K411" s="262"/>
      <c r="L411" s="536">
        <f t="shared" si="59"/>
        <v>0</v>
      </c>
    </row>
    <row r="412" spans="1:115" x14ac:dyDescent="0.25">
      <c r="A412" s="258"/>
      <c r="B412" s="258"/>
      <c r="C412" s="584"/>
      <c r="D412" s="559"/>
      <c r="E412" s="534"/>
      <c r="F412" s="262"/>
      <c r="G412" s="262"/>
      <c r="H412" s="536">
        <f t="shared" si="58"/>
        <v>0</v>
      </c>
      <c r="I412" s="534"/>
      <c r="J412" s="262"/>
      <c r="K412" s="262"/>
      <c r="L412" s="536">
        <f t="shared" si="59"/>
        <v>0</v>
      </c>
    </row>
    <row r="413" spans="1:115" x14ac:dyDescent="0.25">
      <c r="A413" s="258"/>
      <c r="B413" s="258"/>
      <c r="C413" s="584"/>
      <c r="D413" s="559"/>
      <c r="E413" s="534"/>
      <c r="F413" s="262"/>
      <c r="G413" s="262"/>
      <c r="H413" s="536">
        <f t="shared" si="58"/>
        <v>0</v>
      </c>
      <c r="I413" s="534"/>
      <c r="J413" s="262"/>
      <c r="K413" s="262"/>
      <c r="L413" s="536">
        <f t="shared" si="59"/>
        <v>0</v>
      </c>
    </row>
    <row r="414" spans="1:115" s="227" customFormat="1" x14ac:dyDescent="0.25">
      <c r="A414" s="258"/>
      <c r="B414" s="258"/>
      <c r="C414" s="585"/>
      <c r="D414" s="560"/>
      <c r="E414" s="537"/>
      <c r="F414" s="253"/>
      <c r="G414" s="541"/>
      <c r="H414" s="536">
        <f t="shared" si="58"/>
        <v>0</v>
      </c>
      <c r="I414" s="537"/>
      <c r="J414" s="253"/>
      <c r="K414" s="541"/>
      <c r="L414" s="536">
        <f t="shared" si="59"/>
        <v>0</v>
      </c>
      <c r="M414" s="150"/>
      <c r="N414" s="150"/>
      <c r="O414" s="150"/>
      <c r="P414" s="150"/>
      <c r="Q414" s="150"/>
      <c r="R414" s="150"/>
      <c r="S414" s="150"/>
      <c r="T414" s="150"/>
      <c r="U414" s="150"/>
      <c r="V414" s="150"/>
      <c r="W414" s="150"/>
      <c r="X414" s="150"/>
      <c r="Y414" s="150"/>
      <c r="Z414" s="150"/>
      <c r="AA414" s="150"/>
      <c r="AB414" s="150"/>
      <c r="AC414" s="150"/>
      <c r="AD414" s="150"/>
      <c r="AE414" s="150"/>
      <c r="AF414" s="150"/>
      <c r="AG414" s="150"/>
      <c r="AH414" s="150"/>
      <c r="AI414" s="150"/>
      <c r="AJ414" s="150"/>
      <c r="AK414" s="150"/>
      <c r="AL414" s="150"/>
      <c r="AM414" s="150"/>
      <c r="AN414" s="150"/>
      <c r="AO414" s="150"/>
      <c r="AP414" s="150"/>
      <c r="AQ414" s="150"/>
      <c r="AR414" s="150"/>
      <c r="AS414" s="150"/>
      <c r="AT414" s="150"/>
      <c r="AU414" s="150"/>
      <c r="AV414" s="150"/>
      <c r="AW414" s="150"/>
      <c r="AX414" s="150"/>
      <c r="AY414" s="150"/>
      <c r="AZ414" s="150"/>
      <c r="BA414" s="150"/>
      <c r="BB414" s="150"/>
      <c r="BC414" s="150"/>
      <c r="BD414" s="150"/>
      <c r="BE414" s="150"/>
      <c r="BF414" s="150"/>
      <c r="BG414" s="150"/>
      <c r="BH414" s="150"/>
      <c r="BI414" s="150"/>
      <c r="BJ414" s="150"/>
      <c r="BK414" s="150"/>
      <c r="BL414" s="150"/>
      <c r="BM414" s="150"/>
      <c r="BN414" s="150"/>
      <c r="BO414" s="150"/>
      <c r="BP414" s="150"/>
      <c r="BQ414" s="150"/>
      <c r="BR414" s="150"/>
      <c r="BS414" s="150"/>
      <c r="BT414" s="150"/>
      <c r="BU414" s="150"/>
      <c r="BV414" s="150"/>
      <c r="BW414" s="150"/>
      <c r="BX414" s="150"/>
      <c r="BY414" s="150"/>
      <c r="BZ414" s="150"/>
      <c r="CA414" s="150"/>
      <c r="CB414" s="150"/>
      <c r="CC414" s="150"/>
      <c r="CD414" s="150"/>
      <c r="CE414" s="150"/>
      <c r="CF414" s="150"/>
      <c r="CG414" s="150"/>
      <c r="CH414" s="150"/>
      <c r="CI414" s="150"/>
      <c r="CJ414" s="150"/>
      <c r="CK414" s="150"/>
      <c r="CL414" s="150"/>
      <c r="CM414" s="150"/>
      <c r="CN414" s="150"/>
      <c r="CO414" s="150"/>
      <c r="CP414" s="150"/>
      <c r="CQ414" s="150"/>
      <c r="CR414" s="150"/>
      <c r="CS414" s="150"/>
      <c r="CT414" s="150"/>
      <c r="CU414" s="150"/>
      <c r="CV414" s="150"/>
      <c r="CW414" s="150"/>
      <c r="CX414" s="150"/>
      <c r="CY414" s="150"/>
      <c r="CZ414" s="150"/>
      <c r="DA414" s="150"/>
      <c r="DB414" s="150"/>
      <c r="DC414" s="150"/>
      <c r="DD414" s="150"/>
      <c r="DE414" s="150"/>
      <c r="DF414" s="150"/>
      <c r="DG414" s="150"/>
      <c r="DH414" s="150"/>
      <c r="DI414" s="150"/>
      <c r="DJ414" s="150"/>
      <c r="DK414" s="150"/>
    </row>
    <row r="415" spans="1:115" x14ac:dyDescent="0.25">
      <c r="A415" s="258"/>
      <c r="B415" s="258"/>
      <c r="C415" s="584"/>
      <c r="D415" s="559" t="s">
        <v>0</v>
      </c>
      <c r="E415" s="534"/>
      <c r="F415" s="542">
        <f>SUM(F403:F414)</f>
        <v>0</v>
      </c>
      <c r="G415" s="543" t="e">
        <f>H415/F415</f>
        <v>#DIV/0!</v>
      </c>
      <c r="H415" s="544">
        <f>SUM(H403:H414)</f>
        <v>0</v>
      </c>
      <c r="I415" s="534"/>
      <c r="J415" s="542">
        <f>SUM(J403:J414)</f>
        <v>0</v>
      </c>
      <c r="K415" s="543" t="e">
        <f>L415/J415</f>
        <v>#DIV/0!</v>
      </c>
      <c r="L415" s="544">
        <f>SUM(L403:L414)</f>
        <v>0</v>
      </c>
    </row>
    <row r="416" spans="1:115" x14ac:dyDescent="0.25">
      <c r="A416" s="545"/>
      <c r="B416" s="545"/>
      <c r="C416" s="586"/>
      <c r="D416" s="561"/>
      <c r="E416" s="546"/>
      <c r="F416" s="546"/>
      <c r="G416" s="547"/>
      <c r="H416" s="548"/>
      <c r="I416" s="546"/>
      <c r="J416" s="546"/>
      <c r="K416" s="547"/>
      <c r="L416" s="548"/>
    </row>
    <row r="417" spans="1:115" x14ac:dyDescent="0.25">
      <c r="A417" s="258"/>
      <c r="B417" s="258"/>
      <c r="C417" s="584"/>
      <c r="D417" s="558"/>
      <c r="E417" s="534"/>
      <c r="F417" s="253"/>
      <c r="G417" s="535"/>
      <c r="H417" s="536">
        <f t="shared" ref="H417:H429" si="60">F417*G417</f>
        <v>0</v>
      </c>
      <c r="I417" s="534"/>
      <c r="J417" s="253"/>
      <c r="K417" s="535"/>
      <c r="L417" s="536">
        <f t="shared" ref="L417:L425" si="61">J417*K417</f>
        <v>0</v>
      </c>
    </row>
    <row r="418" spans="1:115" x14ac:dyDescent="0.25">
      <c r="A418" s="258"/>
      <c r="B418" s="258"/>
      <c r="C418" s="584"/>
      <c r="D418" s="559">
        <f>D404+1</f>
        <v>45651</v>
      </c>
      <c r="E418" s="534"/>
      <c r="F418" s="253"/>
      <c r="G418" s="541"/>
      <c r="H418" s="536">
        <f t="shared" si="60"/>
        <v>0</v>
      </c>
      <c r="I418" s="534"/>
      <c r="J418" s="253"/>
      <c r="K418" s="541"/>
      <c r="L418" s="536">
        <f t="shared" si="61"/>
        <v>0</v>
      </c>
    </row>
    <row r="419" spans="1:115" s="227" customFormat="1" ht="18.75" customHeight="1" x14ac:dyDescent="0.25">
      <c r="A419" s="258"/>
      <c r="B419" s="258"/>
      <c r="C419" s="584"/>
      <c r="D419" s="560"/>
      <c r="E419" s="537"/>
      <c r="F419" s="541"/>
      <c r="G419" s="541"/>
      <c r="H419" s="540">
        <f t="shared" si="60"/>
        <v>0</v>
      </c>
      <c r="I419" s="537"/>
      <c r="J419" s="541"/>
      <c r="K419" s="541"/>
      <c r="L419" s="540">
        <f t="shared" si="61"/>
        <v>0</v>
      </c>
      <c r="M419" s="150"/>
      <c r="N419" s="150"/>
      <c r="O419" s="150"/>
      <c r="P419" s="150"/>
      <c r="Q419" s="150"/>
      <c r="R419" s="150"/>
      <c r="S419" s="150"/>
      <c r="T419" s="150"/>
      <c r="U419" s="150"/>
      <c r="V419" s="150"/>
      <c r="W419" s="150"/>
      <c r="X419" s="150"/>
      <c r="Y419" s="150"/>
      <c r="Z419" s="150"/>
      <c r="AA419" s="150"/>
      <c r="AB419" s="150"/>
      <c r="AC419" s="150"/>
      <c r="AD419" s="150"/>
      <c r="AE419" s="150"/>
      <c r="AF419" s="150"/>
      <c r="AG419" s="150"/>
      <c r="AH419" s="150"/>
      <c r="AI419" s="150"/>
      <c r="AJ419" s="150"/>
      <c r="AK419" s="150"/>
      <c r="AL419" s="150"/>
      <c r="AM419" s="150"/>
      <c r="AN419" s="150"/>
      <c r="AO419" s="150"/>
      <c r="AP419" s="150"/>
      <c r="AQ419" s="150"/>
      <c r="AR419" s="150"/>
      <c r="AS419" s="150"/>
      <c r="AT419" s="150"/>
      <c r="AU419" s="150"/>
      <c r="AV419" s="150"/>
      <c r="AW419" s="150"/>
      <c r="AX419" s="150"/>
      <c r="AY419" s="150"/>
      <c r="AZ419" s="150"/>
      <c r="BA419" s="150"/>
      <c r="BB419" s="150"/>
      <c r="BC419" s="150"/>
      <c r="BD419" s="150"/>
      <c r="BE419" s="150"/>
      <c r="BF419" s="150"/>
      <c r="BG419" s="150"/>
      <c r="BH419" s="150"/>
      <c r="BI419" s="150"/>
      <c r="BJ419" s="150"/>
      <c r="BK419" s="150"/>
      <c r="BL419" s="150"/>
      <c r="BM419" s="150"/>
      <c r="BN419" s="150"/>
      <c r="BO419" s="150"/>
      <c r="BP419" s="150"/>
      <c r="BQ419" s="150"/>
      <c r="BR419" s="150"/>
      <c r="BS419" s="150"/>
      <c r="BT419" s="150"/>
      <c r="BU419" s="150"/>
      <c r="BV419" s="150"/>
      <c r="BW419" s="150"/>
      <c r="BX419" s="150"/>
      <c r="BY419" s="150"/>
      <c r="BZ419" s="150"/>
      <c r="CA419" s="150"/>
      <c r="CB419" s="150"/>
      <c r="CC419" s="150"/>
      <c r="CD419" s="150"/>
      <c r="CE419" s="150"/>
      <c r="CF419" s="150"/>
      <c r="CG419" s="150"/>
      <c r="CH419" s="150"/>
      <c r="CI419" s="150"/>
      <c r="CJ419" s="150"/>
      <c r="CK419" s="150"/>
      <c r="CL419" s="150"/>
      <c r="CM419" s="150"/>
      <c r="CN419" s="150"/>
      <c r="CO419" s="150"/>
      <c r="CP419" s="150"/>
      <c r="CQ419" s="150"/>
      <c r="CR419" s="150"/>
      <c r="CS419" s="150"/>
      <c r="CT419" s="150"/>
      <c r="CU419" s="150"/>
      <c r="CV419" s="150"/>
      <c r="CW419" s="150"/>
      <c r="CX419" s="150"/>
      <c r="CY419" s="150"/>
      <c r="CZ419" s="150"/>
      <c r="DA419" s="150"/>
      <c r="DB419" s="150"/>
      <c r="DC419" s="150"/>
      <c r="DD419" s="150"/>
      <c r="DE419" s="150"/>
      <c r="DF419" s="150"/>
      <c r="DG419" s="150"/>
      <c r="DH419" s="150"/>
      <c r="DI419" s="150"/>
      <c r="DJ419" s="150"/>
      <c r="DK419" s="150"/>
    </row>
    <row r="420" spans="1:115" s="227" customFormat="1" x14ac:dyDescent="0.25">
      <c r="A420" s="258"/>
      <c r="B420" s="258"/>
      <c r="C420" s="584"/>
      <c r="D420" s="560"/>
      <c r="E420" s="537"/>
      <c r="F420" s="541"/>
      <c r="G420" s="541"/>
      <c r="H420" s="540">
        <f t="shared" si="60"/>
        <v>0</v>
      </c>
      <c r="I420" s="537"/>
      <c r="J420" s="541"/>
      <c r="K420" s="541"/>
      <c r="L420" s="540">
        <f t="shared" si="61"/>
        <v>0</v>
      </c>
      <c r="M420" s="150"/>
      <c r="N420" s="150"/>
      <c r="O420" s="150"/>
      <c r="P420" s="150"/>
      <c r="Q420" s="150"/>
      <c r="R420" s="150"/>
      <c r="S420" s="150"/>
      <c r="T420" s="150"/>
      <c r="U420" s="150"/>
      <c r="V420" s="150"/>
      <c r="W420" s="150"/>
      <c r="X420" s="150"/>
      <c r="Y420" s="150"/>
      <c r="Z420" s="150"/>
      <c r="AA420" s="150"/>
      <c r="AB420" s="150"/>
      <c r="AC420" s="150"/>
      <c r="AD420" s="150"/>
      <c r="AE420" s="150"/>
      <c r="AF420" s="150"/>
      <c r="AG420" s="150"/>
      <c r="AH420" s="150"/>
      <c r="AI420" s="150"/>
      <c r="AJ420" s="150"/>
      <c r="AK420" s="150"/>
      <c r="AL420" s="150"/>
      <c r="AM420" s="150"/>
      <c r="AN420" s="150"/>
      <c r="AO420" s="150"/>
      <c r="AP420" s="150"/>
      <c r="AQ420" s="150"/>
      <c r="AR420" s="150"/>
      <c r="AS420" s="150"/>
      <c r="AT420" s="150"/>
      <c r="AU420" s="150"/>
      <c r="AV420" s="150"/>
      <c r="AW420" s="150"/>
      <c r="AX420" s="150"/>
      <c r="AY420" s="150"/>
      <c r="AZ420" s="150"/>
      <c r="BA420" s="150"/>
      <c r="BB420" s="150"/>
      <c r="BC420" s="150"/>
      <c r="BD420" s="150"/>
      <c r="BE420" s="150"/>
      <c r="BF420" s="150"/>
      <c r="BG420" s="150"/>
      <c r="BH420" s="150"/>
      <c r="BI420" s="150"/>
      <c r="BJ420" s="150"/>
      <c r="BK420" s="150"/>
      <c r="BL420" s="150"/>
      <c r="BM420" s="150"/>
      <c r="BN420" s="150"/>
      <c r="BO420" s="150"/>
      <c r="BP420" s="150"/>
      <c r="BQ420" s="150"/>
      <c r="BR420" s="150"/>
      <c r="BS420" s="150"/>
      <c r="BT420" s="150"/>
      <c r="BU420" s="150"/>
      <c r="BV420" s="150"/>
      <c r="BW420" s="150"/>
      <c r="BX420" s="150"/>
      <c r="BY420" s="150"/>
      <c r="BZ420" s="150"/>
      <c r="CA420" s="150"/>
      <c r="CB420" s="150"/>
      <c r="CC420" s="150"/>
      <c r="CD420" s="150"/>
      <c r="CE420" s="150"/>
      <c r="CF420" s="150"/>
      <c r="CG420" s="150"/>
      <c r="CH420" s="150"/>
      <c r="CI420" s="150"/>
      <c r="CJ420" s="150"/>
      <c r="CK420" s="150"/>
      <c r="CL420" s="150"/>
      <c r="CM420" s="150"/>
      <c r="CN420" s="150"/>
      <c r="CO420" s="150"/>
      <c r="CP420" s="150"/>
      <c r="CQ420" s="150"/>
      <c r="CR420" s="150"/>
      <c r="CS420" s="150"/>
      <c r="CT420" s="150"/>
      <c r="CU420" s="150"/>
      <c r="CV420" s="150"/>
      <c r="CW420" s="150"/>
      <c r="CX420" s="150"/>
      <c r="CY420" s="150"/>
      <c r="CZ420" s="150"/>
      <c r="DA420" s="150"/>
      <c r="DB420" s="150"/>
      <c r="DC420" s="150"/>
      <c r="DD420" s="150"/>
      <c r="DE420" s="150"/>
      <c r="DF420" s="150"/>
      <c r="DG420" s="150"/>
      <c r="DH420" s="150"/>
      <c r="DI420" s="150"/>
      <c r="DJ420" s="150"/>
      <c r="DK420" s="150"/>
    </row>
    <row r="421" spans="1:115" s="227" customFormat="1" x14ac:dyDescent="0.25">
      <c r="A421" s="258"/>
      <c r="B421" s="258"/>
      <c r="C421" s="584"/>
      <c r="D421" s="560"/>
      <c r="E421" s="537"/>
      <c r="F421" s="541"/>
      <c r="G421" s="541"/>
      <c r="H421" s="540">
        <f t="shared" si="60"/>
        <v>0</v>
      </c>
      <c r="I421" s="537"/>
      <c r="J421" s="541"/>
      <c r="K421" s="541"/>
      <c r="L421" s="540">
        <f t="shared" si="61"/>
        <v>0</v>
      </c>
      <c r="M421" s="150"/>
      <c r="N421" s="150"/>
      <c r="O421" s="150"/>
      <c r="P421" s="150"/>
      <c r="Q421" s="150"/>
      <c r="R421" s="150"/>
      <c r="S421" s="150"/>
      <c r="T421" s="150"/>
      <c r="U421" s="150"/>
      <c r="V421" s="150"/>
      <c r="W421" s="150"/>
      <c r="X421" s="150"/>
      <c r="Y421" s="150"/>
      <c r="Z421" s="150"/>
      <c r="AA421" s="150"/>
      <c r="AB421" s="150"/>
      <c r="AC421" s="150"/>
      <c r="AD421" s="150"/>
      <c r="AE421" s="150"/>
      <c r="AF421" s="150"/>
      <c r="AG421" s="150"/>
      <c r="AH421" s="150"/>
      <c r="AI421" s="150"/>
      <c r="AJ421" s="150"/>
      <c r="AK421" s="150"/>
      <c r="AL421" s="150"/>
      <c r="AM421" s="150"/>
      <c r="AN421" s="150"/>
      <c r="AO421" s="150"/>
      <c r="AP421" s="150"/>
      <c r="AQ421" s="150"/>
      <c r="AR421" s="150"/>
      <c r="AS421" s="150"/>
      <c r="AT421" s="150"/>
      <c r="AU421" s="150"/>
      <c r="AV421" s="150"/>
      <c r="AW421" s="150"/>
      <c r="AX421" s="150"/>
      <c r="AY421" s="150"/>
      <c r="AZ421" s="150"/>
      <c r="BA421" s="150"/>
      <c r="BB421" s="150"/>
      <c r="BC421" s="150"/>
      <c r="BD421" s="150"/>
      <c r="BE421" s="150"/>
      <c r="BF421" s="150"/>
      <c r="BG421" s="150"/>
      <c r="BH421" s="150"/>
      <c r="BI421" s="150"/>
      <c r="BJ421" s="150"/>
      <c r="BK421" s="150"/>
      <c r="BL421" s="150"/>
      <c r="BM421" s="150"/>
      <c r="BN421" s="150"/>
      <c r="BO421" s="150"/>
      <c r="BP421" s="150"/>
      <c r="BQ421" s="150"/>
      <c r="BR421" s="150"/>
      <c r="BS421" s="150"/>
      <c r="BT421" s="150"/>
      <c r="BU421" s="150"/>
      <c r="BV421" s="150"/>
      <c r="BW421" s="150"/>
      <c r="BX421" s="150"/>
      <c r="BY421" s="150"/>
      <c r="BZ421" s="150"/>
      <c r="CA421" s="150"/>
      <c r="CB421" s="150"/>
      <c r="CC421" s="150"/>
      <c r="CD421" s="150"/>
      <c r="CE421" s="150"/>
      <c r="CF421" s="150"/>
      <c r="CG421" s="150"/>
      <c r="CH421" s="150"/>
      <c r="CI421" s="150"/>
      <c r="CJ421" s="150"/>
      <c r="CK421" s="150"/>
      <c r="CL421" s="150"/>
      <c r="CM421" s="150"/>
      <c r="CN421" s="150"/>
      <c r="CO421" s="150"/>
      <c r="CP421" s="150"/>
      <c r="CQ421" s="150"/>
      <c r="CR421" s="150"/>
      <c r="CS421" s="150"/>
      <c r="CT421" s="150"/>
      <c r="CU421" s="150"/>
      <c r="CV421" s="150"/>
      <c r="CW421" s="150"/>
      <c r="CX421" s="150"/>
      <c r="CY421" s="150"/>
      <c r="CZ421" s="150"/>
      <c r="DA421" s="150"/>
      <c r="DB421" s="150"/>
      <c r="DC421" s="150"/>
      <c r="DD421" s="150"/>
      <c r="DE421" s="150"/>
      <c r="DF421" s="150"/>
      <c r="DG421" s="150"/>
      <c r="DH421" s="150"/>
      <c r="DI421" s="150"/>
      <c r="DJ421" s="150"/>
      <c r="DK421" s="150"/>
    </row>
    <row r="422" spans="1:115" s="227" customFormat="1" x14ac:dyDescent="0.25">
      <c r="A422" s="258"/>
      <c r="B422" s="258"/>
      <c r="C422" s="584"/>
      <c r="D422" s="595"/>
      <c r="E422" s="537"/>
      <c r="F422" s="541"/>
      <c r="G422" s="541"/>
      <c r="H422" s="540">
        <f t="shared" si="60"/>
        <v>0</v>
      </c>
      <c r="I422" s="537"/>
      <c r="J422" s="541"/>
      <c r="K422" s="541"/>
      <c r="L422" s="540">
        <f t="shared" si="61"/>
        <v>0</v>
      </c>
      <c r="M422" s="236"/>
      <c r="N422" s="150"/>
      <c r="O422" s="150"/>
      <c r="P422" s="150"/>
      <c r="Q422" s="150"/>
      <c r="R422" s="150"/>
      <c r="S422" s="150"/>
      <c r="T422" s="150"/>
      <c r="U422" s="150"/>
      <c r="V422" s="150"/>
      <c r="W422" s="150"/>
      <c r="X422" s="150"/>
      <c r="Y422" s="150"/>
      <c r="Z422" s="150"/>
      <c r="AA422" s="150"/>
      <c r="AB422" s="150"/>
      <c r="AC422" s="150"/>
      <c r="AD422" s="150"/>
      <c r="AE422" s="150"/>
      <c r="AF422" s="150"/>
      <c r="AG422" s="150"/>
      <c r="AH422" s="150"/>
      <c r="AI422" s="150"/>
      <c r="AJ422" s="150"/>
      <c r="AK422" s="150"/>
      <c r="AL422" s="150"/>
      <c r="AM422" s="150"/>
      <c r="AN422" s="150"/>
      <c r="AO422" s="150"/>
      <c r="AP422" s="150"/>
      <c r="AQ422" s="150"/>
      <c r="AR422" s="150"/>
      <c r="AS422" s="150"/>
      <c r="AT422" s="150"/>
      <c r="AU422" s="150"/>
      <c r="AV422" s="150"/>
      <c r="AW422" s="150"/>
      <c r="AX422" s="150"/>
      <c r="AY422" s="150"/>
      <c r="AZ422" s="150"/>
      <c r="BA422" s="150"/>
      <c r="BB422" s="150"/>
      <c r="BC422" s="150"/>
      <c r="BD422" s="150"/>
      <c r="BE422" s="150"/>
      <c r="BF422" s="150"/>
      <c r="BG422" s="150"/>
      <c r="BH422" s="150"/>
      <c r="BI422" s="150"/>
      <c r="BJ422" s="150"/>
      <c r="BK422" s="150"/>
      <c r="BL422" s="150"/>
      <c r="BM422" s="150"/>
      <c r="BN422" s="150"/>
      <c r="BO422" s="150"/>
      <c r="BP422" s="150"/>
      <c r="BQ422" s="150"/>
      <c r="BR422" s="150"/>
      <c r="BS422" s="150"/>
      <c r="BT422" s="150"/>
      <c r="BU422" s="150"/>
      <c r="BV422" s="150"/>
      <c r="BW422" s="150"/>
      <c r="BX422" s="150"/>
      <c r="BY422" s="150"/>
      <c r="BZ422" s="150"/>
      <c r="CA422" s="150"/>
      <c r="CB422" s="150"/>
      <c r="CC422" s="150"/>
      <c r="CD422" s="150"/>
      <c r="CE422" s="150"/>
      <c r="CF422" s="150"/>
      <c r="CG422" s="150"/>
      <c r="CH422" s="150"/>
      <c r="CI422" s="150"/>
      <c r="CJ422" s="150"/>
      <c r="CK422" s="150"/>
      <c r="CL422" s="150"/>
      <c r="CM422" s="150"/>
      <c r="CN422" s="150"/>
      <c r="CO422" s="150"/>
      <c r="CP422" s="150"/>
      <c r="CQ422" s="150"/>
      <c r="CR422" s="150"/>
      <c r="CS422" s="150"/>
      <c r="CT422" s="150"/>
      <c r="CU422" s="150"/>
      <c r="CV422" s="150"/>
      <c r="CW422" s="150"/>
      <c r="CX422" s="150"/>
      <c r="CY422" s="150"/>
      <c r="CZ422" s="150"/>
      <c r="DA422" s="150"/>
      <c r="DB422" s="150"/>
      <c r="DC422" s="150"/>
      <c r="DD422" s="150"/>
      <c r="DE422" s="150"/>
      <c r="DF422" s="150"/>
      <c r="DG422" s="150"/>
      <c r="DH422" s="150"/>
      <c r="DI422" s="150"/>
      <c r="DJ422" s="150"/>
      <c r="DK422" s="150"/>
    </row>
    <row r="423" spans="1:115" s="227" customFormat="1" x14ac:dyDescent="0.25">
      <c r="A423" s="258"/>
      <c r="B423" s="258"/>
      <c r="C423" s="584"/>
      <c r="D423" s="595"/>
      <c r="E423" s="537"/>
      <c r="F423" s="541"/>
      <c r="G423" s="541"/>
      <c r="H423" s="540">
        <f t="shared" si="60"/>
        <v>0</v>
      </c>
      <c r="I423" s="537"/>
      <c r="J423" s="541"/>
      <c r="K423" s="541"/>
      <c r="L423" s="540">
        <f t="shared" si="61"/>
        <v>0</v>
      </c>
      <c r="M423" s="150"/>
      <c r="N423" s="150"/>
      <c r="O423" s="150"/>
      <c r="P423" s="150"/>
      <c r="Q423" s="150"/>
      <c r="R423" s="150"/>
      <c r="S423" s="150"/>
      <c r="T423" s="150"/>
      <c r="U423" s="150"/>
      <c r="V423" s="150"/>
      <c r="W423" s="150"/>
      <c r="X423" s="150"/>
      <c r="Y423" s="150"/>
      <c r="Z423" s="150"/>
      <c r="AA423" s="150"/>
      <c r="AB423" s="150"/>
      <c r="AC423" s="150"/>
      <c r="AD423" s="150"/>
      <c r="AE423" s="150"/>
      <c r="AF423" s="150"/>
      <c r="AG423" s="150"/>
      <c r="AH423" s="150"/>
      <c r="AI423" s="150"/>
      <c r="AJ423" s="150"/>
      <c r="AK423" s="150"/>
      <c r="AL423" s="150"/>
      <c r="AM423" s="150"/>
      <c r="AN423" s="150"/>
      <c r="AO423" s="150"/>
      <c r="AP423" s="150"/>
      <c r="AQ423" s="150"/>
      <c r="AR423" s="150"/>
      <c r="AS423" s="150"/>
      <c r="AT423" s="150"/>
      <c r="AU423" s="150"/>
      <c r="AV423" s="150"/>
      <c r="AW423" s="150"/>
      <c r="AX423" s="150"/>
      <c r="AY423" s="150"/>
      <c r="AZ423" s="150"/>
      <c r="BA423" s="150"/>
      <c r="BB423" s="150"/>
      <c r="BC423" s="150"/>
      <c r="BD423" s="150"/>
      <c r="BE423" s="150"/>
      <c r="BF423" s="150"/>
      <c r="BG423" s="150"/>
      <c r="BH423" s="150"/>
      <c r="BI423" s="150"/>
      <c r="BJ423" s="150"/>
      <c r="BK423" s="150"/>
      <c r="BL423" s="150"/>
      <c r="BM423" s="150"/>
      <c r="BN423" s="150"/>
      <c r="BO423" s="150"/>
      <c r="BP423" s="150"/>
      <c r="BQ423" s="150"/>
      <c r="BR423" s="150"/>
      <c r="BS423" s="150"/>
      <c r="BT423" s="150"/>
      <c r="BU423" s="150"/>
      <c r="BV423" s="150"/>
      <c r="BW423" s="150"/>
      <c r="BX423" s="150"/>
      <c r="BY423" s="150"/>
      <c r="BZ423" s="150"/>
      <c r="CA423" s="150"/>
      <c r="CB423" s="150"/>
      <c r="CC423" s="150"/>
      <c r="CD423" s="150"/>
      <c r="CE423" s="150"/>
      <c r="CF423" s="150"/>
      <c r="CG423" s="150"/>
      <c r="CH423" s="150"/>
      <c r="CI423" s="150"/>
      <c r="CJ423" s="150"/>
      <c r="CK423" s="150"/>
      <c r="CL423" s="150"/>
      <c r="CM423" s="150"/>
      <c r="CN423" s="150"/>
      <c r="CO423" s="150"/>
      <c r="CP423" s="150"/>
      <c r="CQ423" s="150"/>
      <c r="CR423" s="150"/>
      <c r="CS423" s="150"/>
      <c r="CT423" s="150"/>
      <c r="CU423" s="150"/>
      <c r="CV423" s="150"/>
      <c r="CW423" s="150"/>
      <c r="CX423" s="150"/>
      <c r="CY423" s="150"/>
      <c r="CZ423" s="150"/>
      <c r="DA423" s="150"/>
      <c r="DB423" s="150"/>
      <c r="DC423" s="150"/>
      <c r="DD423" s="150"/>
      <c r="DE423" s="150"/>
      <c r="DF423" s="150"/>
      <c r="DG423" s="150"/>
      <c r="DH423" s="150"/>
      <c r="DI423" s="150"/>
      <c r="DJ423" s="150"/>
      <c r="DK423" s="150"/>
    </row>
    <row r="424" spans="1:115" s="227" customFormat="1" x14ac:dyDescent="0.25">
      <c r="A424" s="258"/>
      <c r="B424" s="258"/>
      <c r="C424" s="584"/>
      <c r="D424" s="595"/>
      <c r="E424" s="537"/>
      <c r="F424" s="541"/>
      <c r="G424" s="541"/>
      <c r="H424" s="540">
        <f t="shared" si="60"/>
        <v>0</v>
      </c>
      <c r="I424" s="537"/>
      <c r="J424" s="541"/>
      <c r="K424" s="541"/>
      <c r="L424" s="540">
        <f t="shared" si="61"/>
        <v>0</v>
      </c>
      <c r="M424" s="150"/>
      <c r="N424" s="150"/>
      <c r="O424" s="150"/>
      <c r="P424" s="150"/>
      <c r="Q424" s="150"/>
      <c r="R424" s="150"/>
      <c r="S424" s="150"/>
      <c r="T424" s="150"/>
      <c r="U424" s="150"/>
      <c r="V424" s="150"/>
      <c r="W424" s="150"/>
      <c r="X424" s="150"/>
      <c r="Y424" s="150"/>
      <c r="Z424" s="150"/>
      <c r="AA424" s="150"/>
      <c r="AB424" s="150"/>
      <c r="AC424" s="150"/>
      <c r="AD424" s="150"/>
      <c r="AE424" s="150"/>
      <c r="AF424" s="150"/>
      <c r="AG424" s="150"/>
      <c r="AH424" s="150"/>
      <c r="AI424" s="150"/>
      <c r="AJ424" s="150"/>
      <c r="AK424" s="150"/>
      <c r="AL424" s="150"/>
      <c r="AM424" s="150"/>
      <c r="AN424" s="150"/>
      <c r="AO424" s="150"/>
      <c r="AP424" s="150"/>
      <c r="AQ424" s="150"/>
      <c r="AR424" s="150"/>
      <c r="AS424" s="150"/>
      <c r="AT424" s="150"/>
      <c r="AU424" s="150"/>
      <c r="AV424" s="150"/>
      <c r="AW424" s="150"/>
      <c r="AX424" s="150"/>
      <c r="AY424" s="150"/>
      <c r="AZ424" s="150"/>
      <c r="BA424" s="150"/>
      <c r="BB424" s="150"/>
      <c r="BC424" s="150"/>
      <c r="BD424" s="150"/>
      <c r="BE424" s="150"/>
      <c r="BF424" s="150"/>
      <c r="BG424" s="150"/>
      <c r="BH424" s="150"/>
      <c r="BI424" s="150"/>
      <c r="BJ424" s="150"/>
      <c r="BK424" s="150"/>
      <c r="BL424" s="150"/>
      <c r="BM424" s="150"/>
      <c r="BN424" s="150"/>
      <c r="BO424" s="150"/>
      <c r="BP424" s="150"/>
      <c r="BQ424" s="150"/>
      <c r="BR424" s="150"/>
      <c r="BS424" s="150"/>
      <c r="BT424" s="150"/>
      <c r="BU424" s="150"/>
      <c r="BV424" s="150"/>
      <c r="BW424" s="150"/>
      <c r="BX424" s="150"/>
      <c r="BY424" s="150"/>
      <c r="BZ424" s="150"/>
      <c r="CA424" s="150"/>
      <c r="CB424" s="150"/>
      <c r="CC424" s="150"/>
      <c r="CD424" s="150"/>
      <c r="CE424" s="150"/>
      <c r="CF424" s="150"/>
      <c r="CG424" s="150"/>
      <c r="CH424" s="150"/>
      <c r="CI424" s="150"/>
      <c r="CJ424" s="150"/>
      <c r="CK424" s="150"/>
      <c r="CL424" s="150"/>
      <c r="CM424" s="150"/>
      <c r="CN424" s="150"/>
      <c r="CO424" s="150"/>
      <c r="CP424" s="150"/>
      <c r="CQ424" s="150"/>
      <c r="CR424" s="150"/>
      <c r="CS424" s="150"/>
      <c r="CT424" s="150"/>
      <c r="CU424" s="150"/>
      <c r="CV424" s="150"/>
      <c r="CW424" s="150"/>
      <c r="CX424" s="150"/>
      <c r="CY424" s="150"/>
      <c r="CZ424" s="150"/>
      <c r="DA424" s="150"/>
      <c r="DB424" s="150"/>
      <c r="DC424" s="150"/>
      <c r="DD424" s="150"/>
      <c r="DE424" s="150"/>
      <c r="DF424" s="150"/>
      <c r="DG424" s="150"/>
      <c r="DH424" s="150"/>
      <c r="DI424" s="150"/>
      <c r="DJ424" s="150"/>
      <c r="DK424" s="150"/>
    </row>
    <row r="425" spans="1:115" s="227" customFormat="1" x14ac:dyDescent="0.25">
      <c r="A425" s="258"/>
      <c r="B425" s="258"/>
      <c r="C425" s="584"/>
      <c r="D425" s="595"/>
      <c r="E425" s="537"/>
      <c r="F425" s="541"/>
      <c r="G425" s="541"/>
      <c r="H425" s="540">
        <f t="shared" si="60"/>
        <v>0</v>
      </c>
      <c r="I425" s="537"/>
      <c r="J425" s="541"/>
      <c r="K425" s="541"/>
      <c r="L425" s="540">
        <f t="shared" si="61"/>
        <v>0</v>
      </c>
      <c r="M425" s="150"/>
      <c r="N425" s="150"/>
      <c r="O425" s="150"/>
      <c r="P425" s="150"/>
      <c r="Q425" s="150"/>
      <c r="R425" s="150"/>
      <c r="S425" s="150"/>
      <c r="T425" s="150"/>
      <c r="U425" s="150"/>
      <c r="V425" s="150"/>
      <c r="W425" s="150"/>
      <c r="X425" s="150"/>
      <c r="Y425" s="150"/>
      <c r="Z425" s="150"/>
      <c r="AA425" s="150"/>
      <c r="AB425" s="150"/>
      <c r="AC425" s="150"/>
      <c r="AD425" s="150"/>
      <c r="AE425" s="150"/>
      <c r="AF425" s="150"/>
      <c r="AG425" s="150"/>
      <c r="AH425" s="150"/>
      <c r="AI425" s="150"/>
      <c r="AJ425" s="150"/>
      <c r="AK425" s="150"/>
      <c r="AL425" s="150"/>
      <c r="AM425" s="150"/>
      <c r="AN425" s="150"/>
      <c r="AO425" s="150"/>
      <c r="AP425" s="150"/>
      <c r="AQ425" s="150"/>
      <c r="AR425" s="150"/>
      <c r="AS425" s="150"/>
      <c r="AT425" s="150"/>
      <c r="AU425" s="150"/>
      <c r="AV425" s="150"/>
      <c r="AW425" s="150"/>
      <c r="AX425" s="150"/>
      <c r="AY425" s="150"/>
      <c r="AZ425" s="150"/>
      <c r="BA425" s="150"/>
      <c r="BB425" s="150"/>
      <c r="BC425" s="150"/>
      <c r="BD425" s="150"/>
      <c r="BE425" s="150"/>
      <c r="BF425" s="150"/>
      <c r="BG425" s="150"/>
      <c r="BH425" s="150"/>
      <c r="BI425" s="150"/>
      <c r="BJ425" s="150"/>
      <c r="BK425" s="150"/>
      <c r="BL425" s="150"/>
      <c r="BM425" s="150"/>
      <c r="BN425" s="150"/>
      <c r="BO425" s="150"/>
      <c r="BP425" s="150"/>
      <c r="BQ425" s="150"/>
      <c r="BR425" s="150"/>
      <c r="BS425" s="150"/>
      <c r="BT425" s="150"/>
      <c r="BU425" s="150"/>
      <c r="BV425" s="150"/>
      <c r="BW425" s="150"/>
      <c r="BX425" s="150"/>
      <c r="BY425" s="150"/>
      <c r="BZ425" s="150"/>
      <c r="CA425" s="150"/>
      <c r="CB425" s="150"/>
      <c r="CC425" s="150"/>
      <c r="CD425" s="150"/>
      <c r="CE425" s="150"/>
      <c r="CF425" s="150"/>
      <c r="CG425" s="150"/>
      <c r="CH425" s="150"/>
      <c r="CI425" s="150"/>
      <c r="CJ425" s="150"/>
      <c r="CK425" s="150"/>
      <c r="CL425" s="150"/>
      <c r="CM425" s="150"/>
      <c r="CN425" s="150"/>
      <c r="CO425" s="150"/>
      <c r="CP425" s="150"/>
      <c r="CQ425" s="150"/>
      <c r="CR425" s="150"/>
      <c r="CS425" s="150"/>
      <c r="CT425" s="150"/>
      <c r="CU425" s="150"/>
      <c r="CV425" s="150"/>
      <c r="CW425" s="150"/>
      <c r="CX425" s="150"/>
      <c r="CY425" s="150"/>
      <c r="CZ425" s="150"/>
      <c r="DA425" s="150"/>
      <c r="DB425" s="150"/>
      <c r="DC425" s="150"/>
      <c r="DD425" s="150"/>
      <c r="DE425" s="150"/>
      <c r="DF425" s="150"/>
      <c r="DG425" s="150"/>
      <c r="DH425" s="150"/>
      <c r="DI425" s="150"/>
      <c r="DJ425" s="150"/>
      <c r="DK425" s="150"/>
    </row>
    <row r="426" spans="1:115" s="227" customFormat="1" x14ac:dyDescent="0.25">
      <c r="A426" s="258"/>
      <c r="B426" s="258"/>
      <c r="C426" s="584"/>
      <c r="D426" s="560"/>
      <c r="E426" s="537"/>
      <c r="F426" s="541"/>
      <c r="G426" s="541"/>
      <c r="H426" s="536">
        <f t="shared" si="60"/>
        <v>0</v>
      </c>
      <c r="I426" s="537"/>
      <c r="J426" s="541"/>
      <c r="K426" s="541"/>
      <c r="L426" s="536">
        <f t="shared" ref="L426:L429" si="62">J426*K426</f>
        <v>0</v>
      </c>
      <c r="M426" s="150"/>
      <c r="N426" s="150"/>
      <c r="O426" s="150"/>
      <c r="P426" s="150"/>
      <c r="Q426" s="150"/>
      <c r="R426" s="150"/>
      <c r="S426" s="150"/>
      <c r="T426" s="150"/>
      <c r="U426" s="150"/>
      <c r="V426" s="150"/>
      <c r="W426" s="150"/>
      <c r="X426" s="150"/>
      <c r="Y426" s="150"/>
      <c r="Z426" s="150"/>
      <c r="AA426" s="150"/>
      <c r="AB426" s="150"/>
      <c r="AC426" s="150"/>
      <c r="AD426" s="150"/>
      <c r="AE426" s="150"/>
      <c r="AF426" s="150"/>
      <c r="AG426" s="150"/>
      <c r="AH426" s="150"/>
      <c r="AI426" s="150"/>
      <c r="AJ426" s="150"/>
      <c r="AK426" s="150"/>
      <c r="AL426" s="150"/>
      <c r="AM426" s="150"/>
      <c r="AN426" s="150"/>
      <c r="AO426" s="150"/>
      <c r="AP426" s="150"/>
      <c r="AQ426" s="150"/>
      <c r="AR426" s="150"/>
      <c r="AS426" s="150"/>
      <c r="AT426" s="150"/>
      <c r="AU426" s="150"/>
      <c r="AV426" s="150"/>
      <c r="AW426" s="150"/>
      <c r="AX426" s="150"/>
      <c r="AY426" s="150"/>
      <c r="AZ426" s="150"/>
      <c r="BA426" s="150"/>
      <c r="BB426" s="150"/>
      <c r="BC426" s="150"/>
      <c r="BD426" s="150"/>
      <c r="BE426" s="150"/>
      <c r="BF426" s="150"/>
      <c r="BG426" s="150"/>
      <c r="BH426" s="150"/>
      <c r="BI426" s="150"/>
      <c r="BJ426" s="150"/>
      <c r="BK426" s="150"/>
      <c r="BL426" s="150"/>
      <c r="BM426" s="150"/>
      <c r="BN426" s="150"/>
      <c r="BO426" s="150"/>
      <c r="BP426" s="150"/>
      <c r="BQ426" s="150"/>
      <c r="BR426" s="150"/>
      <c r="BS426" s="150"/>
      <c r="BT426" s="150"/>
      <c r="BU426" s="150"/>
      <c r="BV426" s="150"/>
      <c r="BW426" s="150"/>
      <c r="BX426" s="150"/>
      <c r="BY426" s="150"/>
      <c r="BZ426" s="150"/>
      <c r="CA426" s="150"/>
      <c r="CB426" s="150"/>
      <c r="CC426" s="150"/>
      <c r="CD426" s="150"/>
      <c r="CE426" s="150"/>
      <c r="CF426" s="150"/>
      <c r="CG426" s="150"/>
      <c r="CH426" s="150"/>
      <c r="CI426" s="150"/>
      <c r="CJ426" s="150"/>
      <c r="CK426" s="150"/>
      <c r="CL426" s="150"/>
      <c r="CM426" s="150"/>
      <c r="CN426" s="150"/>
      <c r="CO426" s="150"/>
      <c r="CP426" s="150"/>
      <c r="CQ426" s="150"/>
      <c r="CR426" s="150"/>
      <c r="CS426" s="150"/>
      <c r="CT426" s="150"/>
      <c r="CU426" s="150"/>
      <c r="CV426" s="150"/>
      <c r="CW426" s="150"/>
      <c r="CX426" s="150"/>
      <c r="CY426" s="150"/>
      <c r="CZ426" s="150"/>
      <c r="DA426" s="150"/>
      <c r="DB426" s="150"/>
      <c r="DC426" s="150"/>
      <c r="DD426" s="150"/>
      <c r="DE426" s="150"/>
      <c r="DF426" s="150"/>
      <c r="DG426" s="150"/>
      <c r="DH426" s="150"/>
      <c r="DI426" s="150"/>
      <c r="DJ426" s="150"/>
      <c r="DK426" s="150"/>
    </row>
    <row r="427" spans="1:115" s="227" customFormat="1" x14ac:dyDescent="0.25">
      <c r="A427" s="258"/>
      <c r="B427" s="258"/>
      <c r="C427" s="584"/>
      <c r="D427" s="560"/>
      <c r="E427" s="537"/>
      <c r="F427" s="541"/>
      <c r="G427" s="541"/>
      <c r="H427" s="536">
        <f t="shared" si="60"/>
        <v>0</v>
      </c>
      <c r="I427" s="537"/>
      <c r="J427" s="541"/>
      <c r="K427" s="541"/>
      <c r="L427" s="536">
        <f t="shared" si="62"/>
        <v>0</v>
      </c>
      <c r="M427" s="150"/>
      <c r="N427" s="150"/>
      <c r="O427" s="150"/>
      <c r="P427" s="150"/>
      <c r="Q427" s="150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  <c r="AK427" s="150"/>
      <c r="AL427" s="150"/>
      <c r="AM427" s="150"/>
      <c r="AN427" s="150"/>
      <c r="AO427" s="150"/>
      <c r="AP427" s="150"/>
      <c r="AQ427" s="150"/>
      <c r="AR427" s="150"/>
      <c r="AS427" s="150"/>
      <c r="AT427" s="150"/>
      <c r="AU427" s="150"/>
      <c r="AV427" s="150"/>
      <c r="AW427" s="150"/>
      <c r="AX427" s="150"/>
      <c r="AY427" s="150"/>
      <c r="AZ427" s="150"/>
      <c r="BA427" s="150"/>
      <c r="BB427" s="150"/>
      <c r="BC427" s="150"/>
      <c r="BD427" s="150"/>
      <c r="BE427" s="150"/>
      <c r="BF427" s="150"/>
      <c r="BG427" s="150"/>
      <c r="BH427" s="150"/>
      <c r="BI427" s="150"/>
      <c r="BJ427" s="150"/>
      <c r="BK427" s="150"/>
      <c r="BL427" s="150"/>
      <c r="BM427" s="150"/>
      <c r="BN427" s="150"/>
      <c r="BO427" s="150"/>
      <c r="BP427" s="150"/>
      <c r="BQ427" s="150"/>
      <c r="BR427" s="150"/>
      <c r="BS427" s="150"/>
      <c r="BT427" s="150"/>
      <c r="BU427" s="150"/>
      <c r="BV427" s="150"/>
      <c r="BW427" s="150"/>
      <c r="BX427" s="150"/>
      <c r="BY427" s="150"/>
      <c r="BZ427" s="150"/>
      <c r="CA427" s="150"/>
      <c r="CB427" s="150"/>
      <c r="CC427" s="150"/>
      <c r="CD427" s="150"/>
      <c r="CE427" s="150"/>
      <c r="CF427" s="150"/>
      <c r="CG427" s="150"/>
      <c r="CH427" s="150"/>
      <c r="CI427" s="150"/>
      <c r="CJ427" s="150"/>
      <c r="CK427" s="150"/>
      <c r="CL427" s="150"/>
      <c r="CM427" s="150"/>
      <c r="CN427" s="150"/>
      <c r="CO427" s="150"/>
      <c r="CP427" s="150"/>
      <c r="CQ427" s="150"/>
      <c r="CR427" s="150"/>
      <c r="CS427" s="150"/>
      <c r="CT427" s="150"/>
      <c r="CU427" s="150"/>
      <c r="CV427" s="150"/>
      <c r="CW427" s="150"/>
      <c r="CX427" s="150"/>
      <c r="CY427" s="150"/>
      <c r="CZ427" s="150"/>
      <c r="DA427" s="150"/>
      <c r="DB427" s="150"/>
      <c r="DC427" s="150"/>
      <c r="DD427" s="150"/>
      <c r="DE427" s="150"/>
      <c r="DF427" s="150"/>
      <c r="DG427" s="150"/>
      <c r="DH427" s="150"/>
      <c r="DI427" s="150"/>
      <c r="DJ427" s="150"/>
      <c r="DK427" s="150"/>
    </row>
    <row r="428" spans="1:115" ht="12.6" customHeight="1" x14ac:dyDescent="0.25">
      <c r="A428" s="258"/>
      <c r="B428" s="258"/>
      <c r="C428" s="584"/>
      <c r="D428" s="558"/>
      <c r="E428" s="534"/>
      <c r="F428" s="253"/>
      <c r="G428" s="541"/>
      <c r="H428" s="536">
        <f t="shared" si="60"/>
        <v>0</v>
      </c>
      <c r="I428" s="534"/>
      <c r="J428" s="253"/>
      <c r="K428" s="541"/>
      <c r="L428" s="536">
        <f t="shared" si="62"/>
        <v>0</v>
      </c>
    </row>
    <row r="429" spans="1:115" ht="12.6" customHeight="1" x14ac:dyDescent="0.25">
      <c r="A429" s="258"/>
      <c r="B429" s="258"/>
      <c r="C429" s="584"/>
      <c r="D429" s="558"/>
      <c r="E429" s="534"/>
      <c r="F429" s="253"/>
      <c r="G429" s="541"/>
      <c r="H429" s="536">
        <f t="shared" si="60"/>
        <v>0</v>
      </c>
      <c r="I429" s="534"/>
      <c r="J429" s="253"/>
      <c r="K429" s="541"/>
      <c r="L429" s="536">
        <f t="shared" si="62"/>
        <v>0</v>
      </c>
    </row>
    <row r="430" spans="1:115" x14ac:dyDescent="0.25">
      <c r="A430" s="258"/>
      <c r="B430" s="258"/>
      <c r="C430" s="584"/>
      <c r="D430" s="559" t="s">
        <v>0</v>
      </c>
      <c r="E430" s="534"/>
      <c r="F430" s="542">
        <f>SUM(F417:F429)</f>
        <v>0</v>
      </c>
      <c r="G430" s="543" t="e">
        <f>H430/F430</f>
        <v>#DIV/0!</v>
      </c>
      <c r="H430" s="544">
        <f>SUM(H417:H429)</f>
        <v>0</v>
      </c>
      <c r="I430" s="534"/>
      <c r="J430" s="542">
        <f>SUM(J417:J429)</f>
        <v>0</v>
      </c>
      <c r="K430" s="543" t="e">
        <f>L430/J430</f>
        <v>#DIV/0!</v>
      </c>
      <c r="L430" s="544">
        <f>SUM(L417:L429)</f>
        <v>0</v>
      </c>
    </row>
    <row r="431" spans="1:115" x14ac:dyDescent="0.25">
      <c r="A431" s="545"/>
      <c r="B431" s="545"/>
      <c r="C431" s="586"/>
      <c r="D431" s="561"/>
      <c r="E431" s="546"/>
      <c r="F431" s="546"/>
      <c r="G431" s="547"/>
      <c r="H431" s="548"/>
      <c r="I431" s="546"/>
      <c r="J431" s="546"/>
      <c r="K431" s="547"/>
      <c r="L431" s="548"/>
    </row>
    <row r="432" spans="1:115" x14ac:dyDescent="0.25">
      <c r="A432" s="258"/>
      <c r="B432" s="258"/>
      <c r="C432" s="584"/>
      <c r="D432" s="558"/>
      <c r="E432" s="534"/>
      <c r="F432" s="253"/>
      <c r="G432" s="535"/>
      <c r="H432" s="536">
        <f t="shared" ref="H432:H446" si="63">F432*G432</f>
        <v>0</v>
      </c>
      <c r="I432" s="534"/>
      <c r="J432" s="253"/>
      <c r="K432" s="535"/>
      <c r="L432" s="536">
        <f t="shared" ref="L432:L443" si="64">J432*K432</f>
        <v>0</v>
      </c>
    </row>
    <row r="433" spans="1:115" x14ac:dyDescent="0.25">
      <c r="A433" s="258"/>
      <c r="B433" s="258"/>
      <c r="C433" s="584"/>
      <c r="D433" s="559">
        <f>D418+1</f>
        <v>45652</v>
      </c>
      <c r="E433" s="534"/>
      <c r="F433" s="253"/>
      <c r="G433" s="541"/>
      <c r="H433" s="536">
        <f t="shared" si="63"/>
        <v>0</v>
      </c>
      <c r="I433" s="534"/>
      <c r="J433" s="253"/>
      <c r="K433" s="541"/>
      <c r="L433" s="536">
        <f t="shared" si="64"/>
        <v>0</v>
      </c>
    </row>
    <row r="434" spans="1:115" s="227" customFormat="1" x14ac:dyDescent="0.25">
      <c r="A434" s="258"/>
      <c r="B434" s="258"/>
      <c r="C434" s="584"/>
      <c r="D434" s="560"/>
      <c r="E434" s="537"/>
      <c r="F434" s="541"/>
      <c r="G434" s="541"/>
      <c r="H434" s="540">
        <f t="shared" si="63"/>
        <v>0</v>
      </c>
      <c r="I434" s="537"/>
      <c r="J434" s="541"/>
      <c r="K434" s="541"/>
      <c r="L434" s="540">
        <f t="shared" si="64"/>
        <v>0</v>
      </c>
      <c r="M434" s="150"/>
      <c r="N434" s="150"/>
      <c r="O434" s="150"/>
      <c r="P434" s="150"/>
      <c r="Q434" s="150"/>
      <c r="R434" s="150"/>
      <c r="S434" s="150"/>
      <c r="T434" s="150"/>
      <c r="U434" s="150"/>
      <c r="V434" s="150"/>
      <c r="W434" s="150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  <c r="AK434" s="150"/>
      <c r="AL434" s="150"/>
      <c r="AM434" s="150"/>
      <c r="AN434" s="150"/>
      <c r="AO434" s="150"/>
      <c r="AP434" s="150"/>
      <c r="AQ434" s="150"/>
      <c r="AR434" s="150"/>
      <c r="AS434" s="150"/>
      <c r="AT434" s="150"/>
      <c r="AU434" s="150"/>
      <c r="AV434" s="150"/>
      <c r="AW434" s="150"/>
      <c r="AX434" s="150"/>
      <c r="AY434" s="150"/>
      <c r="AZ434" s="150"/>
      <c r="BA434" s="150"/>
      <c r="BB434" s="150"/>
      <c r="BC434" s="150"/>
      <c r="BD434" s="150"/>
      <c r="BE434" s="150"/>
      <c r="BF434" s="150"/>
      <c r="BG434" s="150"/>
      <c r="BH434" s="150"/>
      <c r="BI434" s="150"/>
      <c r="BJ434" s="150"/>
      <c r="BK434" s="150"/>
      <c r="BL434" s="150"/>
      <c r="BM434" s="150"/>
      <c r="BN434" s="150"/>
      <c r="BO434" s="150"/>
      <c r="BP434" s="150"/>
      <c r="BQ434" s="150"/>
      <c r="BR434" s="150"/>
      <c r="BS434" s="150"/>
      <c r="BT434" s="150"/>
      <c r="BU434" s="150"/>
      <c r="BV434" s="150"/>
      <c r="BW434" s="150"/>
      <c r="BX434" s="150"/>
      <c r="BY434" s="150"/>
      <c r="BZ434" s="150"/>
      <c r="CA434" s="150"/>
      <c r="CB434" s="150"/>
      <c r="CC434" s="150"/>
      <c r="CD434" s="150"/>
      <c r="CE434" s="150"/>
      <c r="CF434" s="150"/>
      <c r="CG434" s="150"/>
      <c r="CH434" s="150"/>
      <c r="CI434" s="150"/>
      <c r="CJ434" s="150"/>
      <c r="CK434" s="150"/>
      <c r="CL434" s="150"/>
      <c r="CM434" s="150"/>
      <c r="CN434" s="150"/>
      <c r="CO434" s="150"/>
      <c r="CP434" s="150"/>
      <c r="CQ434" s="150"/>
      <c r="CR434" s="150"/>
      <c r="CS434" s="150"/>
      <c r="CT434" s="150"/>
      <c r="CU434" s="150"/>
      <c r="CV434" s="150"/>
      <c r="CW434" s="150"/>
      <c r="CX434" s="150"/>
      <c r="CY434" s="150"/>
      <c r="CZ434" s="150"/>
      <c r="DA434" s="150"/>
      <c r="DB434" s="150"/>
      <c r="DC434" s="150"/>
      <c r="DD434" s="150"/>
      <c r="DE434" s="150"/>
      <c r="DF434" s="150"/>
      <c r="DG434" s="150"/>
      <c r="DH434" s="150"/>
      <c r="DI434" s="150"/>
      <c r="DJ434" s="150"/>
      <c r="DK434" s="150"/>
    </row>
    <row r="435" spans="1:115" s="227" customFormat="1" x14ac:dyDescent="0.25">
      <c r="A435" s="258"/>
      <c r="B435" s="258"/>
      <c r="C435" s="584"/>
      <c r="D435" s="560"/>
      <c r="E435" s="537"/>
      <c r="F435" s="541"/>
      <c r="G435" s="541"/>
      <c r="H435" s="540">
        <f t="shared" si="63"/>
        <v>0</v>
      </c>
      <c r="I435" s="537"/>
      <c r="J435" s="541"/>
      <c r="K435" s="541"/>
      <c r="L435" s="540">
        <f t="shared" si="64"/>
        <v>0</v>
      </c>
      <c r="M435" s="150"/>
      <c r="N435" s="150"/>
      <c r="O435" s="150"/>
      <c r="P435" s="150"/>
      <c r="Q435" s="150"/>
      <c r="R435" s="150"/>
      <c r="S435" s="150"/>
      <c r="T435" s="150"/>
      <c r="U435" s="150"/>
      <c r="V435" s="150"/>
      <c r="W435" s="150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  <c r="AK435" s="150"/>
      <c r="AL435" s="150"/>
      <c r="AM435" s="150"/>
      <c r="AN435" s="150"/>
      <c r="AO435" s="150"/>
      <c r="AP435" s="150"/>
      <c r="AQ435" s="150"/>
      <c r="AR435" s="150"/>
      <c r="AS435" s="150"/>
      <c r="AT435" s="150"/>
      <c r="AU435" s="150"/>
      <c r="AV435" s="150"/>
      <c r="AW435" s="150"/>
      <c r="AX435" s="150"/>
      <c r="AY435" s="150"/>
      <c r="AZ435" s="150"/>
      <c r="BA435" s="150"/>
      <c r="BB435" s="150"/>
      <c r="BC435" s="150"/>
      <c r="BD435" s="150"/>
      <c r="BE435" s="150"/>
      <c r="BF435" s="150"/>
      <c r="BG435" s="150"/>
      <c r="BH435" s="150"/>
      <c r="BI435" s="150"/>
      <c r="BJ435" s="150"/>
      <c r="BK435" s="150"/>
      <c r="BL435" s="150"/>
      <c r="BM435" s="150"/>
      <c r="BN435" s="150"/>
      <c r="BO435" s="150"/>
      <c r="BP435" s="150"/>
      <c r="BQ435" s="150"/>
      <c r="BR435" s="150"/>
      <c r="BS435" s="150"/>
      <c r="BT435" s="150"/>
      <c r="BU435" s="150"/>
      <c r="BV435" s="150"/>
      <c r="BW435" s="150"/>
      <c r="BX435" s="150"/>
      <c r="BY435" s="150"/>
      <c r="BZ435" s="150"/>
      <c r="CA435" s="150"/>
      <c r="CB435" s="150"/>
      <c r="CC435" s="150"/>
      <c r="CD435" s="150"/>
      <c r="CE435" s="150"/>
      <c r="CF435" s="150"/>
      <c r="CG435" s="150"/>
      <c r="CH435" s="150"/>
      <c r="CI435" s="150"/>
      <c r="CJ435" s="150"/>
      <c r="CK435" s="150"/>
      <c r="CL435" s="150"/>
      <c r="CM435" s="150"/>
      <c r="CN435" s="150"/>
      <c r="CO435" s="150"/>
      <c r="CP435" s="150"/>
      <c r="CQ435" s="150"/>
      <c r="CR435" s="150"/>
      <c r="CS435" s="150"/>
      <c r="CT435" s="150"/>
      <c r="CU435" s="150"/>
      <c r="CV435" s="150"/>
      <c r="CW435" s="150"/>
      <c r="CX435" s="150"/>
      <c r="CY435" s="150"/>
      <c r="CZ435" s="150"/>
      <c r="DA435" s="150"/>
      <c r="DB435" s="150"/>
      <c r="DC435" s="150"/>
      <c r="DD435" s="150"/>
      <c r="DE435" s="150"/>
      <c r="DF435" s="150"/>
      <c r="DG435" s="150"/>
      <c r="DH435" s="150"/>
      <c r="DI435" s="150"/>
      <c r="DJ435" s="150"/>
      <c r="DK435" s="150"/>
    </row>
    <row r="436" spans="1:115" s="227" customFormat="1" x14ac:dyDescent="0.25">
      <c r="A436" s="258"/>
      <c r="B436" s="258"/>
      <c r="C436" s="584"/>
      <c r="D436" s="560"/>
      <c r="E436" s="537"/>
      <c r="F436" s="541"/>
      <c r="G436" s="541"/>
      <c r="H436" s="540">
        <f t="shared" si="63"/>
        <v>0</v>
      </c>
      <c r="I436" s="537"/>
      <c r="J436" s="541"/>
      <c r="K436" s="541"/>
      <c r="L436" s="540">
        <f t="shared" si="64"/>
        <v>0</v>
      </c>
      <c r="M436" s="150"/>
      <c r="N436" s="150"/>
      <c r="O436" s="150"/>
      <c r="P436" s="150"/>
      <c r="Q436" s="150"/>
      <c r="R436" s="150"/>
      <c r="S436" s="150"/>
      <c r="T436" s="150"/>
      <c r="U436" s="150"/>
      <c r="V436" s="150"/>
      <c r="W436" s="150"/>
      <c r="X436" s="150"/>
      <c r="Y436" s="150"/>
      <c r="Z436" s="150"/>
      <c r="AA436" s="150"/>
      <c r="AB436" s="150"/>
      <c r="AC436" s="150"/>
      <c r="AD436" s="150"/>
      <c r="AE436" s="150"/>
      <c r="AF436" s="150"/>
      <c r="AG436" s="150"/>
      <c r="AH436" s="150"/>
      <c r="AI436" s="150"/>
      <c r="AJ436" s="150"/>
      <c r="AK436" s="150"/>
      <c r="AL436" s="150"/>
      <c r="AM436" s="150"/>
      <c r="AN436" s="150"/>
      <c r="AO436" s="150"/>
      <c r="AP436" s="150"/>
      <c r="AQ436" s="150"/>
      <c r="AR436" s="150"/>
      <c r="AS436" s="150"/>
      <c r="AT436" s="150"/>
      <c r="AU436" s="150"/>
      <c r="AV436" s="150"/>
      <c r="AW436" s="150"/>
      <c r="AX436" s="150"/>
      <c r="AY436" s="150"/>
      <c r="AZ436" s="150"/>
      <c r="BA436" s="150"/>
      <c r="BB436" s="150"/>
      <c r="BC436" s="150"/>
      <c r="BD436" s="150"/>
      <c r="BE436" s="150"/>
      <c r="BF436" s="150"/>
      <c r="BG436" s="150"/>
      <c r="BH436" s="150"/>
      <c r="BI436" s="150"/>
      <c r="BJ436" s="150"/>
      <c r="BK436" s="150"/>
      <c r="BL436" s="150"/>
      <c r="BM436" s="150"/>
      <c r="BN436" s="150"/>
      <c r="BO436" s="150"/>
      <c r="BP436" s="150"/>
      <c r="BQ436" s="150"/>
      <c r="BR436" s="150"/>
      <c r="BS436" s="150"/>
      <c r="BT436" s="150"/>
      <c r="BU436" s="150"/>
      <c r="BV436" s="150"/>
      <c r="BW436" s="150"/>
      <c r="BX436" s="150"/>
      <c r="BY436" s="150"/>
      <c r="BZ436" s="150"/>
      <c r="CA436" s="150"/>
      <c r="CB436" s="150"/>
      <c r="CC436" s="150"/>
      <c r="CD436" s="150"/>
      <c r="CE436" s="150"/>
      <c r="CF436" s="150"/>
      <c r="CG436" s="150"/>
      <c r="CH436" s="150"/>
      <c r="CI436" s="150"/>
      <c r="CJ436" s="150"/>
      <c r="CK436" s="150"/>
      <c r="CL436" s="150"/>
      <c r="CM436" s="150"/>
      <c r="CN436" s="150"/>
      <c r="CO436" s="150"/>
      <c r="CP436" s="150"/>
      <c r="CQ436" s="150"/>
      <c r="CR436" s="150"/>
      <c r="CS436" s="150"/>
      <c r="CT436" s="150"/>
      <c r="CU436" s="150"/>
      <c r="CV436" s="150"/>
      <c r="CW436" s="150"/>
      <c r="CX436" s="150"/>
      <c r="CY436" s="150"/>
      <c r="CZ436" s="150"/>
      <c r="DA436" s="150"/>
      <c r="DB436" s="150"/>
      <c r="DC436" s="150"/>
      <c r="DD436" s="150"/>
      <c r="DE436" s="150"/>
      <c r="DF436" s="150"/>
      <c r="DG436" s="150"/>
      <c r="DH436" s="150"/>
      <c r="DI436" s="150"/>
      <c r="DJ436" s="150"/>
      <c r="DK436" s="150"/>
    </row>
    <row r="437" spans="1:115" s="227" customFormat="1" x14ac:dyDescent="0.25">
      <c r="A437" s="258"/>
      <c r="B437" s="258"/>
      <c r="C437" s="584"/>
      <c r="D437" s="560"/>
      <c r="E437" s="537"/>
      <c r="F437" s="541"/>
      <c r="G437" s="541"/>
      <c r="H437" s="540">
        <f t="shared" si="63"/>
        <v>0</v>
      </c>
      <c r="I437" s="537"/>
      <c r="J437" s="541"/>
      <c r="K437" s="541"/>
      <c r="L437" s="540">
        <f t="shared" si="64"/>
        <v>0</v>
      </c>
      <c r="M437" s="150"/>
      <c r="N437" s="150"/>
      <c r="O437" s="150"/>
      <c r="P437" s="150"/>
      <c r="Q437" s="150"/>
      <c r="R437" s="150"/>
      <c r="S437" s="150"/>
      <c r="T437" s="150"/>
      <c r="U437" s="150"/>
      <c r="V437" s="150"/>
      <c r="W437" s="150"/>
      <c r="X437" s="150"/>
      <c r="Y437" s="150"/>
      <c r="Z437" s="150"/>
      <c r="AA437" s="150"/>
      <c r="AB437" s="150"/>
      <c r="AC437" s="150"/>
      <c r="AD437" s="150"/>
      <c r="AE437" s="150"/>
      <c r="AF437" s="150"/>
      <c r="AG437" s="150"/>
      <c r="AH437" s="150"/>
      <c r="AI437" s="150"/>
      <c r="AJ437" s="150"/>
      <c r="AK437" s="150"/>
      <c r="AL437" s="150"/>
      <c r="AM437" s="150"/>
      <c r="AN437" s="150"/>
      <c r="AO437" s="150"/>
      <c r="AP437" s="150"/>
      <c r="AQ437" s="150"/>
      <c r="AR437" s="150"/>
      <c r="AS437" s="150"/>
      <c r="AT437" s="150"/>
      <c r="AU437" s="150"/>
      <c r="AV437" s="150"/>
      <c r="AW437" s="150"/>
      <c r="AX437" s="150"/>
      <c r="AY437" s="150"/>
      <c r="AZ437" s="150"/>
      <c r="BA437" s="150"/>
      <c r="BB437" s="150"/>
      <c r="BC437" s="150"/>
      <c r="BD437" s="150"/>
      <c r="BE437" s="150"/>
      <c r="BF437" s="150"/>
      <c r="BG437" s="150"/>
      <c r="BH437" s="150"/>
      <c r="BI437" s="150"/>
      <c r="BJ437" s="150"/>
      <c r="BK437" s="150"/>
      <c r="BL437" s="150"/>
      <c r="BM437" s="150"/>
      <c r="BN437" s="150"/>
      <c r="BO437" s="150"/>
      <c r="BP437" s="150"/>
      <c r="BQ437" s="150"/>
      <c r="BR437" s="150"/>
      <c r="BS437" s="150"/>
      <c r="BT437" s="150"/>
      <c r="BU437" s="150"/>
      <c r="BV437" s="150"/>
      <c r="BW437" s="150"/>
      <c r="BX437" s="150"/>
      <c r="BY437" s="150"/>
      <c r="BZ437" s="150"/>
      <c r="CA437" s="150"/>
      <c r="CB437" s="150"/>
      <c r="CC437" s="150"/>
      <c r="CD437" s="150"/>
      <c r="CE437" s="150"/>
      <c r="CF437" s="150"/>
      <c r="CG437" s="150"/>
      <c r="CH437" s="150"/>
      <c r="CI437" s="150"/>
      <c r="CJ437" s="150"/>
      <c r="CK437" s="150"/>
      <c r="CL437" s="150"/>
      <c r="CM437" s="150"/>
      <c r="CN437" s="150"/>
      <c r="CO437" s="150"/>
      <c r="CP437" s="150"/>
      <c r="CQ437" s="150"/>
      <c r="CR437" s="150"/>
      <c r="CS437" s="150"/>
      <c r="CT437" s="150"/>
      <c r="CU437" s="150"/>
      <c r="CV437" s="150"/>
      <c r="CW437" s="150"/>
      <c r="CX437" s="150"/>
      <c r="CY437" s="150"/>
      <c r="CZ437" s="150"/>
      <c r="DA437" s="150"/>
      <c r="DB437" s="150"/>
      <c r="DC437" s="150"/>
      <c r="DD437" s="150"/>
      <c r="DE437" s="150"/>
      <c r="DF437" s="150"/>
      <c r="DG437" s="150"/>
      <c r="DH437" s="150"/>
      <c r="DI437" s="150"/>
      <c r="DJ437" s="150"/>
      <c r="DK437" s="150"/>
    </row>
    <row r="438" spans="1:115" s="227" customFormat="1" x14ac:dyDescent="0.25">
      <c r="A438" s="258"/>
      <c r="B438" s="258"/>
      <c r="C438" s="584"/>
      <c r="D438" s="560"/>
      <c r="E438" s="537"/>
      <c r="F438" s="541"/>
      <c r="G438" s="541"/>
      <c r="H438" s="540">
        <f t="shared" si="63"/>
        <v>0</v>
      </c>
      <c r="I438" s="537"/>
      <c r="J438" s="541"/>
      <c r="K438" s="541"/>
      <c r="L438" s="540">
        <f t="shared" si="64"/>
        <v>0</v>
      </c>
      <c r="M438" s="150"/>
      <c r="N438" s="150"/>
      <c r="O438" s="150"/>
      <c r="P438" s="150"/>
      <c r="Q438" s="150"/>
      <c r="R438" s="150"/>
      <c r="S438" s="150"/>
      <c r="T438" s="150"/>
      <c r="U438" s="150"/>
      <c r="V438" s="150"/>
      <c r="W438" s="150"/>
      <c r="X438" s="150"/>
      <c r="Y438" s="150"/>
      <c r="Z438" s="150"/>
      <c r="AA438" s="150"/>
      <c r="AB438" s="150"/>
      <c r="AC438" s="150"/>
      <c r="AD438" s="150"/>
      <c r="AE438" s="150"/>
      <c r="AF438" s="150"/>
      <c r="AG438" s="150"/>
      <c r="AH438" s="150"/>
      <c r="AI438" s="150"/>
      <c r="AJ438" s="150"/>
      <c r="AK438" s="150"/>
      <c r="AL438" s="150"/>
      <c r="AM438" s="150"/>
      <c r="AN438" s="150"/>
      <c r="AO438" s="150"/>
      <c r="AP438" s="150"/>
      <c r="AQ438" s="150"/>
      <c r="AR438" s="150"/>
      <c r="AS438" s="150"/>
      <c r="AT438" s="150"/>
      <c r="AU438" s="150"/>
      <c r="AV438" s="150"/>
      <c r="AW438" s="150"/>
      <c r="AX438" s="150"/>
      <c r="AY438" s="150"/>
      <c r="AZ438" s="150"/>
      <c r="BA438" s="150"/>
      <c r="BB438" s="150"/>
      <c r="BC438" s="150"/>
      <c r="BD438" s="150"/>
      <c r="BE438" s="150"/>
      <c r="BF438" s="150"/>
      <c r="BG438" s="150"/>
      <c r="BH438" s="150"/>
      <c r="BI438" s="150"/>
      <c r="BJ438" s="150"/>
      <c r="BK438" s="150"/>
      <c r="BL438" s="150"/>
      <c r="BM438" s="150"/>
      <c r="BN438" s="150"/>
      <c r="BO438" s="150"/>
      <c r="BP438" s="150"/>
      <c r="BQ438" s="150"/>
      <c r="BR438" s="150"/>
      <c r="BS438" s="150"/>
      <c r="BT438" s="150"/>
      <c r="BU438" s="150"/>
      <c r="BV438" s="150"/>
      <c r="BW438" s="150"/>
      <c r="BX438" s="150"/>
      <c r="BY438" s="150"/>
      <c r="BZ438" s="150"/>
      <c r="CA438" s="150"/>
      <c r="CB438" s="150"/>
      <c r="CC438" s="150"/>
      <c r="CD438" s="150"/>
      <c r="CE438" s="150"/>
      <c r="CF438" s="150"/>
      <c r="CG438" s="150"/>
      <c r="CH438" s="150"/>
      <c r="CI438" s="150"/>
      <c r="CJ438" s="150"/>
      <c r="CK438" s="150"/>
      <c r="CL438" s="150"/>
      <c r="CM438" s="150"/>
      <c r="CN438" s="150"/>
      <c r="CO438" s="150"/>
      <c r="CP438" s="150"/>
      <c r="CQ438" s="150"/>
      <c r="CR438" s="150"/>
      <c r="CS438" s="150"/>
      <c r="CT438" s="150"/>
      <c r="CU438" s="150"/>
      <c r="CV438" s="150"/>
      <c r="CW438" s="150"/>
      <c r="CX438" s="150"/>
      <c r="CY438" s="150"/>
      <c r="CZ438" s="150"/>
      <c r="DA438" s="150"/>
      <c r="DB438" s="150"/>
      <c r="DC438" s="150"/>
      <c r="DD438" s="150"/>
      <c r="DE438" s="150"/>
      <c r="DF438" s="150"/>
      <c r="DG438" s="150"/>
      <c r="DH438" s="150"/>
      <c r="DI438" s="150"/>
      <c r="DJ438" s="150"/>
      <c r="DK438" s="150"/>
    </row>
    <row r="439" spans="1:115" s="227" customFormat="1" x14ac:dyDescent="0.25">
      <c r="A439" s="258"/>
      <c r="B439" s="258"/>
      <c r="C439" s="584"/>
      <c r="D439" s="560"/>
      <c r="E439" s="537"/>
      <c r="F439" s="541"/>
      <c r="G439" s="541"/>
      <c r="H439" s="540">
        <f t="shared" si="63"/>
        <v>0</v>
      </c>
      <c r="I439" s="537"/>
      <c r="J439" s="541"/>
      <c r="K439" s="541"/>
      <c r="L439" s="540">
        <f t="shared" si="64"/>
        <v>0</v>
      </c>
      <c r="M439" s="150"/>
      <c r="N439" s="150"/>
      <c r="O439" s="150"/>
      <c r="P439" s="150"/>
      <c r="Q439" s="150"/>
      <c r="R439" s="150"/>
      <c r="S439" s="150"/>
      <c r="T439" s="150"/>
      <c r="U439" s="150"/>
      <c r="V439" s="150"/>
      <c r="W439" s="150"/>
      <c r="X439" s="150"/>
      <c r="Y439" s="150"/>
      <c r="Z439" s="150"/>
      <c r="AA439" s="150"/>
      <c r="AB439" s="150"/>
      <c r="AC439" s="150"/>
      <c r="AD439" s="150"/>
      <c r="AE439" s="150"/>
      <c r="AF439" s="150"/>
      <c r="AG439" s="150"/>
      <c r="AH439" s="150"/>
      <c r="AI439" s="150"/>
      <c r="AJ439" s="150"/>
      <c r="AK439" s="150"/>
      <c r="AL439" s="150"/>
      <c r="AM439" s="150"/>
      <c r="AN439" s="150"/>
      <c r="AO439" s="150"/>
      <c r="AP439" s="150"/>
      <c r="AQ439" s="150"/>
      <c r="AR439" s="150"/>
      <c r="AS439" s="150"/>
      <c r="AT439" s="150"/>
      <c r="AU439" s="150"/>
      <c r="AV439" s="150"/>
      <c r="AW439" s="150"/>
      <c r="AX439" s="150"/>
      <c r="AY439" s="150"/>
      <c r="AZ439" s="150"/>
      <c r="BA439" s="150"/>
      <c r="BB439" s="150"/>
      <c r="BC439" s="150"/>
      <c r="BD439" s="150"/>
      <c r="BE439" s="150"/>
      <c r="BF439" s="150"/>
      <c r="BG439" s="150"/>
      <c r="BH439" s="150"/>
      <c r="BI439" s="150"/>
      <c r="BJ439" s="150"/>
      <c r="BK439" s="150"/>
      <c r="BL439" s="150"/>
      <c r="BM439" s="150"/>
      <c r="BN439" s="150"/>
      <c r="BO439" s="150"/>
      <c r="BP439" s="150"/>
      <c r="BQ439" s="150"/>
      <c r="BR439" s="150"/>
      <c r="BS439" s="150"/>
      <c r="BT439" s="150"/>
      <c r="BU439" s="150"/>
      <c r="BV439" s="150"/>
      <c r="BW439" s="150"/>
      <c r="BX439" s="150"/>
      <c r="BY439" s="150"/>
      <c r="BZ439" s="150"/>
      <c r="CA439" s="150"/>
      <c r="CB439" s="150"/>
      <c r="CC439" s="150"/>
      <c r="CD439" s="150"/>
      <c r="CE439" s="150"/>
      <c r="CF439" s="150"/>
      <c r="CG439" s="150"/>
      <c r="CH439" s="150"/>
      <c r="CI439" s="150"/>
      <c r="CJ439" s="150"/>
      <c r="CK439" s="150"/>
      <c r="CL439" s="150"/>
      <c r="CM439" s="150"/>
      <c r="CN439" s="150"/>
      <c r="CO439" s="150"/>
      <c r="CP439" s="150"/>
      <c r="CQ439" s="150"/>
      <c r="CR439" s="150"/>
      <c r="CS439" s="150"/>
      <c r="CT439" s="150"/>
      <c r="CU439" s="150"/>
      <c r="CV439" s="150"/>
      <c r="CW439" s="150"/>
      <c r="CX439" s="150"/>
      <c r="CY439" s="150"/>
      <c r="CZ439" s="150"/>
      <c r="DA439" s="150"/>
      <c r="DB439" s="150"/>
      <c r="DC439" s="150"/>
      <c r="DD439" s="150"/>
      <c r="DE439" s="150"/>
      <c r="DF439" s="150"/>
      <c r="DG439" s="150"/>
      <c r="DH439" s="150"/>
      <c r="DI439" s="150"/>
      <c r="DJ439" s="150"/>
      <c r="DK439" s="150"/>
    </row>
    <row r="440" spans="1:115" s="227" customFormat="1" x14ac:dyDescent="0.25">
      <c r="A440" s="258"/>
      <c r="B440" s="258"/>
      <c r="C440" s="584"/>
      <c r="D440" s="560"/>
      <c r="E440" s="537"/>
      <c r="F440" s="541"/>
      <c r="G440" s="541"/>
      <c r="H440" s="540">
        <f t="shared" si="63"/>
        <v>0</v>
      </c>
      <c r="I440" s="537"/>
      <c r="J440" s="541"/>
      <c r="K440" s="541"/>
      <c r="L440" s="540">
        <f t="shared" si="64"/>
        <v>0</v>
      </c>
      <c r="M440" s="150"/>
      <c r="N440" s="150"/>
      <c r="O440" s="150"/>
      <c r="P440" s="150"/>
      <c r="Q440" s="150"/>
      <c r="R440" s="150"/>
      <c r="S440" s="150"/>
      <c r="T440" s="150"/>
      <c r="U440" s="150"/>
      <c r="V440" s="150"/>
      <c r="W440" s="150"/>
      <c r="X440" s="150"/>
      <c r="Y440" s="150"/>
      <c r="Z440" s="150"/>
      <c r="AA440" s="150"/>
      <c r="AB440" s="150"/>
      <c r="AC440" s="150"/>
      <c r="AD440" s="150"/>
      <c r="AE440" s="150"/>
      <c r="AF440" s="150"/>
      <c r="AG440" s="150"/>
      <c r="AH440" s="150"/>
      <c r="AI440" s="150"/>
      <c r="AJ440" s="150"/>
      <c r="AK440" s="150"/>
      <c r="AL440" s="150"/>
      <c r="AM440" s="150"/>
      <c r="AN440" s="150"/>
      <c r="AO440" s="150"/>
      <c r="AP440" s="150"/>
      <c r="AQ440" s="150"/>
      <c r="AR440" s="150"/>
      <c r="AS440" s="150"/>
      <c r="AT440" s="150"/>
      <c r="AU440" s="150"/>
      <c r="AV440" s="150"/>
      <c r="AW440" s="150"/>
      <c r="AX440" s="150"/>
      <c r="AY440" s="150"/>
      <c r="AZ440" s="150"/>
      <c r="BA440" s="150"/>
      <c r="BB440" s="150"/>
      <c r="BC440" s="150"/>
      <c r="BD440" s="150"/>
      <c r="BE440" s="150"/>
      <c r="BF440" s="150"/>
      <c r="BG440" s="150"/>
      <c r="BH440" s="150"/>
      <c r="BI440" s="150"/>
      <c r="BJ440" s="150"/>
      <c r="BK440" s="150"/>
      <c r="BL440" s="150"/>
      <c r="BM440" s="150"/>
      <c r="BN440" s="150"/>
      <c r="BO440" s="150"/>
      <c r="BP440" s="150"/>
      <c r="BQ440" s="150"/>
      <c r="BR440" s="150"/>
      <c r="BS440" s="150"/>
      <c r="BT440" s="150"/>
      <c r="BU440" s="150"/>
      <c r="BV440" s="150"/>
      <c r="BW440" s="150"/>
      <c r="BX440" s="150"/>
      <c r="BY440" s="150"/>
      <c r="BZ440" s="150"/>
      <c r="CA440" s="150"/>
      <c r="CB440" s="150"/>
      <c r="CC440" s="150"/>
      <c r="CD440" s="150"/>
      <c r="CE440" s="150"/>
      <c r="CF440" s="150"/>
      <c r="CG440" s="150"/>
      <c r="CH440" s="150"/>
      <c r="CI440" s="150"/>
      <c r="CJ440" s="150"/>
      <c r="CK440" s="150"/>
      <c r="CL440" s="150"/>
      <c r="CM440" s="150"/>
      <c r="CN440" s="150"/>
      <c r="CO440" s="150"/>
      <c r="CP440" s="150"/>
      <c r="CQ440" s="150"/>
      <c r="CR440" s="150"/>
      <c r="CS440" s="150"/>
      <c r="CT440" s="150"/>
      <c r="CU440" s="150"/>
      <c r="CV440" s="150"/>
      <c r="CW440" s="150"/>
      <c r="CX440" s="150"/>
      <c r="CY440" s="150"/>
      <c r="CZ440" s="150"/>
      <c r="DA440" s="150"/>
      <c r="DB440" s="150"/>
      <c r="DC440" s="150"/>
      <c r="DD440" s="150"/>
      <c r="DE440" s="150"/>
      <c r="DF440" s="150"/>
      <c r="DG440" s="150"/>
      <c r="DH440" s="150"/>
      <c r="DI440" s="150"/>
      <c r="DJ440" s="150"/>
      <c r="DK440" s="150"/>
    </row>
    <row r="441" spans="1:115" s="227" customFormat="1" x14ac:dyDescent="0.25">
      <c r="A441" s="258"/>
      <c r="B441" s="258"/>
      <c r="C441" s="584"/>
      <c r="D441" s="560"/>
      <c r="E441" s="537"/>
      <c r="F441" s="541"/>
      <c r="G441" s="541"/>
      <c r="H441" s="540">
        <f t="shared" si="63"/>
        <v>0</v>
      </c>
      <c r="I441" s="537"/>
      <c r="J441" s="541"/>
      <c r="K441" s="541"/>
      <c r="L441" s="540">
        <f t="shared" si="64"/>
        <v>0</v>
      </c>
      <c r="M441" s="150"/>
      <c r="N441" s="150"/>
      <c r="O441" s="150"/>
      <c r="P441" s="150"/>
      <c r="Q441" s="150"/>
      <c r="R441" s="150"/>
      <c r="S441" s="150"/>
      <c r="T441" s="150"/>
      <c r="U441" s="150"/>
      <c r="V441" s="150"/>
      <c r="W441" s="150"/>
      <c r="X441" s="150"/>
      <c r="Y441" s="150"/>
      <c r="Z441" s="150"/>
      <c r="AA441" s="150"/>
      <c r="AB441" s="150"/>
      <c r="AC441" s="150"/>
      <c r="AD441" s="150"/>
      <c r="AE441" s="150"/>
      <c r="AF441" s="150"/>
      <c r="AG441" s="150"/>
      <c r="AH441" s="150"/>
      <c r="AI441" s="150"/>
      <c r="AJ441" s="150"/>
      <c r="AK441" s="150"/>
      <c r="AL441" s="150"/>
      <c r="AM441" s="150"/>
      <c r="AN441" s="150"/>
      <c r="AO441" s="150"/>
      <c r="AP441" s="150"/>
      <c r="AQ441" s="150"/>
      <c r="AR441" s="150"/>
      <c r="AS441" s="150"/>
      <c r="AT441" s="150"/>
      <c r="AU441" s="150"/>
      <c r="AV441" s="150"/>
      <c r="AW441" s="150"/>
      <c r="AX441" s="150"/>
      <c r="AY441" s="150"/>
      <c r="AZ441" s="150"/>
      <c r="BA441" s="150"/>
      <c r="BB441" s="150"/>
      <c r="BC441" s="150"/>
      <c r="BD441" s="150"/>
      <c r="BE441" s="150"/>
      <c r="BF441" s="150"/>
      <c r="BG441" s="150"/>
      <c r="BH441" s="150"/>
      <c r="BI441" s="150"/>
      <c r="BJ441" s="150"/>
      <c r="BK441" s="150"/>
      <c r="BL441" s="150"/>
      <c r="BM441" s="150"/>
      <c r="BN441" s="150"/>
      <c r="BO441" s="150"/>
      <c r="BP441" s="150"/>
      <c r="BQ441" s="150"/>
      <c r="BR441" s="150"/>
      <c r="BS441" s="150"/>
      <c r="BT441" s="150"/>
      <c r="BU441" s="150"/>
      <c r="BV441" s="150"/>
      <c r="BW441" s="150"/>
      <c r="BX441" s="150"/>
      <c r="BY441" s="150"/>
      <c r="BZ441" s="150"/>
      <c r="CA441" s="150"/>
      <c r="CB441" s="150"/>
      <c r="CC441" s="150"/>
      <c r="CD441" s="150"/>
      <c r="CE441" s="150"/>
      <c r="CF441" s="150"/>
      <c r="CG441" s="150"/>
      <c r="CH441" s="150"/>
      <c r="CI441" s="150"/>
      <c r="CJ441" s="150"/>
      <c r="CK441" s="150"/>
      <c r="CL441" s="150"/>
      <c r="CM441" s="150"/>
      <c r="CN441" s="150"/>
      <c r="CO441" s="150"/>
      <c r="CP441" s="150"/>
      <c r="CQ441" s="150"/>
      <c r="CR441" s="150"/>
      <c r="CS441" s="150"/>
      <c r="CT441" s="150"/>
      <c r="CU441" s="150"/>
      <c r="CV441" s="150"/>
      <c r="CW441" s="150"/>
      <c r="CX441" s="150"/>
      <c r="CY441" s="150"/>
      <c r="CZ441" s="150"/>
      <c r="DA441" s="150"/>
      <c r="DB441" s="150"/>
      <c r="DC441" s="150"/>
      <c r="DD441" s="150"/>
      <c r="DE441" s="150"/>
      <c r="DF441" s="150"/>
      <c r="DG441" s="150"/>
      <c r="DH441" s="150"/>
      <c r="DI441" s="150"/>
      <c r="DJ441" s="150"/>
      <c r="DK441" s="150"/>
    </row>
    <row r="442" spans="1:115" s="227" customFormat="1" ht="16.5" customHeight="1" x14ac:dyDescent="0.25">
      <c r="A442" s="258"/>
      <c r="B442" s="258"/>
      <c r="C442" s="584"/>
      <c r="D442" s="560"/>
      <c r="E442" s="537"/>
      <c r="F442" s="541"/>
      <c r="G442" s="541"/>
      <c r="H442" s="540">
        <f t="shared" si="63"/>
        <v>0</v>
      </c>
      <c r="I442" s="537"/>
      <c r="J442" s="541"/>
      <c r="K442" s="541"/>
      <c r="L442" s="540">
        <f t="shared" si="64"/>
        <v>0</v>
      </c>
      <c r="M442" s="150"/>
      <c r="N442" s="150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  <c r="AK442" s="150"/>
      <c r="AL442" s="150"/>
      <c r="AM442" s="150"/>
      <c r="AN442" s="150"/>
      <c r="AO442" s="150"/>
      <c r="AP442" s="150"/>
      <c r="AQ442" s="150"/>
      <c r="AR442" s="150"/>
      <c r="AS442" s="150"/>
      <c r="AT442" s="150"/>
      <c r="AU442" s="150"/>
      <c r="AV442" s="150"/>
      <c r="AW442" s="150"/>
      <c r="AX442" s="150"/>
      <c r="AY442" s="150"/>
      <c r="AZ442" s="150"/>
      <c r="BA442" s="150"/>
      <c r="BB442" s="150"/>
      <c r="BC442" s="150"/>
      <c r="BD442" s="150"/>
      <c r="BE442" s="150"/>
      <c r="BF442" s="150"/>
      <c r="BG442" s="150"/>
      <c r="BH442" s="150"/>
      <c r="BI442" s="150"/>
      <c r="BJ442" s="150"/>
      <c r="BK442" s="150"/>
      <c r="BL442" s="150"/>
      <c r="BM442" s="150"/>
      <c r="BN442" s="150"/>
      <c r="BO442" s="150"/>
      <c r="BP442" s="150"/>
      <c r="BQ442" s="150"/>
      <c r="BR442" s="150"/>
      <c r="BS442" s="150"/>
      <c r="BT442" s="150"/>
      <c r="BU442" s="150"/>
      <c r="BV442" s="150"/>
      <c r="BW442" s="150"/>
      <c r="BX442" s="150"/>
      <c r="BY442" s="150"/>
      <c r="BZ442" s="150"/>
      <c r="CA442" s="150"/>
      <c r="CB442" s="150"/>
      <c r="CC442" s="150"/>
      <c r="CD442" s="150"/>
      <c r="CE442" s="150"/>
      <c r="CF442" s="150"/>
      <c r="CG442" s="150"/>
      <c r="CH442" s="150"/>
      <c r="CI442" s="150"/>
      <c r="CJ442" s="150"/>
      <c r="CK442" s="150"/>
      <c r="CL442" s="150"/>
      <c r="CM442" s="150"/>
      <c r="CN442" s="150"/>
      <c r="CO442" s="150"/>
      <c r="CP442" s="150"/>
      <c r="CQ442" s="150"/>
      <c r="CR442" s="150"/>
      <c r="CS442" s="150"/>
      <c r="CT442" s="150"/>
      <c r="CU442" s="150"/>
      <c r="CV442" s="150"/>
      <c r="CW442" s="150"/>
      <c r="CX442" s="150"/>
      <c r="CY442" s="150"/>
      <c r="CZ442" s="150"/>
      <c r="DA442" s="150"/>
      <c r="DB442" s="150"/>
      <c r="DC442" s="150"/>
      <c r="DD442" s="150"/>
      <c r="DE442" s="150"/>
      <c r="DF442" s="150"/>
      <c r="DG442" s="150"/>
      <c r="DH442" s="150"/>
      <c r="DI442" s="150"/>
      <c r="DJ442" s="150"/>
      <c r="DK442" s="150"/>
    </row>
    <row r="443" spans="1:115" s="227" customFormat="1" x14ac:dyDescent="0.25">
      <c r="A443" s="258"/>
      <c r="B443" s="258"/>
      <c r="C443" s="584"/>
      <c r="D443" s="560"/>
      <c r="E443" s="537"/>
      <c r="F443" s="541"/>
      <c r="G443" s="541"/>
      <c r="H443" s="540">
        <f t="shared" si="63"/>
        <v>0</v>
      </c>
      <c r="I443" s="537"/>
      <c r="J443" s="541"/>
      <c r="K443" s="541"/>
      <c r="L443" s="540">
        <f t="shared" si="64"/>
        <v>0</v>
      </c>
      <c r="M443" s="150"/>
      <c r="N443" s="150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  <c r="AK443" s="150"/>
      <c r="AL443" s="150"/>
      <c r="AM443" s="150"/>
      <c r="AN443" s="150"/>
      <c r="AO443" s="150"/>
      <c r="AP443" s="150"/>
      <c r="AQ443" s="150"/>
      <c r="AR443" s="150"/>
      <c r="AS443" s="150"/>
      <c r="AT443" s="150"/>
      <c r="AU443" s="150"/>
      <c r="AV443" s="150"/>
      <c r="AW443" s="150"/>
      <c r="AX443" s="150"/>
      <c r="AY443" s="150"/>
      <c r="AZ443" s="150"/>
      <c r="BA443" s="150"/>
      <c r="BB443" s="150"/>
      <c r="BC443" s="150"/>
      <c r="BD443" s="150"/>
      <c r="BE443" s="150"/>
      <c r="BF443" s="150"/>
      <c r="BG443" s="150"/>
      <c r="BH443" s="150"/>
      <c r="BI443" s="150"/>
      <c r="BJ443" s="150"/>
      <c r="BK443" s="150"/>
      <c r="BL443" s="150"/>
      <c r="BM443" s="150"/>
      <c r="BN443" s="150"/>
      <c r="BO443" s="150"/>
      <c r="BP443" s="150"/>
      <c r="BQ443" s="150"/>
      <c r="BR443" s="150"/>
      <c r="BS443" s="150"/>
      <c r="BT443" s="150"/>
      <c r="BU443" s="150"/>
      <c r="BV443" s="150"/>
      <c r="BW443" s="150"/>
      <c r="BX443" s="150"/>
      <c r="BY443" s="150"/>
      <c r="BZ443" s="150"/>
      <c r="CA443" s="150"/>
      <c r="CB443" s="150"/>
      <c r="CC443" s="150"/>
      <c r="CD443" s="150"/>
      <c r="CE443" s="150"/>
      <c r="CF443" s="150"/>
      <c r="CG443" s="150"/>
      <c r="CH443" s="150"/>
      <c r="CI443" s="150"/>
      <c r="CJ443" s="150"/>
      <c r="CK443" s="150"/>
      <c r="CL443" s="150"/>
      <c r="CM443" s="150"/>
      <c r="CN443" s="150"/>
      <c r="CO443" s="150"/>
      <c r="CP443" s="150"/>
      <c r="CQ443" s="150"/>
      <c r="CR443" s="150"/>
      <c r="CS443" s="150"/>
      <c r="CT443" s="150"/>
      <c r="CU443" s="150"/>
      <c r="CV443" s="150"/>
      <c r="CW443" s="150"/>
      <c r="CX443" s="150"/>
      <c r="CY443" s="150"/>
      <c r="CZ443" s="150"/>
      <c r="DA443" s="150"/>
      <c r="DB443" s="150"/>
      <c r="DC443" s="150"/>
      <c r="DD443" s="150"/>
      <c r="DE443" s="150"/>
      <c r="DF443" s="150"/>
      <c r="DG443" s="150"/>
      <c r="DH443" s="150"/>
      <c r="DI443" s="150"/>
      <c r="DJ443" s="150"/>
      <c r="DK443" s="150"/>
    </row>
    <row r="444" spans="1:115" s="227" customFormat="1" x14ac:dyDescent="0.25">
      <c r="A444" s="258"/>
      <c r="B444" s="258"/>
      <c r="C444" s="584"/>
      <c r="D444" s="560"/>
      <c r="E444" s="537"/>
      <c r="F444" s="253"/>
      <c r="G444" s="541"/>
      <c r="H444" s="536">
        <f>F444*G444</f>
        <v>0</v>
      </c>
      <c r="I444" s="537"/>
      <c r="J444" s="253"/>
      <c r="K444" s="541"/>
      <c r="L444" s="536">
        <f>J444*K444</f>
        <v>0</v>
      </c>
      <c r="M444" s="150"/>
      <c r="N444" s="150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  <c r="AK444" s="150"/>
      <c r="AL444" s="150"/>
      <c r="AM444" s="150"/>
      <c r="AN444" s="150"/>
      <c r="AO444" s="150"/>
      <c r="AP444" s="150"/>
      <c r="AQ444" s="150"/>
      <c r="AR444" s="150"/>
      <c r="AS444" s="150"/>
      <c r="AT444" s="150"/>
      <c r="AU444" s="150"/>
      <c r="AV444" s="150"/>
      <c r="AW444" s="150"/>
      <c r="AX444" s="150"/>
      <c r="AY444" s="150"/>
      <c r="AZ444" s="150"/>
      <c r="BA444" s="150"/>
      <c r="BB444" s="150"/>
      <c r="BC444" s="150"/>
      <c r="BD444" s="150"/>
      <c r="BE444" s="150"/>
      <c r="BF444" s="150"/>
      <c r="BG444" s="150"/>
      <c r="BH444" s="150"/>
      <c r="BI444" s="150"/>
      <c r="BJ444" s="150"/>
      <c r="BK444" s="150"/>
      <c r="BL444" s="150"/>
      <c r="BM444" s="150"/>
      <c r="BN444" s="150"/>
      <c r="BO444" s="150"/>
      <c r="BP444" s="150"/>
      <c r="BQ444" s="150"/>
      <c r="BR444" s="150"/>
      <c r="BS444" s="150"/>
      <c r="BT444" s="150"/>
      <c r="BU444" s="150"/>
      <c r="BV444" s="150"/>
      <c r="BW444" s="150"/>
      <c r="BX444" s="150"/>
      <c r="BY444" s="150"/>
      <c r="BZ444" s="150"/>
      <c r="CA444" s="150"/>
      <c r="CB444" s="150"/>
      <c r="CC444" s="150"/>
      <c r="CD444" s="150"/>
      <c r="CE444" s="150"/>
      <c r="CF444" s="150"/>
      <c r="CG444" s="150"/>
      <c r="CH444" s="150"/>
      <c r="CI444" s="150"/>
      <c r="CJ444" s="150"/>
      <c r="CK444" s="150"/>
      <c r="CL444" s="150"/>
      <c r="CM444" s="150"/>
      <c r="CN444" s="150"/>
      <c r="CO444" s="150"/>
      <c r="CP444" s="150"/>
      <c r="CQ444" s="150"/>
      <c r="CR444" s="150"/>
      <c r="CS444" s="150"/>
      <c r="CT444" s="150"/>
      <c r="CU444" s="150"/>
      <c r="CV444" s="150"/>
      <c r="CW444" s="150"/>
      <c r="CX444" s="150"/>
      <c r="CY444" s="150"/>
      <c r="CZ444" s="150"/>
      <c r="DA444" s="150"/>
      <c r="DB444" s="150"/>
      <c r="DC444" s="150"/>
      <c r="DD444" s="150"/>
      <c r="DE444" s="150"/>
      <c r="DF444" s="150"/>
      <c r="DG444" s="150"/>
      <c r="DH444" s="150"/>
      <c r="DI444" s="150"/>
      <c r="DJ444" s="150"/>
      <c r="DK444" s="150"/>
    </row>
    <row r="445" spans="1:115" s="227" customFormat="1" x14ac:dyDescent="0.25">
      <c r="A445" s="258"/>
      <c r="B445" s="258"/>
      <c r="C445" s="584"/>
      <c r="D445" s="560"/>
      <c r="E445" s="537"/>
      <c r="F445" s="253"/>
      <c r="G445" s="541"/>
      <c r="H445" s="536">
        <f>F445*G445</f>
        <v>0</v>
      </c>
      <c r="I445" s="537"/>
      <c r="J445" s="253"/>
      <c r="K445" s="541"/>
      <c r="L445" s="536">
        <f>J445*K445</f>
        <v>0</v>
      </c>
      <c r="M445" s="150"/>
      <c r="N445" s="150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  <c r="AK445" s="150"/>
      <c r="AL445" s="150"/>
      <c r="AM445" s="150"/>
      <c r="AN445" s="150"/>
      <c r="AO445" s="150"/>
      <c r="AP445" s="150"/>
      <c r="AQ445" s="150"/>
      <c r="AR445" s="150"/>
      <c r="AS445" s="150"/>
      <c r="AT445" s="150"/>
      <c r="AU445" s="150"/>
      <c r="AV445" s="150"/>
      <c r="AW445" s="150"/>
      <c r="AX445" s="150"/>
      <c r="AY445" s="150"/>
      <c r="AZ445" s="150"/>
      <c r="BA445" s="150"/>
      <c r="BB445" s="150"/>
      <c r="BC445" s="150"/>
      <c r="BD445" s="150"/>
      <c r="BE445" s="150"/>
      <c r="BF445" s="150"/>
      <c r="BG445" s="150"/>
      <c r="BH445" s="150"/>
      <c r="BI445" s="150"/>
      <c r="BJ445" s="150"/>
      <c r="BK445" s="150"/>
      <c r="BL445" s="150"/>
      <c r="BM445" s="150"/>
      <c r="BN445" s="150"/>
      <c r="BO445" s="150"/>
      <c r="BP445" s="150"/>
      <c r="BQ445" s="150"/>
      <c r="BR445" s="150"/>
      <c r="BS445" s="150"/>
      <c r="BT445" s="150"/>
      <c r="BU445" s="150"/>
      <c r="BV445" s="150"/>
      <c r="BW445" s="150"/>
      <c r="BX445" s="150"/>
      <c r="BY445" s="150"/>
      <c r="BZ445" s="150"/>
      <c r="CA445" s="150"/>
      <c r="CB445" s="150"/>
      <c r="CC445" s="150"/>
      <c r="CD445" s="150"/>
      <c r="CE445" s="150"/>
      <c r="CF445" s="150"/>
      <c r="CG445" s="150"/>
      <c r="CH445" s="150"/>
      <c r="CI445" s="150"/>
      <c r="CJ445" s="150"/>
      <c r="CK445" s="150"/>
      <c r="CL445" s="150"/>
      <c r="CM445" s="150"/>
      <c r="CN445" s="150"/>
      <c r="CO445" s="150"/>
      <c r="CP445" s="150"/>
      <c r="CQ445" s="150"/>
      <c r="CR445" s="150"/>
      <c r="CS445" s="150"/>
      <c r="CT445" s="150"/>
      <c r="CU445" s="150"/>
      <c r="CV445" s="150"/>
      <c r="CW445" s="150"/>
      <c r="CX445" s="150"/>
      <c r="CY445" s="150"/>
      <c r="CZ445" s="150"/>
      <c r="DA445" s="150"/>
      <c r="DB445" s="150"/>
      <c r="DC445" s="150"/>
      <c r="DD445" s="150"/>
      <c r="DE445" s="150"/>
      <c r="DF445" s="150"/>
      <c r="DG445" s="150"/>
      <c r="DH445" s="150"/>
      <c r="DI445" s="150"/>
      <c r="DJ445" s="150"/>
      <c r="DK445" s="150"/>
    </row>
    <row r="446" spans="1:115" s="227" customFormat="1" x14ac:dyDescent="0.25">
      <c r="A446" s="258"/>
      <c r="B446" s="258"/>
      <c r="C446" s="584"/>
      <c r="D446" s="560"/>
      <c r="E446" s="537"/>
      <c r="F446" s="253"/>
      <c r="G446" s="541"/>
      <c r="H446" s="536">
        <f t="shared" si="63"/>
        <v>0</v>
      </c>
      <c r="I446" s="537"/>
      <c r="J446" s="253"/>
      <c r="K446" s="541"/>
      <c r="L446" s="536">
        <f t="shared" ref="L446" si="65">J446*K446</f>
        <v>0</v>
      </c>
      <c r="M446" s="150"/>
      <c r="N446" s="150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  <c r="AK446" s="150"/>
      <c r="AL446" s="150"/>
      <c r="AM446" s="150"/>
      <c r="AN446" s="150"/>
      <c r="AO446" s="150"/>
      <c r="AP446" s="150"/>
      <c r="AQ446" s="150"/>
      <c r="AR446" s="150"/>
      <c r="AS446" s="150"/>
      <c r="AT446" s="150"/>
      <c r="AU446" s="150"/>
      <c r="AV446" s="150"/>
      <c r="AW446" s="150"/>
      <c r="AX446" s="150"/>
      <c r="AY446" s="150"/>
      <c r="AZ446" s="150"/>
      <c r="BA446" s="150"/>
      <c r="BB446" s="150"/>
      <c r="BC446" s="150"/>
      <c r="BD446" s="150"/>
      <c r="BE446" s="150"/>
      <c r="BF446" s="150"/>
      <c r="BG446" s="150"/>
      <c r="BH446" s="150"/>
      <c r="BI446" s="150"/>
      <c r="BJ446" s="150"/>
      <c r="BK446" s="150"/>
      <c r="BL446" s="150"/>
      <c r="BM446" s="150"/>
      <c r="BN446" s="150"/>
      <c r="BO446" s="150"/>
      <c r="BP446" s="150"/>
      <c r="BQ446" s="150"/>
      <c r="BR446" s="150"/>
      <c r="BS446" s="150"/>
      <c r="BT446" s="150"/>
      <c r="BU446" s="150"/>
      <c r="BV446" s="150"/>
      <c r="BW446" s="150"/>
      <c r="BX446" s="150"/>
      <c r="BY446" s="150"/>
      <c r="BZ446" s="150"/>
      <c r="CA446" s="150"/>
      <c r="CB446" s="150"/>
      <c r="CC446" s="150"/>
      <c r="CD446" s="150"/>
      <c r="CE446" s="150"/>
      <c r="CF446" s="150"/>
      <c r="CG446" s="150"/>
      <c r="CH446" s="150"/>
      <c r="CI446" s="150"/>
      <c r="CJ446" s="150"/>
      <c r="CK446" s="150"/>
      <c r="CL446" s="150"/>
      <c r="CM446" s="150"/>
      <c r="CN446" s="150"/>
      <c r="CO446" s="150"/>
      <c r="CP446" s="150"/>
      <c r="CQ446" s="150"/>
      <c r="CR446" s="150"/>
      <c r="CS446" s="150"/>
      <c r="CT446" s="150"/>
      <c r="CU446" s="150"/>
      <c r="CV446" s="150"/>
      <c r="CW446" s="150"/>
      <c r="CX446" s="150"/>
      <c r="CY446" s="150"/>
      <c r="CZ446" s="150"/>
      <c r="DA446" s="150"/>
      <c r="DB446" s="150"/>
      <c r="DC446" s="150"/>
      <c r="DD446" s="150"/>
      <c r="DE446" s="150"/>
      <c r="DF446" s="150"/>
      <c r="DG446" s="150"/>
      <c r="DH446" s="150"/>
      <c r="DI446" s="150"/>
      <c r="DJ446" s="150"/>
      <c r="DK446" s="150"/>
    </row>
    <row r="447" spans="1:115" x14ac:dyDescent="0.25">
      <c r="A447" s="258"/>
      <c r="B447" s="258"/>
      <c r="C447" s="584"/>
      <c r="D447" s="559" t="s">
        <v>0</v>
      </c>
      <c r="E447" s="534"/>
      <c r="F447" s="542">
        <f>SUM(F432:F446)</f>
        <v>0</v>
      </c>
      <c r="G447" s="543" t="e">
        <f>H447/F447</f>
        <v>#DIV/0!</v>
      </c>
      <c r="H447" s="544">
        <f>SUM(H432:H446)</f>
        <v>0</v>
      </c>
      <c r="I447" s="534"/>
      <c r="J447" s="542">
        <f>SUM(J432:J446)</f>
        <v>0</v>
      </c>
      <c r="K447" s="543" t="e">
        <f>L447/J447</f>
        <v>#DIV/0!</v>
      </c>
      <c r="L447" s="544">
        <f>SUM(L432:L446)</f>
        <v>0</v>
      </c>
    </row>
    <row r="448" spans="1:115" x14ac:dyDescent="0.25">
      <c r="A448" s="545"/>
      <c r="B448" s="545"/>
      <c r="C448" s="586"/>
      <c r="D448" s="561"/>
      <c r="E448" s="546"/>
      <c r="F448" s="546"/>
      <c r="G448" s="547"/>
      <c r="H448" s="548"/>
      <c r="I448" s="546"/>
      <c r="J448" s="546"/>
      <c r="K448" s="547"/>
      <c r="L448" s="548"/>
    </row>
    <row r="449" spans="1:115" x14ac:dyDescent="0.25">
      <c r="A449" s="258"/>
      <c r="B449" s="258"/>
      <c r="C449" s="584"/>
      <c r="D449" s="558"/>
      <c r="E449" s="534"/>
      <c r="F449" s="555"/>
      <c r="G449" s="556"/>
      <c r="H449" s="536">
        <f t="shared" ref="H449:H465" si="66">F449*G449</f>
        <v>0</v>
      </c>
      <c r="I449" s="534"/>
      <c r="J449" s="555"/>
      <c r="K449" s="556"/>
      <c r="L449" s="536">
        <f t="shared" ref="L449:L455" si="67">J449*K449</f>
        <v>0</v>
      </c>
    </row>
    <row r="450" spans="1:115" x14ac:dyDescent="0.25">
      <c r="A450" s="258"/>
      <c r="B450" s="258"/>
      <c r="C450" s="584"/>
      <c r="D450" s="559">
        <f>D433+1</f>
        <v>45653</v>
      </c>
      <c r="E450" s="534"/>
      <c r="F450" s="253"/>
      <c r="G450" s="541"/>
      <c r="H450" s="536">
        <f t="shared" si="66"/>
        <v>0</v>
      </c>
      <c r="I450" s="534"/>
      <c r="J450" s="253"/>
      <c r="K450" s="541"/>
      <c r="L450" s="536">
        <f t="shared" si="67"/>
        <v>0</v>
      </c>
    </row>
    <row r="451" spans="1:115" x14ac:dyDescent="0.25">
      <c r="A451" s="258"/>
      <c r="B451" s="258"/>
      <c r="C451" s="585"/>
      <c r="D451" s="560"/>
      <c r="E451" s="537"/>
      <c r="F451" s="253"/>
      <c r="G451" s="541"/>
      <c r="H451" s="536">
        <f t="shared" si="66"/>
        <v>0</v>
      </c>
      <c r="I451" s="537"/>
      <c r="J451" s="253"/>
      <c r="K451" s="541"/>
      <c r="L451" s="536">
        <f t="shared" si="67"/>
        <v>0</v>
      </c>
    </row>
    <row r="452" spans="1:115" s="227" customFormat="1" x14ac:dyDescent="0.25">
      <c r="A452" s="258"/>
      <c r="B452" s="258"/>
      <c r="C452" s="584"/>
      <c r="D452" s="560"/>
      <c r="E452" s="537"/>
      <c r="F452" s="541"/>
      <c r="G452" s="541"/>
      <c r="H452" s="540">
        <f t="shared" si="66"/>
        <v>0</v>
      </c>
      <c r="I452" s="537"/>
      <c r="J452" s="541"/>
      <c r="K452" s="541"/>
      <c r="L452" s="540">
        <f t="shared" si="67"/>
        <v>0</v>
      </c>
      <c r="M452" s="150"/>
      <c r="N452" s="150"/>
      <c r="O452" s="150"/>
      <c r="P452" s="150"/>
      <c r="Q452" s="150"/>
      <c r="R452" s="150"/>
      <c r="S452" s="150"/>
      <c r="T452" s="150"/>
      <c r="U452" s="150"/>
      <c r="V452" s="150"/>
      <c r="W452" s="150"/>
      <c r="X452" s="150"/>
      <c r="Y452" s="150"/>
      <c r="Z452" s="150"/>
      <c r="AA452" s="150"/>
      <c r="AB452" s="150"/>
      <c r="AC452" s="150"/>
      <c r="AD452" s="150"/>
      <c r="AE452" s="150"/>
      <c r="AF452" s="150"/>
      <c r="AG452" s="150"/>
      <c r="AH452" s="150"/>
      <c r="AI452" s="150"/>
      <c r="AJ452" s="150"/>
      <c r="AK452" s="150"/>
      <c r="AL452" s="150"/>
      <c r="AM452" s="150"/>
      <c r="AN452" s="150"/>
      <c r="AO452" s="150"/>
      <c r="AP452" s="150"/>
      <c r="AQ452" s="150"/>
      <c r="AR452" s="150"/>
      <c r="AS452" s="150"/>
      <c r="AT452" s="150"/>
      <c r="AU452" s="150"/>
      <c r="AV452" s="150"/>
      <c r="AW452" s="150"/>
      <c r="AX452" s="150"/>
      <c r="AY452" s="150"/>
      <c r="AZ452" s="150"/>
      <c r="BA452" s="150"/>
      <c r="BB452" s="150"/>
      <c r="BC452" s="150"/>
      <c r="BD452" s="150"/>
      <c r="BE452" s="150"/>
      <c r="BF452" s="150"/>
      <c r="BG452" s="150"/>
      <c r="BH452" s="150"/>
      <c r="BI452" s="150"/>
      <c r="BJ452" s="150"/>
      <c r="BK452" s="150"/>
      <c r="BL452" s="150"/>
      <c r="BM452" s="150"/>
      <c r="BN452" s="150"/>
      <c r="BO452" s="150"/>
      <c r="BP452" s="150"/>
      <c r="BQ452" s="150"/>
      <c r="BR452" s="150"/>
      <c r="BS452" s="150"/>
      <c r="BT452" s="150"/>
      <c r="BU452" s="150"/>
      <c r="BV452" s="150"/>
      <c r="BW452" s="150"/>
      <c r="BX452" s="150"/>
      <c r="BY452" s="150"/>
      <c r="BZ452" s="150"/>
      <c r="CA452" s="150"/>
      <c r="CB452" s="150"/>
      <c r="CC452" s="150"/>
      <c r="CD452" s="150"/>
      <c r="CE452" s="150"/>
      <c r="CF452" s="150"/>
      <c r="CG452" s="150"/>
      <c r="CH452" s="150"/>
      <c r="CI452" s="150"/>
      <c r="CJ452" s="150"/>
      <c r="CK452" s="150"/>
      <c r="CL452" s="150"/>
      <c r="CM452" s="150"/>
      <c r="CN452" s="150"/>
      <c r="CO452" s="150"/>
      <c r="CP452" s="150"/>
      <c r="CQ452" s="150"/>
      <c r="CR452" s="150"/>
      <c r="CS452" s="150"/>
      <c r="CT452" s="150"/>
      <c r="CU452" s="150"/>
      <c r="CV452" s="150"/>
      <c r="CW452" s="150"/>
      <c r="CX452" s="150"/>
      <c r="CY452" s="150"/>
      <c r="CZ452" s="150"/>
      <c r="DA452" s="150"/>
      <c r="DB452" s="150"/>
      <c r="DC452" s="150"/>
      <c r="DD452" s="150"/>
      <c r="DE452" s="150"/>
      <c r="DF452" s="150"/>
      <c r="DG452" s="150"/>
      <c r="DH452" s="150"/>
      <c r="DI452" s="150"/>
      <c r="DJ452" s="150"/>
      <c r="DK452" s="150"/>
    </row>
    <row r="453" spans="1:115" s="227" customFormat="1" x14ac:dyDescent="0.25">
      <c r="A453" s="258"/>
      <c r="B453" s="258"/>
      <c r="C453" s="584"/>
      <c r="D453" s="560"/>
      <c r="E453" s="537"/>
      <c r="F453" s="541"/>
      <c r="G453" s="541"/>
      <c r="H453" s="540">
        <f t="shared" si="66"/>
        <v>0</v>
      </c>
      <c r="I453" s="537"/>
      <c r="J453" s="541"/>
      <c r="K453" s="541"/>
      <c r="L453" s="540">
        <f t="shared" si="67"/>
        <v>0</v>
      </c>
      <c r="M453" s="150"/>
      <c r="N453" s="150"/>
      <c r="O453" s="150"/>
      <c r="P453" s="150"/>
      <c r="Q453" s="150"/>
      <c r="R453" s="150"/>
      <c r="S453" s="150"/>
      <c r="T453" s="150"/>
      <c r="U453" s="150"/>
      <c r="V453" s="150"/>
      <c r="W453" s="150"/>
      <c r="X453" s="150"/>
      <c r="Y453" s="150"/>
      <c r="Z453" s="150"/>
      <c r="AA453" s="150"/>
      <c r="AB453" s="150"/>
      <c r="AC453" s="150"/>
      <c r="AD453" s="150"/>
      <c r="AE453" s="150"/>
      <c r="AF453" s="150"/>
      <c r="AG453" s="150"/>
      <c r="AH453" s="150"/>
      <c r="AI453" s="150"/>
      <c r="AJ453" s="150"/>
      <c r="AK453" s="150"/>
      <c r="AL453" s="150"/>
      <c r="AM453" s="150"/>
      <c r="AN453" s="150"/>
      <c r="AO453" s="150"/>
      <c r="AP453" s="150"/>
      <c r="AQ453" s="150"/>
      <c r="AR453" s="150"/>
      <c r="AS453" s="150"/>
      <c r="AT453" s="150"/>
      <c r="AU453" s="150"/>
      <c r="AV453" s="150"/>
      <c r="AW453" s="150"/>
      <c r="AX453" s="150"/>
      <c r="AY453" s="150"/>
      <c r="AZ453" s="150"/>
      <c r="BA453" s="150"/>
      <c r="BB453" s="150"/>
      <c r="BC453" s="150"/>
      <c r="BD453" s="150"/>
      <c r="BE453" s="150"/>
      <c r="BF453" s="150"/>
      <c r="BG453" s="150"/>
      <c r="BH453" s="150"/>
      <c r="BI453" s="150"/>
      <c r="BJ453" s="150"/>
      <c r="BK453" s="150"/>
      <c r="BL453" s="150"/>
      <c r="BM453" s="150"/>
      <c r="BN453" s="150"/>
      <c r="BO453" s="150"/>
      <c r="BP453" s="150"/>
      <c r="BQ453" s="150"/>
      <c r="BR453" s="150"/>
      <c r="BS453" s="150"/>
      <c r="BT453" s="150"/>
      <c r="BU453" s="150"/>
      <c r="BV453" s="150"/>
      <c r="BW453" s="150"/>
      <c r="BX453" s="150"/>
      <c r="BY453" s="150"/>
      <c r="BZ453" s="150"/>
      <c r="CA453" s="150"/>
      <c r="CB453" s="150"/>
      <c r="CC453" s="150"/>
      <c r="CD453" s="150"/>
      <c r="CE453" s="150"/>
      <c r="CF453" s="150"/>
      <c r="CG453" s="150"/>
      <c r="CH453" s="150"/>
      <c r="CI453" s="150"/>
      <c r="CJ453" s="150"/>
      <c r="CK453" s="150"/>
      <c r="CL453" s="150"/>
      <c r="CM453" s="150"/>
      <c r="CN453" s="150"/>
      <c r="CO453" s="150"/>
      <c r="CP453" s="150"/>
      <c r="CQ453" s="150"/>
      <c r="CR453" s="150"/>
      <c r="CS453" s="150"/>
      <c r="CT453" s="150"/>
      <c r="CU453" s="150"/>
      <c r="CV453" s="150"/>
      <c r="CW453" s="150"/>
      <c r="CX453" s="150"/>
      <c r="CY453" s="150"/>
      <c r="CZ453" s="150"/>
      <c r="DA453" s="150"/>
      <c r="DB453" s="150"/>
      <c r="DC453" s="150"/>
      <c r="DD453" s="150"/>
      <c r="DE453" s="150"/>
      <c r="DF453" s="150"/>
      <c r="DG453" s="150"/>
      <c r="DH453" s="150"/>
      <c r="DI453" s="150"/>
      <c r="DJ453" s="150"/>
      <c r="DK453" s="150"/>
    </row>
    <row r="454" spans="1:115" s="227" customFormat="1" x14ac:dyDescent="0.25">
      <c r="A454" s="258"/>
      <c r="B454" s="258"/>
      <c r="C454" s="584"/>
      <c r="D454" s="560"/>
      <c r="E454" s="537"/>
      <c r="F454" s="541"/>
      <c r="G454" s="541"/>
      <c r="H454" s="540">
        <f t="shared" si="66"/>
        <v>0</v>
      </c>
      <c r="I454" s="537"/>
      <c r="J454" s="541"/>
      <c r="K454" s="541"/>
      <c r="L454" s="540">
        <f t="shared" si="67"/>
        <v>0</v>
      </c>
      <c r="M454" s="150"/>
      <c r="N454" s="150"/>
      <c r="O454" s="150"/>
      <c r="P454" s="150"/>
      <c r="Q454" s="150"/>
      <c r="R454" s="150"/>
      <c r="S454" s="150"/>
      <c r="T454" s="150"/>
      <c r="U454" s="150"/>
      <c r="V454" s="150"/>
      <c r="W454" s="150"/>
      <c r="X454" s="150"/>
      <c r="Y454" s="150"/>
      <c r="Z454" s="150"/>
      <c r="AA454" s="150"/>
      <c r="AB454" s="150"/>
      <c r="AC454" s="150"/>
      <c r="AD454" s="150"/>
      <c r="AE454" s="150"/>
      <c r="AF454" s="150"/>
      <c r="AG454" s="150"/>
      <c r="AH454" s="150"/>
      <c r="AI454" s="150"/>
      <c r="AJ454" s="150"/>
      <c r="AK454" s="150"/>
      <c r="AL454" s="150"/>
      <c r="AM454" s="150"/>
      <c r="AN454" s="150"/>
      <c r="AO454" s="150"/>
      <c r="AP454" s="150"/>
      <c r="AQ454" s="150"/>
      <c r="AR454" s="150"/>
      <c r="AS454" s="150"/>
      <c r="AT454" s="150"/>
      <c r="AU454" s="150"/>
      <c r="AV454" s="150"/>
      <c r="AW454" s="150"/>
      <c r="AX454" s="150"/>
      <c r="AY454" s="150"/>
      <c r="AZ454" s="150"/>
      <c r="BA454" s="150"/>
      <c r="BB454" s="150"/>
      <c r="BC454" s="150"/>
      <c r="BD454" s="150"/>
      <c r="BE454" s="150"/>
      <c r="BF454" s="150"/>
      <c r="BG454" s="150"/>
      <c r="BH454" s="150"/>
      <c r="BI454" s="150"/>
      <c r="BJ454" s="150"/>
      <c r="BK454" s="150"/>
      <c r="BL454" s="150"/>
      <c r="BM454" s="150"/>
      <c r="BN454" s="150"/>
      <c r="BO454" s="150"/>
      <c r="BP454" s="150"/>
      <c r="BQ454" s="150"/>
      <c r="BR454" s="150"/>
      <c r="BS454" s="150"/>
      <c r="BT454" s="150"/>
      <c r="BU454" s="150"/>
      <c r="BV454" s="150"/>
      <c r="BW454" s="150"/>
      <c r="BX454" s="150"/>
      <c r="BY454" s="150"/>
      <c r="BZ454" s="150"/>
      <c r="CA454" s="150"/>
      <c r="CB454" s="150"/>
      <c r="CC454" s="150"/>
      <c r="CD454" s="150"/>
      <c r="CE454" s="150"/>
      <c r="CF454" s="150"/>
      <c r="CG454" s="150"/>
      <c r="CH454" s="150"/>
      <c r="CI454" s="150"/>
      <c r="CJ454" s="150"/>
      <c r="CK454" s="150"/>
      <c r="CL454" s="150"/>
      <c r="CM454" s="150"/>
      <c r="CN454" s="150"/>
      <c r="CO454" s="150"/>
      <c r="CP454" s="150"/>
      <c r="CQ454" s="150"/>
      <c r="CR454" s="150"/>
      <c r="CS454" s="150"/>
      <c r="CT454" s="150"/>
      <c r="CU454" s="150"/>
      <c r="CV454" s="150"/>
      <c r="CW454" s="150"/>
      <c r="CX454" s="150"/>
      <c r="CY454" s="150"/>
      <c r="CZ454" s="150"/>
      <c r="DA454" s="150"/>
      <c r="DB454" s="150"/>
      <c r="DC454" s="150"/>
      <c r="DD454" s="150"/>
      <c r="DE454" s="150"/>
      <c r="DF454" s="150"/>
      <c r="DG454" s="150"/>
      <c r="DH454" s="150"/>
      <c r="DI454" s="150"/>
      <c r="DJ454" s="150"/>
      <c r="DK454" s="150"/>
    </row>
    <row r="455" spans="1:115" x14ac:dyDescent="0.25">
      <c r="A455" s="258"/>
      <c r="B455" s="258"/>
      <c r="C455" s="584"/>
      <c r="D455" s="559"/>
      <c r="E455" s="534"/>
      <c r="F455" s="262"/>
      <c r="G455" s="262"/>
      <c r="H455" s="536">
        <f t="shared" si="66"/>
        <v>0</v>
      </c>
      <c r="I455" s="534"/>
      <c r="J455" s="262"/>
      <c r="K455" s="262"/>
      <c r="L455" s="536">
        <f t="shared" si="67"/>
        <v>0</v>
      </c>
    </row>
    <row r="456" spans="1:115" s="227" customFormat="1" x14ac:dyDescent="0.25">
      <c r="A456" s="258"/>
      <c r="B456" s="258"/>
      <c r="C456" s="584"/>
      <c r="D456" s="560"/>
      <c r="E456" s="537"/>
      <c r="F456" s="541"/>
      <c r="G456" s="541"/>
      <c r="H456" s="540">
        <f t="shared" ref="H456:H461" si="68">F456*G456</f>
        <v>0</v>
      </c>
      <c r="I456" s="537"/>
      <c r="J456" s="541"/>
      <c r="K456" s="541"/>
      <c r="L456" s="540">
        <f t="shared" ref="L456:L461" si="69">J456*K456</f>
        <v>0</v>
      </c>
      <c r="M456" s="150"/>
      <c r="N456" s="150"/>
      <c r="O456" s="150"/>
      <c r="P456" s="150"/>
      <c r="Q456" s="150"/>
      <c r="R456" s="150"/>
      <c r="S456" s="150"/>
      <c r="T456" s="150"/>
      <c r="U456" s="150"/>
      <c r="V456" s="150"/>
      <c r="W456" s="150"/>
      <c r="X456" s="150"/>
      <c r="Y456" s="150"/>
      <c r="Z456" s="150"/>
      <c r="AA456" s="150"/>
      <c r="AB456" s="150"/>
      <c r="AC456" s="150"/>
      <c r="AD456" s="150"/>
      <c r="AE456" s="150"/>
      <c r="AF456" s="150"/>
      <c r="AG456" s="150"/>
      <c r="AH456" s="150"/>
      <c r="AI456" s="150"/>
      <c r="AJ456" s="150"/>
      <c r="AK456" s="150"/>
      <c r="AL456" s="150"/>
      <c r="AM456" s="150"/>
      <c r="AN456" s="150"/>
      <c r="AO456" s="150"/>
      <c r="AP456" s="150"/>
      <c r="AQ456" s="150"/>
      <c r="AR456" s="150"/>
      <c r="AS456" s="150"/>
      <c r="AT456" s="150"/>
      <c r="AU456" s="150"/>
      <c r="AV456" s="150"/>
      <c r="AW456" s="150"/>
      <c r="AX456" s="150"/>
      <c r="AY456" s="150"/>
      <c r="AZ456" s="150"/>
      <c r="BA456" s="150"/>
      <c r="BB456" s="150"/>
      <c r="BC456" s="150"/>
      <c r="BD456" s="150"/>
      <c r="BE456" s="150"/>
      <c r="BF456" s="150"/>
      <c r="BG456" s="150"/>
      <c r="BH456" s="150"/>
      <c r="BI456" s="150"/>
      <c r="BJ456" s="150"/>
      <c r="BK456" s="150"/>
      <c r="BL456" s="150"/>
      <c r="BM456" s="150"/>
      <c r="BN456" s="150"/>
      <c r="BO456" s="150"/>
      <c r="BP456" s="150"/>
      <c r="BQ456" s="150"/>
      <c r="BR456" s="150"/>
      <c r="BS456" s="150"/>
      <c r="BT456" s="150"/>
      <c r="BU456" s="150"/>
      <c r="BV456" s="150"/>
      <c r="BW456" s="150"/>
      <c r="BX456" s="150"/>
      <c r="BY456" s="150"/>
      <c r="BZ456" s="150"/>
      <c r="CA456" s="150"/>
      <c r="CB456" s="150"/>
      <c r="CC456" s="150"/>
      <c r="CD456" s="150"/>
      <c r="CE456" s="150"/>
      <c r="CF456" s="150"/>
      <c r="CG456" s="150"/>
      <c r="CH456" s="150"/>
      <c r="CI456" s="150"/>
      <c r="CJ456" s="150"/>
      <c r="CK456" s="150"/>
      <c r="CL456" s="150"/>
      <c r="CM456" s="150"/>
      <c r="CN456" s="150"/>
      <c r="CO456" s="150"/>
      <c r="CP456" s="150"/>
      <c r="CQ456" s="150"/>
      <c r="CR456" s="150"/>
      <c r="CS456" s="150"/>
      <c r="CT456" s="150"/>
      <c r="CU456" s="150"/>
      <c r="CV456" s="150"/>
      <c r="CW456" s="150"/>
      <c r="CX456" s="150"/>
      <c r="CY456" s="150"/>
      <c r="CZ456" s="150"/>
      <c r="DA456" s="150"/>
      <c r="DB456" s="150"/>
      <c r="DC456" s="150"/>
      <c r="DD456" s="150"/>
      <c r="DE456" s="150"/>
      <c r="DF456" s="150"/>
      <c r="DG456" s="150"/>
      <c r="DH456" s="150"/>
      <c r="DI456" s="150"/>
      <c r="DJ456" s="150"/>
      <c r="DK456" s="150"/>
    </row>
    <row r="457" spans="1:115" s="227" customFormat="1" x14ac:dyDescent="0.25">
      <c r="A457" s="258"/>
      <c r="B457" s="258"/>
      <c r="C457" s="584"/>
      <c r="D457" s="560"/>
      <c r="E457" s="537"/>
      <c r="F457" s="541"/>
      <c r="G457" s="541"/>
      <c r="H457" s="540">
        <f t="shared" si="68"/>
        <v>0</v>
      </c>
      <c r="I457" s="537"/>
      <c r="J457" s="541"/>
      <c r="K457" s="541"/>
      <c r="L457" s="540">
        <f t="shared" si="69"/>
        <v>0</v>
      </c>
      <c r="M457" s="150"/>
      <c r="N457" s="150"/>
      <c r="O457" s="150"/>
      <c r="P457" s="150"/>
      <c r="Q457" s="150"/>
      <c r="R457" s="150"/>
      <c r="S457" s="150"/>
      <c r="T457" s="150"/>
      <c r="U457" s="150"/>
      <c r="V457" s="150"/>
      <c r="W457" s="150"/>
      <c r="X457" s="150"/>
      <c r="Y457" s="150"/>
      <c r="Z457" s="150"/>
      <c r="AA457" s="150"/>
      <c r="AB457" s="150"/>
      <c r="AC457" s="150"/>
      <c r="AD457" s="150"/>
      <c r="AE457" s="150"/>
      <c r="AF457" s="150"/>
      <c r="AG457" s="150"/>
      <c r="AH457" s="150"/>
      <c r="AI457" s="150"/>
      <c r="AJ457" s="150"/>
      <c r="AK457" s="150"/>
      <c r="AL457" s="150"/>
      <c r="AM457" s="150"/>
      <c r="AN457" s="150"/>
      <c r="AO457" s="150"/>
      <c r="AP457" s="150"/>
      <c r="AQ457" s="150"/>
      <c r="AR457" s="150"/>
      <c r="AS457" s="150"/>
      <c r="AT457" s="150"/>
      <c r="AU457" s="150"/>
      <c r="AV457" s="150"/>
      <c r="AW457" s="150"/>
      <c r="AX457" s="150"/>
      <c r="AY457" s="150"/>
      <c r="AZ457" s="150"/>
      <c r="BA457" s="150"/>
      <c r="BB457" s="150"/>
      <c r="BC457" s="150"/>
      <c r="BD457" s="150"/>
      <c r="BE457" s="150"/>
      <c r="BF457" s="150"/>
      <c r="BG457" s="150"/>
      <c r="BH457" s="150"/>
      <c r="BI457" s="150"/>
      <c r="BJ457" s="150"/>
      <c r="BK457" s="150"/>
      <c r="BL457" s="150"/>
      <c r="BM457" s="150"/>
      <c r="BN457" s="150"/>
      <c r="BO457" s="150"/>
      <c r="BP457" s="150"/>
      <c r="BQ457" s="150"/>
      <c r="BR457" s="150"/>
      <c r="BS457" s="150"/>
      <c r="BT457" s="150"/>
      <c r="BU457" s="150"/>
      <c r="BV457" s="150"/>
      <c r="BW457" s="150"/>
      <c r="BX457" s="150"/>
      <c r="BY457" s="150"/>
      <c r="BZ457" s="150"/>
      <c r="CA457" s="150"/>
      <c r="CB457" s="150"/>
      <c r="CC457" s="150"/>
      <c r="CD457" s="150"/>
      <c r="CE457" s="150"/>
      <c r="CF457" s="150"/>
      <c r="CG457" s="150"/>
      <c r="CH457" s="150"/>
      <c r="CI457" s="150"/>
      <c r="CJ457" s="150"/>
      <c r="CK457" s="150"/>
      <c r="CL457" s="150"/>
      <c r="CM457" s="150"/>
      <c r="CN457" s="150"/>
      <c r="CO457" s="150"/>
      <c r="CP457" s="150"/>
      <c r="CQ457" s="150"/>
      <c r="CR457" s="150"/>
      <c r="CS457" s="150"/>
      <c r="CT457" s="150"/>
      <c r="CU457" s="150"/>
      <c r="CV457" s="150"/>
      <c r="CW457" s="150"/>
      <c r="CX457" s="150"/>
      <c r="CY457" s="150"/>
      <c r="CZ457" s="150"/>
      <c r="DA457" s="150"/>
      <c r="DB457" s="150"/>
      <c r="DC457" s="150"/>
      <c r="DD457" s="150"/>
      <c r="DE457" s="150"/>
      <c r="DF457" s="150"/>
      <c r="DG457" s="150"/>
      <c r="DH457" s="150"/>
      <c r="DI457" s="150"/>
      <c r="DJ457" s="150"/>
      <c r="DK457" s="150"/>
    </row>
    <row r="458" spans="1:115" s="227" customFormat="1" x14ac:dyDescent="0.25">
      <c r="A458" s="258"/>
      <c r="B458" s="258"/>
      <c r="C458" s="584"/>
      <c r="D458" s="560"/>
      <c r="E458" s="537"/>
      <c r="F458" s="541"/>
      <c r="G458" s="541"/>
      <c r="H458" s="540">
        <f t="shared" si="68"/>
        <v>0</v>
      </c>
      <c r="I458" s="537"/>
      <c r="J458" s="541"/>
      <c r="K458" s="541"/>
      <c r="L458" s="540">
        <f t="shared" si="69"/>
        <v>0</v>
      </c>
      <c r="M458" s="150"/>
      <c r="N458" s="150"/>
      <c r="O458" s="150"/>
      <c r="P458" s="150"/>
      <c r="Q458" s="150"/>
      <c r="R458" s="150"/>
      <c r="S458" s="150"/>
      <c r="T458" s="150"/>
      <c r="U458" s="150"/>
      <c r="V458" s="150"/>
      <c r="W458" s="150"/>
      <c r="X458" s="150"/>
      <c r="Y458" s="150"/>
      <c r="Z458" s="150"/>
      <c r="AA458" s="150"/>
      <c r="AB458" s="150"/>
      <c r="AC458" s="150"/>
      <c r="AD458" s="150"/>
      <c r="AE458" s="150"/>
      <c r="AF458" s="150"/>
      <c r="AG458" s="150"/>
      <c r="AH458" s="150"/>
      <c r="AI458" s="150"/>
      <c r="AJ458" s="150"/>
      <c r="AK458" s="150"/>
      <c r="AL458" s="150"/>
      <c r="AM458" s="150"/>
      <c r="AN458" s="150"/>
      <c r="AO458" s="150"/>
      <c r="AP458" s="150"/>
      <c r="AQ458" s="150"/>
      <c r="AR458" s="150"/>
      <c r="AS458" s="150"/>
      <c r="AT458" s="150"/>
      <c r="AU458" s="150"/>
      <c r="AV458" s="150"/>
      <c r="AW458" s="150"/>
      <c r="AX458" s="150"/>
      <c r="AY458" s="150"/>
      <c r="AZ458" s="150"/>
      <c r="BA458" s="150"/>
      <c r="BB458" s="150"/>
      <c r="BC458" s="150"/>
      <c r="BD458" s="150"/>
      <c r="BE458" s="150"/>
      <c r="BF458" s="150"/>
      <c r="BG458" s="150"/>
      <c r="BH458" s="150"/>
      <c r="BI458" s="150"/>
      <c r="BJ458" s="150"/>
      <c r="BK458" s="150"/>
      <c r="BL458" s="150"/>
      <c r="BM458" s="150"/>
      <c r="BN458" s="150"/>
      <c r="BO458" s="150"/>
      <c r="BP458" s="150"/>
      <c r="BQ458" s="150"/>
      <c r="BR458" s="150"/>
      <c r="BS458" s="150"/>
      <c r="BT458" s="150"/>
      <c r="BU458" s="150"/>
      <c r="BV458" s="150"/>
      <c r="BW458" s="150"/>
      <c r="BX458" s="150"/>
      <c r="BY458" s="150"/>
      <c r="BZ458" s="150"/>
      <c r="CA458" s="150"/>
      <c r="CB458" s="150"/>
      <c r="CC458" s="150"/>
      <c r="CD458" s="150"/>
      <c r="CE458" s="150"/>
      <c r="CF458" s="150"/>
      <c r="CG458" s="150"/>
      <c r="CH458" s="150"/>
      <c r="CI458" s="150"/>
      <c r="CJ458" s="150"/>
      <c r="CK458" s="150"/>
      <c r="CL458" s="150"/>
      <c r="CM458" s="150"/>
      <c r="CN458" s="150"/>
      <c r="CO458" s="150"/>
      <c r="CP458" s="150"/>
      <c r="CQ458" s="150"/>
      <c r="CR458" s="150"/>
      <c r="CS458" s="150"/>
      <c r="CT458" s="150"/>
      <c r="CU458" s="150"/>
      <c r="CV458" s="150"/>
      <c r="CW458" s="150"/>
      <c r="CX458" s="150"/>
      <c r="CY458" s="150"/>
      <c r="CZ458" s="150"/>
      <c r="DA458" s="150"/>
      <c r="DB458" s="150"/>
      <c r="DC458" s="150"/>
      <c r="DD458" s="150"/>
      <c r="DE458" s="150"/>
      <c r="DF458" s="150"/>
      <c r="DG458" s="150"/>
      <c r="DH458" s="150"/>
      <c r="DI458" s="150"/>
      <c r="DJ458" s="150"/>
      <c r="DK458" s="150"/>
    </row>
    <row r="459" spans="1:115" s="227" customFormat="1" x14ac:dyDescent="0.25">
      <c r="A459" s="258"/>
      <c r="B459" s="258"/>
      <c r="C459" s="584"/>
      <c r="D459" s="560"/>
      <c r="E459" s="537"/>
      <c r="F459" s="541"/>
      <c r="G459" s="541"/>
      <c r="H459" s="540">
        <f t="shared" si="68"/>
        <v>0</v>
      </c>
      <c r="I459" s="537"/>
      <c r="J459" s="541"/>
      <c r="K459" s="541"/>
      <c r="L459" s="540">
        <f t="shared" si="69"/>
        <v>0</v>
      </c>
      <c r="M459" s="150"/>
      <c r="N459" s="150"/>
      <c r="O459" s="150"/>
      <c r="P459" s="150"/>
      <c r="Q459" s="150"/>
      <c r="R459" s="150"/>
      <c r="S459" s="150"/>
      <c r="T459" s="150"/>
      <c r="U459" s="150"/>
      <c r="V459" s="150"/>
      <c r="W459" s="150"/>
      <c r="X459" s="150"/>
      <c r="Y459" s="150"/>
      <c r="Z459" s="150"/>
      <c r="AA459" s="150"/>
      <c r="AB459" s="150"/>
      <c r="AC459" s="150"/>
      <c r="AD459" s="150"/>
      <c r="AE459" s="150"/>
      <c r="AF459" s="150"/>
      <c r="AG459" s="150"/>
      <c r="AH459" s="150"/>
      <c r="AI459" s="150"/>
      <c r="AJ459" s="150"/>
      <c r="AK459" s="150"/>
      <c r="AL459" s="150"/>
      <c r="AM459" s="150"/>
      <c r="AN459" s="150"/>
      <c r="AO459" s="150"/>
      <c r="AP459" s="150"/>
      <c r="AQ459" s="150"/>
      <c r="AR459" s="150"/>
      <c r="AS459" s="150"/>
      <c r="AT459" s="150"/>
      <c r="AU459" s="150"/>
      <c r="AV459" s="150"/>
      <c r="AW459" s="150"/>
      <c r="AX459" s="150"/>
      <c r="AY459" s="150"/>
      <c r="AZ459" s="150"/>
      <c r="BA459" s="150"/>
      <c r="BB459" s="150"/>
      <c r="BC459" s="150"/>
      <c r="BD459" s="150"/>
      <c r="BE459" s="150"/>
      <c r="BF459" s="150"/>
      <c r="BG459" s="150"/>
      <c r="BH459" s="150"/>
      <c r="BI459" s="150"/>
      <c r="BJ459" s="150"/>
      <c r="BK459" s="150"/>
      <c r="BL459" s="150"/>
      <c r="BM459" s="150"/>
      <c r="BN459" s="150"/>
      <c r="BO459" s="150"/>
      <c r="BP459" s="150"/>
      <c r="BQ459" s="150"/>
      <c r="BR459" s="150"/>
      <c r="BS459" s="150"/>
      <c r="BT459" s="150"/>
      <c r="BU459" s="150"/>
      <c r="BV459" s="150"/>
      <c r="BW459" s="150"/>
      <c r="BX459" s="150"/>
      <c r="BY459" s="150"/>
      <c r="BZ459" s="150"/>
      <c r="CA459" s="150"/>
      <c r="CB459" s="150"/>
      <c r="CC459" s="150"/>
      <c r="CD459" s="150"/>
      <c r="CE459" s="150"/>
      <c r="CF459" s="150"/>
      <c r="CG459" s="150"/>
      <c r="CH459" s="150"/>
      <c r="CI459" s="150"/>
      <c r="CJ459" s="150"/>
      <c r="CK459" s="150"/>
      <c r="CL459" s="150"/>
      <c r="CM459" s="150"/>
      <c r="CN459" s="150"/>
      <c r="CO459" s="150"/>
      <c r="CP459" s="150"/>
      <c r="CQ459" s="150"/>
      <c r="CR459" s="150"/>
      <c r="CS459" s="150"/>
      <c r="CT459" s="150"/>
      <c r="CU459" s="150"/>
      <c r="CV459" s="150"/>
      <c r="CW459" s="150"/>
      <c r="CX459" s="150"/>
      <c r="CY459" s="150"/>
      <c r="CZ459" s="150"/>
      <c r="DA459" s="150"/>
      <c r="DB459" s="150"/>
      <c r="DC459" s="150"/>
      <c r="DD459" s="150"/>
      <c r="DE459" s="150"/>
      <c r="DF459" s="150"/>
      <c r="DG459" s="150"/>
      <c r="DH459" s="150"/>
      <c r="DI459" s="150"/>
      <c r="DJ459" s="150"/>
      <c r="DK459" s="150"/>
    </row>
    <row r="460" spans="1:115" s="227" customFormat="1" x14ac:dyDescent="0.25">
      <c r="A460" s="258"/>
      <c r="B460" s="258"/>
      <c r="C460" s="584"/>
      <c r="D460" s="560"/>
      <c r="E460" s="537"/>
      <c r="F460" s="541"/>
      <c r="G460" s="541"/>
      <c r="H460" s="540">
        <f t="shared" si="68"/>
        <v>0</v>
      </c>
      <c r="I460" s="537"/>
      <c r="J460" s="541"/>
      <c r="K460" s="541"/>
      <c r="L460" s="540">
        <f t="shared" si="69"/>
        <v>0</v>
      </c>
      <c r="M460" s="150"/>
      <c r="N460" s="150"/>
      <c r="O460" s="150"/>
      <c r="P460" s="150"/>
      <c r="Q460" s="150"/>
      <c r="R460" s="150"/>
      <c r="S460" s="150"/>
      <c r="T460" s="150"/>
      <c r="U460" s="150"/>
      <c r="V460" s="150"/>
      <c r="W460" s="150"/>
      <c r="X460" s="150"/>
      <c r="Y460" s="150"/>
      <c r="Z460" s="150"/>
      <c r="AA460" s="150"/>
      <c r="AB460" s="150"/>
      <c r="AC460" s="150"/>
      <c r="AD460" s="150"/>
      <c r="AE460" s="150"/>
      <c r="AF460" s="150"/>
      <c r="AG460" s="150"/>
      <c r="AH460" s="150"/>
      <c r="AI460" s="150"/>
      <c r="AJ460" s="150"/>
      <c r="AK460" s="150"/>
      <c r="AL460" s="150"/>
      <c r="AM460" s="150"/>
      <c r="AN460" s="150"/>
      <c r="AO460" s="150"/>
      <c r="AP460" s="150"/>
      <c r="AQ460" s="150"/>
      <c r="AR460" s="150"/>
      <c r="AS460" s="150"/>
      <c r="AT460" s="150"/>
      <c r="AU460" s="150"/>
      <c r="AV460" s="150"/>
      <c r="AW460" s="150"/>
      <c r="AX460" s="150"/>
      <c r="AY460" s="150"/>
      <c r="AZ460" s="150"/>
      <c r="BA460" s="150"/>
      <c r="BB460" s="150"/>
      <c r="BC460" s="150"/>
      <c r="BD460" s="150"/>
      <c r="BE460" s="150"/>
      <c r="BF460" s="150"/>
      <c r="BG460" s="150"/>
      <c r="BH460" s="150"/>
      <c r="BI460" s="150"/>
      <c r="BJ460" s="150"/>
      <c r="BK460" s="150"/>
      <c r="BL460" s="150"/>
      <c r="BM460" s="150"/>
      <c r="BN460" s="150"/>
      <c r="BO460" s="150"/>
      <c r="BP460" s="150"/>
      <c r="BQ460" s="150"/>
      <c r="BR460" s="150"/>
      <c r="BS460" s="150"/>
      <c r="BT460" s="150"/>
      <c r="BU460" s="150"/>
      <c r="BV460" s="150"/>
      <c r="BW460" s="150"/>
      <c r="BX460" s="150"/>
      <c r="BY460" s="150"/>
      <c r="BZ460" s="150"/>
      <c r="CA460" s="150"/>
      <c r="CB460" s="150"/>
      <c r="CC460" s="150"/>
      <c r="CD460" s="150"/>
      <c r="CE460" s="150"/>
      <c r="CF460" s="150"/>
      <c r="CG460" s="150"/>
      <c r="CH460" s="150"/>
      <c r="CI460" s="150"/>
      <c r="CJ460" s="150"/>
      <c r="CK460" s="150"/>
      <c r="CL460" s="150"/>
      <c r="CM460" s="150"/>
      <c r="CN460" s="150"/>
      <c r="CO460" s="150"/>
      <c r="CP460" s="150"/>
      <c r="CQ460" s="150"/>
      <c r="CR460" s="150"/>
      <c r="CS460" s="150"/>
      <c r="CT460" s="150"/>
      <c r="CU460" s="150"/>
      <c r="CV460" s="150"/>
      <c r="CW460" s="150"/>
      <c r="CX460" s="150"/>
      <c r="CY460" s="150"/>
      <c r="CZ460" s="150"/>
      <c r="DA460" s="150"/>
      <c r="DB460" s="150"/>
      <c r="DC460" s="150"/>
      <c r="DD460" s="150"/>
      <c r="DE460" s="150"/>
      <c r="DF460" s="150"/>
      <c r="DG460" s="150"/>
      <c r="DH460" s="150"/>
      <c r="DI460" s="150"/>
      <c r="DJ460" s="150"/>
      <c r="DK460" s="150"/>
    </row>
    <row r="461" spans="1:115" s="227" customFormat="1" x14ac:dyDescent="0.25">
      <c r="A461" s="258"/>
      <c r="B461" s="258"/>
      <c r="C461" s="584"/>
      <c r="D461" s="560"/>
      <c r="E461" s="537"/>
      <c r="F461" s="541"/>
      <c r="G461" s="541"/>
      <c r="H461" s="540">
        <f t="shared" si="68"/>
        <v>0</v>
      </c>
      <c r="I461" s="537"/>
      <c r="J461" s="541"/>
      <c r="K461" s="541"/>
      <c r="L461" s="540">
        <f t="shared" si="69"/>
        <v>0</v>
      </c>
      <c r="M461" s="150"/>
      <c r="N461" s="150"/>
      <c r="O461" s="150"/>
      <c r="P461" s="150"/>
      <c r="Q461" s="150"/>
      <c r="R461" s="150"/>
      <c r="S461" s="150"/>
      <c r="T461" s="150"/>
      <c r="U461" s="150"/>
      <c r="V461" s="150"/>
      <c r="W461" s="150"/>
      <c r="X461" s="150"/>
      <c r="Y461" s="150"/>
      <c r="Z461" s="150"/>
      <c r="AA461" s="150"/>
      <c r="AB461" s="150"/>
      <c r="AC461" s="150"/>
      <c r="AD461" s="150"/>
      <c r="AE461" s="150"/>
      <c r="AF461" s="150"/>
      <c r="AG461" s="150"/>
      <c r="AH461" s="150"/>
      <c r="AI461" s="150"/>
      <c r="AJ461" s="150"/>
      <c r="AK461" s="150"/>
      <c r="AL461" s="150"/>
      <c r="AM461" s="150"/>
      <c r="AN461" s="150"/>
      <c r="AO461" s="150"/>
      <c r="AP461" s="150"/>
      <c r="AQ461" s="150"/>
      <c r="AR461" s="150"/>
      <c r="AS461" s="150"/>
      <c r="AT461" s="150"/>
      <c r="AU461" s="150"/>
      <c r="AV461" s="150"/>
      <c r="AW461" s="150"/>
      <c r="AX461" s="150"/>
      <c r="AY461" s="150"/>
      <c r="AZ461" s="150"/>
      <c r="BA461" s="150"/>
      <c r="BB461" s="150"/>
      <c r="BC461" s="150"/>
      <c r="BD461" s="150"/>
      <c r="BE461" s="150"/>
      <c r="BF461" s="150"/>
      <c r="BG461" s="150"/>
      <c r="BH461" s="150"/>
      <c r="BI461" s="150"/>
      <c r="BJ461" s="150"/>
      <c r="BK461" s="150"/>
      <c r="BL461" s="150"/>
      <c r="BM461" s="150"/>
      <c r="BN461" s="150"/>
      <c r="BO461" s="150"/>
      <c r="BP461" s="150"/>
      <c r="BQ461" s="150"/>
      <c r="BR461" s="150"/>
      <c r="BS461" s="150"/>
      <c r="BT461" s="150"/>
      <c r="BU461" s="150"/>
      <c r="BV461" s="150"/>
      <c r="BW461" s="150"/>
      <c r="BX461" s="150"/>
      <c r="BY461" s="150"/>
      <c r="BZ461" s="150"/>
      <c r="CA461" s="150"/>
      <c r="CB461" s="150"/>
      <c r="CC461" s="150"/>
      <c r="CD461" s="150"/>
      <c r="CE461" s="150"/>
      <c r="CF461" s="150"/>
      <c r="CG461" s="150"/>
      <c r="CH461" s="150"/>
      <c r="CI461" s="150"/>
      <c r="CJ461" s="150"/>
      <c r="CK461" s="150"/>
      <c r="CL461" s="150"/>
      <c r="CM461" s="150"/>
      <c r="CN461" s="150"/>
      <c r="CO461" s="150"/>
      <c r="CP461" s="150"/>
      <c r="CQ461" s="150"/>
      <c r="CR461" s="150"/>
      <c r="CS461" s="150"/>
      <c r="CT461" s="150"/>
      <c r="CU461" s="150"/>
      <c r="CV461" s="150"/>
      <c r="CW461" s="150"/>
      <c r="CX461" s="150"/>
      <c r="CY461" s="150"/>
      <c r="CZ461" s="150"/>
      <c r="DA461" s="150"/>
      <c r="DB461" s="150"/>
      <c r="DC461" s="150"/>
      <c r="DD461" s="150"/>
      <c r="DE461" s="150"/>
      <c r="DF461" s="150"/>
      <c r="DG461" s="150"/>
      <c r="DH461" s="150"/>
      <c r="DI461" s="150"/>
      <c r="DJ461" s="150"/>
      <c r="DK461" s="150"/>
    </row>
    <row r="462" spans="1:115" s="227" customFormat="1" x14ac:dyDescent="0.25">
      <c r="A462" s="258"/>
      <c r="B462" s="258"/>
      <c r="C462" s="584"/>
      <c r="D462" s="560"/>
      <c r="E462" s="537"/>
      <c r="F462" s="541"/>
      <c r="G462" s="541"/>
      <c r="H462" s="540">
        <f t="shared" si="66"/>
        <v>0</v>
      </c>
      <c r="I462" s="537"/>
      <c r="J462" s="541"/>
      <c r="K462" s="541"/>
      <c r="L462" s="540">
        <f t="shared" ref="L462:L465" si="70">J462*K462</f>
        <v>0</v>
      </c>
      <c r="M462" s="150"/>
      <c r="N462" s="150"/>
      <c r="O462" s="150"/>
      <c r="P462" s="150"/>
      <c r="Q462" s="150"/>
      <c r="R462" s="150"/>
      <c r="S462" s="150"/>
      <c r="T462" s="150"/>
      <c r="U462" s="150"/>
      <c r="V462" s="150"/>
      <c r="W462" s="150"/>
      <c r="X462" s="150"/>
      <c r="Y462" s="150"/>
      <c r="Z462" s="150"/>
      <c r="AA462" s="150"/>
      <c r="AB462" s="150"/>
      <c r="AC462" s="150"/>
      <c r="AD462" s="150"/>
      <c r="AE462" s="150"/>
      <c r="AF462" s="150"/>
      <c r="AG462" s="150"/>
      <c r="AH462" s="150"/>
      <c r="AI462" s="150"/>
      <c r="AJ462" s="150"/>
      <c r="AK462" s="150"/>
      <c r="AL462" s="150"/>
      <c r="AM462" s="150"/>
      <c r="AN462" s="150"/>
      <c r="AO462" s="150"/>
      <c r="AP462" s="150"/>
      <c r="AQ462" s="150"/>
      <c r="AR462" s="150"/>
      <c r="AS462" s="150"/>
      <c r="AT462" s="150"/>
      <c r="AU462" s="150"/>
      <c r="AV462" s="150"/>
      <c r="AW462" s="150"/>
      <c r="AX462" s="150"/>
      <c r="AY462" s="150"/>
      <c r="AZ462" s="150"/>
      <c r="BA462" s="150"/>
      <c r="BB462" s="150"/>
      <c r="BC462" s="150"/>
      <c r="BD462" s="150"/>
      <c r="BE462" s="150"/>
      <c r="BF462" s="150"/>
      <c r="BG462" s="150"/>
      <c r="BH462" s="150"/>
      <c r="BI462" s="150"/>
      <c r="BJ462" s="150"/>
      <c r="BK462" s="150"/>
      <c r="BL462" s="150"/>
      <c r="BM462" s="150"/>
      <c r="BN462" s="150"/>
      <c r="BO462" s="150"/>
      <c r="BP462" s="150"/>
      <c r="BQ462" s="150"/>
      <c r="BR462" s="150"/>
      <c r="BS462" s="150"/>
      <c r="BT462" s="150"/>
      <c r="BU462" s="150"/>
      <c r="BV462" s="150"/>
      <c r="BW462" s="150"/>
      <c r="BX462" s="150"/>
      <c r="BY462" s="150"/>
      <c r="BZ462" s="150"/>
      <c r="CA462" s="150"/>
      <c r="CB462" s="150"/>
      <c r="CC462" s="150"/>
      <c r="CD462" s="150"/>
      <c r="CE462" s="150"/>
      <c r="CF462" s="150"/>
      <c r="CG462" s="150"/>
      <c r="CH462" s="150"/>
      <c r="CI462" s="150"/>
      <c r="CJ462" s="150"/>
      <c r="CK462" s="150"/>
      <c r="CL462" s="150"/>
      <c r="CM462" s="150"/>
      <c r="CN462" s="150"/>
      <c r="CO462" s="150"/>
      <c r="CP462" s="150"/>
      <c r="CQ462" s="150"/>
      <c r="CR462" s="150"/>
      <c r="CS462" s="150"/>
      <c r="CT462" s="150"/>
      <c r="CU462" s="150"/>
      <c r="CV462" s="150"/>
      <c r="CW462" s="150"/>
      <c r="CX462" s="150"/>
      <c r="CY462" s="150"/>
      <c r="CZ462" s="150"/>
      <c r="DA462" s="150"/>
      <c r="DB462" s="150"/>
      <c r="DC462" s="150"/>
      <c r="DD462" s="150"/>
      <c r="DE462" s="150"/>
      <c r="DF462" s="150"/>
      <c r="DG462" s="150"/>
      <c r="DH462" s="150"/>
      <c r="DI462" s="150"/>
      <c r="DJ462" s="150"/>
      <c r="DK462" s="150"/>
    </row>
    <row r="463" spans="1:115" s="227" customFormat="1" x14ac:dyDescent="0.25">
      <c r="A463" s="258"/>
      <c r="B463" s="258"/>
      <c r="C463" s="584"/>
      <c r="D463" s="560"/>
      <c r="E463" s="537"/>
      <c r="F463" s="541"/>
      <c r="G463" s="541"/>
      <c r="H463" s="540">
        <f t="shared" si="66"/>
        <v>0</v>
      </c>
      <c r="I463" s="537"/>
      <c r="J463" s="541"/>
      <c r="K463" s="541"/>
      <c r="L463" s="540">
        <f t="shared" si="70"/>
        <v>0</v>
      </c>
      <c r="M463" s="150"/>
      <c r="N463" s="150"/>
      <c r="O463" s="150"/>
      <c r="P463" s="150"/>
      <c r="Q463" s="150"/>
      <c r="R463" s="150"/>
      <c r="S463" s="150"/>
      <c r="T463" s="150"/>
      <c r="U463" s="150"/>
      <c r="V463" s="150"/>
      <c r="W463" s="150"/>
      <c r="X463" s="150"/>
      <c r="Y463" s="150"/>
      <c r="Z463" s="150"/>
      <c r="AA463" s="150"/>
      <c r="AB463" s="150"/>
      <c r="AC463" s="150"/>
      <c r="AD463" s="150"/>
      <c r="AE463" s="150"/>
      <c r="AF463" s="150"/>
      <c r="AG463" s="150"/>
      <c r="AH463" s="150"/>
      <c r="AI463" s="150"/>
      <c r="AJ463" s="150"/>
      <c r="AK463" s="150"/>
      <c r="AL463" s="150"/>
      <c r="AM463" s="150"/>
      <c r="AN463" s="150"/>
      <c r="AO463" s="150"/>
      <c r="AP463" s="150"/>
      <c r="AQ463" s="150"/>
      <c r="AR463" s="150"/>
      <c r="AS463" s="150"/>
      <c r="AT463" s="150"/>
      <c r="AU463" s="150"/>
      <c r="AV463" s="150"/>
      <c r="AW463" s="150"/>
      <c r="AX463" s="150"/>
      <c r="AY463" s="150"/>
      <c r="AZ463" s="150"/>
      <c r="BA463" s="150"/>
      <c r="BB463" s="150"/>
      <c r="BC463" s="150"/>
      <c r="BD463" s="150"/>
      <c r="BE463" s="150"/>
      <c r="BF463" s="150"/>
      <c r="BG463" s="150"/>
      <c r="BH463" s="150"/>
      <c r="BI463" s="150"/>
      <c r="BJ463" s="150"/>
      <c r="BK463" s="150"/>
      <c r="BL463" s="150"/>
      <c r="BM463" s="150"/>
      <c r="BN463" s="150"/>
      <c r="BO463" s="150"/>
      <c r="BP463" s="150"/>
      <c r="BQ463" s="150"/>
      <c r="BR463" s="150"/>
      <c r="BS463" s="150"/>
      <c r="BT463" s="150"/>
      <c r="BU463" s="150"/>
      <c r="BV463" s="150"/>
      <c r="BW463" s="150"/>
      <c r="BX463" s="150"/>
      <c r="BY463" s="150"/>
      <c r="BZ463" s="150"/>
      <c r="CA463" s="150"/>
      <c r="CB463" s="150"/>
      <c r="CC463" s="150"/>
      <c r="CD463" s="150"/>
      <c r="CE463" s="150"/>
      <c r="CF463" s="150"/>
      <c r="CG463" s="150"/>
      <c r="CH463" s="150"/>
      <c r="CI463" s="150"/>
      <c r="CJ463" s="150"/>
      <c r="CK463" s="150"/>
      <c r="CL463" s="150"/>
      <c r="CM463" s="150"/>
      <c r="CN463" s="150"/>
      <c r="CO463" s="150"/>
      <c r="CP463" s="150"/>
      <c r="CQ463" s="150"/>
      <c r="CR463" s="150"/>
      <c r="CS463" s="150"/>
      <c r="CT463" s="150"/>
      <c r="CU463" s="150"/>
      <c r="CV463" s="150"/>
      <c r="CW463" s="150"/>
      <c r="CX463" s="150"/>
      <c r="CY463" s="150"/>
      <c r="CZ463" s="150"/>
      <c r="DA463" s="150"/>
      <c r="DB463" s="150"/>
      <c r="DC463" s="150"/>
      <c r="DD463" s="150"/>
      <c r="DE463" s="150"/>
      <c r="DF463" s="150"/>
      <c r="DG463" s="150"/>
      <c r="DH463" s="150"/>
      <c r="DI463" s="150"/>
      <c r="DJ463" s="150"/>
      <c r="DK463" s="150"/>
    </row>
    <row r="464" spans="1:115" s="227" customFormat="1" x14ac:dyDescent="0.25">
      <c r="A464" s="258"/>
      <c r="B464" s="258"/>
      <c r="C464" s="584"/>
      <c r="D464" s="560"/>
      <c r="E464" s="537"/>
      <c r="F464" s="541"/>
      <c r="G464" s="541"/>
      <c r="H464" s="540">
        <f t="shared" si="66"/>
        <v>0</v>
      </c>
      <c r="I464" s="537"/>
      <c r="J464" s="541"/>
      <c r="K464" s="541"/>
      <c r="L464" s="540">
        <f t="shared" si="70"/>
        <v>0</v>
      </c>
      <c r="M464" s="150"/>
      <c r="N464" s="150"/>
      <c r="O464" s="150"/>
      <c r="P464" s="150"/>
      <c r="Q464" s="150"/>
      <c r="R464" s="150"/>
      <c r="S464" s="150"/>
      <c r="T464" s="150"/>
      <c r="U464" s="150"/>
      <c r="V464" s="150"/>
      <c r="W464" s="150"/>
      <c r="X464" s="150"/>
      <c r="Y464" s="150"/>
      <c r="Z464" s="150"/>
      <c r="AA464" s="150"/>
      <c r="AB464" s="150"/>
      <c r="AC464" s="150"/>
      <c r="AD464" s="150"/>
      <c r="AE464" s="150"/>
      <c r="AF464" s="150"/>
      <c r="AG464" s="150"/>
      <c r="AH464" s="150"/>
      <c r="AI464" s="150"/>
      <c r="AJ464" s="150"/>
      <c r="AK464" s="150"/>
      <c r="AL464" s="150"/>
      <c r="AM464" s="150"/>
      <c r="AN464" s="150"/>
      <c r="AO464" s="150"/>
      <c r="AP464" s="150"/>
      <c r="AQ464" s="150"/>
      <c r="AR464" s="150"/>
      <c r="AS464" s="150"/>
      <c r="AT464" s="150"/>
      <c r="AU464" s="150"/>
      <c r="AV464" s="150"/>
      <c r="AW464" s="150"/>
      <c r="AX464" s="150"/>
      <c r="AY464" s="150"/>
      <c r="AZ464" s="150"/>
      <c r="BA464" s="150"/>
      <c r="BB464" s="150"/>
      <c r="BC464" s="150"/>
      <c r="BD464" s="150"/>
      <c r="BE464" s="150"/>
      <c r="BF464" s="150"/>
      <c r="BG464" s="150"/>
      <c r="BH464" s="150"/>
      <c r="BI464" s="150"/>
      <c r="BJ464" s="150"/>
      <c r="BK464" s="150"/>
      <c r="BL464" s="150"/>
      <c r="BM464" s="150"/>
      <c r="BN464" s="150"/>
      <c r="BO464" s="150"/>
      <c r="BP464" s="150"/>
      <c r="BQ464" s="150"/>
      <c r="BR464" s="150"/>
      <c r="BS464" s="150"/>
      <c r="BT464" s="150"/>
      <c r="BU464" s="150"/>
      <c r="BV464" s="150"/>
      <c r="BW464" s="150"/>
      <c r="BX464" s="150"/>
      <c r="BY464" s="150"/>
      <c r="BZ464" s="150"/>
      <c r="CA464" s="150"/>
      <c r="CB464" s="150"/>
      <c r="CC464" s="150"/>
      <c r="CD464" s="150"/>
      <c r="CE464" s="150"/>
      <c r="CF464" s="150"/>
      <c r="CG464" s="150"/>
      <c r="CH464" s="150"/>
      <c r="CI464" s="150"/>
      <c r="CJ464" s="150"/>
      <c r="CK464" s="150"/>
      <c r="CL464" s="150"/>
      <c r="CM464" s="150"/>
      <c r="CN464" s="150"/>
      <c r="CO464" s="150"/>
      <c r="CP464" s="150"/>
      <c r="CQ464" s="150"/>
      <c r="CR464" s="150"/>
      <c r="CS464" s="150"/>
      <c r="CT464" s="150"/>
      <c r="CU464" s="150"/>
      <c r="CV464" s="150"/>
      <c r="CW464" s="150"/>
      <c r="CX464" s="150"/>
      <c r="CY464" s="150"/>
      <c r="CZ464" s="150"/>
      <c r="DA464" s="150"/>
      <c r="DB464" s="150"/>
      <c r="DC464" s="150"/>
      <c r="DD464" s="150"/>
      <c r="DE464" s="150"/>
      <c r="DF464" s="150"/>
      <c r="DG464" s="150"/>
      <c r="DH464" s="150"/>
      <c r="DI464" s="150"/>
      <c r="DJ464" s="150"/>
      <c r="DK464" s="150"/>
    </row>
    <row r="465" spans="1:115" s="227" customFormat="1" x14ac:dyDescent="0.25">
      <c r="A465" s="258"/>
      <c r="B465" s="258"/>
      <c r="C465" s="584"/>
      <c r="D465" s="560"/>
      <c r="E465" s="537"/>
      <c r="F465" s="541"/>
      <c r="G465" s="541"/>
      <c r="H465" s="536">
        <f t="shared" si="66"/>
        <v>0</v>
      </c>
      <c r="I465" s="537"/>
      <c r="J465" s="541"/>
      <c r="K465" s="541"/>
      <c r="L465" s="536">
        <f t="shared" si="70"/>
        <v>0</v>
      </c>
      <c r="M465" s="150"/>
      <c r="N465" s="150"/>
      <c r="O465" s="150"/>
      <c r="P465" s="150"/>
      <c r="Q465" s="150"/>
      <c r="R465" s="150"/>
      <c r="S465" s="150"/>
      <c r="T465" s="150"/>
      <c r="U465" s="150"/>
      <c r="V465" s="150"/>
      <c r="W465" s="150"/>
      <c r="X465" s="150"/>
      <c r="Y465" s="150"/>
      <c r="Z465" s="150"/>
      <c r="AA465" s="150"/>
      <c r="AB465" s="150"/>
      <c r="AC465" s="150"/>
      <c r="AD465" s="150"/>
      <c r="AE465" s="150"/>
      <c r="AF465" s="150"/>
      <c r="AG465" s="150"/>
      <c r="AH465" s="150"/>
      <c r="AI465" s="150"/>
      <c r="AJ465" s="150"/>
      <c r="AK465" s="150"/>
      <c r="AL465" s="150"/>
      <c r="AM465" s="150"/>
      <c r="AN465" s="150"/>
      <c r="AO465" s="150"/>
      <c r="AP465" s="150"/>
      <c r="AQ465" s="150"/>
      <c r="AR465" s="150"/>
      <c r="AS465" s="150"/>
      <c r="AT465" s="150"/>
      <c r="AU465" s="150"/>
      <c r="AV465" s="150"/>
      <c r="AW465" s="150"/>
      <c r="AX465" s="150"/>
      <c r="AY465" s="150"/>
      <c r="AZ465" s="150"/>
      <c r="BA465" s="150"/>
      <c r="BB465" s="150"/>
      <c r="BC465" s="150"/>
      <c r="BD465" s="150"/>
      <c r="BE465" s="150"/>
      <c r="BF465" s="150"/>
      <c r="BG465" s="150"/>
      <c r="BH465" s="150"/>
      <c r="BI465" s="150"/>
      <c r="BJ465" s="150"/>
      <c r="BK465" s="150"/>
      <c r="BL465" s="150"/>
      <c r="BM465" s="150"/>
      <c r="BN465" s="150"/>
      <c r="BO465" s="150"/>
      <c r="BP465" s="150"/>
      <c r="BQ465" s="150"/>
      <c r="BR465" s="150"/>
      <c r="BS465" s="150"/>
      <c r="BT465" s="150"/>
      <c r="BU465" s="150"/>
      <c r="BV465" s="150"/>
      <c r="BW465" s="150"/>
      <c r="BX465" s="150"/>
      <c r="BY465" s="150"/>
      <c r="BZ465" s="150"/>
      <c r="CA465" s="150"/>
      <c r="CB465" s="150"/>
      <c r="CC465" s="150"/>
      <c r="CD465" s="150"/>
      <c r="CE465" s="150"/>
      <c r="CF465" s="150"/>
      <c r="CG465" s="150"/>
      <c r="CH465" s="150"/>
      <c r="CI465" s="150"/>
      <c r="CJ465" s="150"/>
      <c r="CK465" s="150"/>
      <c r="CL465" s="150"/>
      <c r="CM465" s="150"/>
      <c r="CN465" s="150"/>
      <c r="CO465" s="150"/>
      <c r="CP465" s="150"/>
      <c r="CQ465" s="150"/>
      <c r="CR465" s="150"/>
      <c r="CS465" s="150"/>
      <c r="CT465" s="150"/>
      <c r="CU465" s="150"/>
      <c r="CV465" s="150"/>
      <c r="CW465" s="150"/>
      <c r="CX465" s="150"/>
      <c r="CY465" s="150"/>
      <c r="CZ465" s="150"/>
      <c r="DA465" s="150"/>
      <c r="DB465" s="150"/>
      <c r="DC465" s="150"/>
      <c r="DD465" s="150"/>
      <c r="DE465" s="150"/>
      <c r="DF465" s="150"/>
      <c r="DG465" s="150"/>
      <c r="DH465" s="150"/>
      <c r="DI465" s="150"/>
      <c r="DJ465" s="150"/>
      <c r="DK465" s="150"/>
    </row>
    <row r="466" spans="1:115" s="227" customFormat="1" x14ac:dyDescent="0.25">
      <c r="A466" s="258"/>
      <c r="B466" s="258"/>
      <c r="C466" s="585"/>
      <c r="D466" s="560"/>
      <c r="E466" s="537"/>
      <c r="F466" s="253"/>
      <c r="G466" s="541"/>
      <c r="H466" s="536">
        <f>F466*G466</f>
        <v>0</v>
      </c>
      <c r="I466" s="537"/>
      <c r="J466" s="253"/>
      <c r="K466" s="541"/>
      <c r="L466" s="536">
        <f>J466*K466</f>
        <v>0</v>
      </c>
      <c r="M466" s="150"/>
      <c r="N466" s="150"/>
      <c r="O466" s="150"/>
      <c r="P466" s="150"/>
      <c r="Q466" s="150"/>
      <c r="R466" s="150"/>
      <c r="S466" s="150"/>
      <c r="T466" s="150"/>
      <c r="U466" s="150"/>
      <c r="V466" s="150"/>
      <c r="W466" s="150"/>
      <c r="X466" s="150"/>
      <c r="Y466" s="150"/>
      <c r="Z466" s="150"/>
      <c r="AA466" s="150"/>
      <c r="AB466" s="150"/>
      <c r="AC466" s="150"/>
      <c r="AD466" s="150"/>
      <c r="AE466" s="150"/>
      <c r="AF466" s="150"/>
      <c r="AG466" s="150"/>
      <c r="AH466" s="150"/>
      <c r="AI466" s="150"/>
      <c r="AJ466" s="150"/>
      <c r="AK466" s="150"/>
      <c r="AL466" s="150"/>
      <c r="AM466" s="150"/>
      <c r="AN466" s="150"/>
      <c r="AO466" s="150"/>
      <c r="AP466" s="150"/>
      <c r="AQ466" s="150"/>
      <c r="AR466" s="150"/>
      <c r="AS466" s="150"/>
      <c r="AT466" s="150"/>
      <c r="AU466" s="150"/>
      <c r="AV466" s="150"/>
      <c r="AW466" s="150"/>
      <c r="AX466" s="150"/>
      <c r="AY466" s="150"/>
      <c r="AZ466" s="150"/>
      <c r="BA466" s="150"/>
      <c r="BB466" s="150"/>
      <c r="BC466" s="150"/>
      <c r="BD466" s="150"/>
      <c r="BE466" s="150"/>
      <c r="BF466" s="150"/>
      <c r="BG466" s="150"/>
      <c r="BH466" s="150"/>
      <c r="BI466" s="150"/>
      <c r="BJ466" s="150"/>
      <c r="BK466" s="150"/>
      <c r="BL466" s="150"/>
      <c r="BM466" s="150"/>
      <c r="BN466" s="150"/>
      <c r="BO466" s="150"/>
      <c r="BP466" s="150"/>
      <c r="BQ466" s="150"/>
      <c r="BR466" s="150"/>
      <c r="BS466" s="150"/>
      <c r="BT466" s="150"/>
      <c r="BU466" s="150"/>
      <c r="BV466" s="150"/>
      <c r="BW466" s="150"/>
      <c r="BX466" s="150"/>
      <c r="BY466" s="150"/>
      <c r="BZ466" s="150"/>
      <c r="CA466" s="150"/>
      <c r="CB466" s="150"/>
      <c r="CC466" s="150"/>
      <c r="CD466" s="150"/>
      <c r="CE466" s="150"/>
      <c r="CF466" s="150"/>
      <c r="CG466" s="150"/>
      <c r="CH466" s="150"/>
      <c r="CI466" s="150"/>
      <c r="CJ466" s="150"/>
      <c r="CK466" s="150"/>
      <c r="CL466" s="150"/>
      <c r="CM466" s="150"/>
      <c r="CN466" s="150"/>
      <c r="CO466" s="150"/>
      <c r="CP466" s="150"/>
      <c r="CQ466" s="150"/>
      <c r="CR466" s="150"/>
      <c r="CS466" s="150"/>
      <c r="CT466" s="150"/>
      <c r="CU466" s="150"/>
      <c r="CV466" s="150"/>
      <c r="CW466" s="150"/>
      <c r="CX466" s="150"/>
      <c r="CY466" s="150"/>
      <c r="CZ466" s="150"/>
      <c r="DA466" s="150"/>
      <c r="DB466" s="150"/>
      <c r="DC466" s="150"/>
      <c r="DD466" s="150"/>
      <c r="DE466" s="150"/>
      <c r="DF466" s="150"/>
      <c r="DG466" s="150"/>
      <c r="DH466" s="150"/>
      <c r="DI466" s="150"/>
      <c r="DJ466" s="150"/>
      <c r="DK466" s="150"/>
    </row>
    <row r="467" spans="1:115" x14ac:dyDescent="0.25">
      <c r="A467" s="258"/>
      <c r="B467" s="258"/>
      <c r="C467" s="584"/>
      <c r="D467" s="559" t="s">
        <v>0</v>
      </c>
      <c r="E467" s="534"/>
      <c r="F467" s="542">
        <f>SUM(F449:F466)</f>
        <v>0</v>
      </c>
      <c r="G467" s="543" t="e">
        <f>H467/F467</f>
        <v>#DIV/0!</v>
      </c>
      <c r="H467" s="544">
        <f>SUM(H449:H466)</f>
        <v>0</v>
      </c>
      <c r="I467" s="534"/>
      <c r="J467" s="542">
        <f>SUM(J449:J466)</f>
        <v>0</v>
      </c>
      <c r="K467" s="543" t="e">
        <f>L467/J467</f>
        <v>#DIV/0!</v>
      </c>
      <c r="L467" s="544">
        <f>SUM(L449:L466)</f>
        <v>0</v>
      </c>
    </row>
    <row r="468" spans="1:115" x14ac:dyDescent="0.25">
      <c r="A468" s="545"/>
      <c r="B468" s="545"/>
      <c r="C468" s="586"/>
      <c r="D468" s="561"/>
      <c r="E468" s="546"/>
      <c r="F468" s="546"/>
      <c r="G468" s="547"/>
      <c r="H468" s="548"/>
      <c r="I468" s="546"/>
      <c r="J468" s="546"/>
      <c r="K468" s="547"/>
      <c r="L468" s="548"/>
    </row>
    <row r="469" spans="1:115" x14ac:dyDescent="0.25">
      <c r="A469" s="258"/>
      <c r="B469" s="258"/>
      <c r="C469" s="584"/>
      <c r="D469" s="558"/>
      <c r="E469" s="534"/>
      <c r="F469" s="253"/>
      <c r="G469" s="535"/>
      <c r="H469" s="536">
        <f t="shared" ref="H469:H494" si="71">F469*G469</f>
        <v>0</v>
      </c>
      <c r="I469" s="534"/>
      <c r="J469" s="253"/>
      <c r="K469" s="535"/>
      <c r="L469" s="536">
        <f t="shared" ref="L469:L485" si="72">J469*K469</f>
        <v>0</v>
      </c>
    </row>
    <row r="470" spans="1:115" x14ac:dyDescent="0.25">
      <c r="A470" s="258"/>
      <c r="B470" s="258"/>
      <c r="C470" s="584"/>
      <c r="D470" s="559">
        <f>D450+1</f>
        <v>45654</v>
      </c>
      <c r="E470" s="534"/>
      <c r="F470" s="253"/>
      <c r="G470" s="541"/>
      <c r="H470" s="536">
        <f t="shared" si="71"/>
        <v>0</v>
      </c>
      <c r="I470" s="534"/>
      <c r="J470" s="253"/>
      <c r="K470" s="541"/>
      <c r="L470" s="536">
        <f t="shared" si="72"/>
        <v>0</v>
      </c>
    </row>
    <row r="471" spans="1:115" s="227" customFormat="1" x14ac:dyDescent="0.25">
      <c r="A471" s="258"/>
      <c r="B471" s="258"/>
      <c r="C471" s="584"/>
      <c r="D471" s="560"/>
      <c r="E471" s="537"/>
      <c r="F471" s="541"/>
      <c r="G471" s="541"/>
      <c r="H471" s="540">
        <f t="shared" si="71"/>
        <v>0</v>
      </c>
      <c r="I471" s="537"/>
      <c r="J471" s="541"/>
      <c r="K471" s="541"/>
      <c r="L471" s="540">
        <f t="shared" si="72"/>
        <v>0</v>
      </c>
      <c r="M471" s="150"/>
      <c r="N471" s="150"/>
      <c r="O471" s="150"/>
      <c r="P471" s="150"/>
      <c r="Q471" s="150"/>
      <c r="R471" s="150"/>
      <c r="S471" s="150"/>
      <c r="T471" s="150"/>
      <c r="U471" s="150"/>
      <c r="V471" s="150"/>
      <c r="W471" s="150"/>
      <c r="X471" s="150"/>
      <c r="Y471" s="150"/>
      <c r="Z471" s="150"/>
      <c r="AA471" s="150"/>
      <c r="AB471" s="150"/>
      <c r="AC471" s="150"/>
      <c r="AD471" s="150"/>
      <c r="AE471" s="150"/>
      <c r="AF471" s="150"/>
      <c r="AG471" s="150"/>
      <c r="AH471" s="150"/>
      <c r="AI471" s="150"/>
      <c r="AJ471" s="150"/>
      <c r="AK471" s="150"/>
      <c r="AL471" s="150"/>
      <c r="AM471" s="150"/>
      <c r="AN471" s="150"/>
      <c r="AO471" s="150"/>
      <c r="AP471" s="150"/>
      <c r="AQ471" s="150"/>
      <c r="AR471" s="150"/>
      <c r="AS471" s="150"/>
      <c r="AT471" s="150"/>
      <c r="AU471" s="150"/>
      <c r="AV471" s="150"/>
      <c r="AW471" s="150"/>
      <c r="AX471" s="150"/>
      <c r="AY471" s="150"/>
      <c r="AZ471" s="150"/>
      <c r="BA471" s="150"/>
      <c r="BB471" s="150"/>
      <c r="BC471" s="150"/>
      <c r="BD471" s="150"/>
      <c r="BE471" s="150"/>
      <c r="BF471" s="150"/>
      <c r="BG471" s="150"/>
      <c r="BH471" s="150"/>
      <c r="BI471" s="150"/>
      <c r="BJ471" s="150"/>
      <c r="BK471" s="150"/>
      <c r="BL471" s="150"/>
      <c r="BM471" s="150"/>
      <c r="BN471" s="150"/>
      <c r="BO471" s="150"/>
      <c r="BP471" s="150"/>
      <c r="BQ471" s="150"/>
      <c r="BR471" s="150"/>
      <c r="BS471" s="150"/>
      <c r="BT471" s="150"/>
      <c r="BU471" s="150"/>
      <c r="BV471" s="150"/>
      <c r="BW471" s="150"/>
      <c r="BX471" s="150"/>
      <c r="BY471" s="150"/>
      <c r="BZ471" s="150"/>
      <c r="CA471" s="150"/>
      <c r="CB471" s="150"/>
      <c r="CC471" s="150"/>
      <c r="CD471" s="150"/>
      <c r="CE471" s="150"/>
      <c r="CF471" s="150"/>
      <c r="CG471" s="150"/>
      <c r="CH471" s="150"/>
      <c r="CI471" s="150"/>
      <c r="CJ471" s="150"/>
      <c r="CK471" s="150"/>
      <c r="CL471" s="150"/>
      <c r="CM471" s="150"/>
      <c r="CN471" s="150"/>
      <c r="CO471" s="150"/>
      <c r="CP471" s="150"/>
      <c r="CQ471" s="150"/>
      <c r="CR471" s="150"/>
      <c r="CS471" s="150"/>
      <c r="CT471" s="150"/>
      <c r="CU471" s="150"/>
      <c r="CV471" s="150"/>
      <c r="CW471" s="150"/>
      <c r="CX471" s="150"/>
      <c r="CY471" s="150"/>
      <c r="CZ471" s="150"/>
      <c r="DA471" s="150"/>
      <c r="DB471" s="150"/>
      <c r="DC471" s="150"/>
      <c r="DD471" s="150"/>
      <c r="DE471" s="150"/>
      <c r="DF471" s="150"/>
      <c r="DG471" s="150"/>
      <c r="DH471" s="150"/>
      <c r="DI471" s="150"/>
      <c r="DJ471" s="150"/>
      <c r="DK471" s="150"/>
    </row>
    <row r="472" spans="1:115" s="227" customFormat="1" x14ac:dyDescent="0.25">
      <c r="A472" s="258"/>
      <c r="B472" s="258"/>
      <c r="C472" s="584"/>
      <c r="D472" s="560"/>
      <c r="E472" s="537"/>
      <c r="F472" s="541"/>
      <c r="G472" s="541"/>
      <c r="H472" s="540">
        <f t="shared" si="71"/>
        <v>0</v>
      </c>
      <c r="I472" s="537"/>
      <c r="J472" s="541"/>
      <c r="K472" s="541"/>
      <c r="L472" s="540">
        <f t="shared" si="72"/>
        <v>0</v>
      </c>
      <c r="M472" s="150"/>
      <c r="N472" s="150"/>
      <c r="O472" s="150"/>
      <c r="P472" s="150"/>
      <c r="Q472" s="150"/>
      <c r="R472" s="150"/>
      <c r="S472" s="150"/>
      <c r="T472" s="150"/>
      <c r="U472" s="150"/>
      <c r="V472" s="150"/>
      <c r="W472" s="150"/>
      <c r="X472" s="150"/>
      <c r="Y472" s="150"/>
      <c r="Z472" s="150"/>
      <c r="AA472" s="150"/>
      <c r="AB472" s="150"/>
      <c r="AC472" s="150"/>
      <c r="AD472" s="150"/>
      <c r="AE472" s="150"/>
      <c r="AF472" s="150"/>
      <c r="AG472" s="150"/>
      <c r="AH472" s="150"/>
      <c r="AI472" s="150"/>
      <c r="AJ472" s="150"/>
      <c r="AK472" s="150"/>
      <c r="AL472" s="150"/>
      <c r="AM472" s="150"/>
      <c r="AN472" s="150"/>
      <c r="AO472" s="150"/>
      <c r="AP472" s="150"/>
      <c r="AQ472" s="150"/>
      <c r="AR472" s="150"/>
      <c r="AS472" s="150"/>
      <c r="AT472" s="150"/>
      <c r="AU472" s="150"/>
      <c r="AV472" s="150"/>
      <c r="AW472" s="150"/>
      <c r="AX472" s="150"/>
      <c r="AY472" s="150"/>
      <c r="AZ472" s="150"/>
      <c r="BA472" s="150"/>
      <c r="BB472" s="150"/>
      <c r="BC472" s="150"/>
      <c r="BD472" s="150"/>
      <c r="BE472" s="150"/>
      <c r="BF472" s="150"/>
      <c r="BG472" s="150"/>
      <c r="BH472" s="150"/>
      <c r="BI472" s="150"/>
      <c r="BJ472" s="150"/>
      <c r="BK472" s="150"/>
      <c r="BL472" s="150"/>
      <c r="BM472" s="150"/>
      <c r="BN472" s="150"/>
      <c r="BO472" s="150"/>
      <c r="BP472" s="150"/>
      <c r="BQ472" s="150"/>
      <c r="BR472" s="150"/>
      <c r="BS472" s="150"/>
      <c r="BT472" s="150"/>
      <c r="BU472" s="150"/>
      <c r="BV472" s="150"/>
      <c r="BW472" s="150"/>
      <c r="BX472" s="150"/>
      <c r="BY472" s="150"/>
      <c r="BZ472" s="150"/>
      <c r="CA472" s="150"/>
      <c r="CB472" s="150"/>
      <c r="CC472" s="150"/>
      <c r="CD472" s="150"/>
      <c r="CE472" s="150"/>
      <c r="CF472" s="150"/>
      <c r="CG472" s="150"/>
      <c r="CH472" s="150"/>
      <c r="CI472" s="150"/>
      <c r="CJ472" s="150"/>
      <c r="CK472" s="150"/>
      <c r="CL472" s="150"/>
      <c r="CM472" s="150"/>
      <c r="CN472" s="150"/>
      <c r="CO472" s="150"/>
      <c r="CP472" s="150"/>
      <c r="CQ472" s="150"/>
      <c r="CR472" s="150"/>
      <c r="CS472" s="150"/>
      <c r="CT472" s="150"/>
      <c r="CU472" s="150"/>
      <c r="CV472" s="150"/>
      <c r="CW472" s="150"/>
      <c r="CX472" s="150"/>
      <c r="CY472" s="150"/>
      <c r="CZ472" s="150"/>
      <c r="DA472" s="150"/>
      <c r="DB472" s="150"/>
      <c r="DC472" s="150"/>
      <c r="DD472" s="150"/>
      <c r="DE472" s="150"/>
      <c r="DF472" s="150"/>
      <c r="DG472" s="150"/>
      <c r="DH472" s="150"/>
      <c r="DI472" s="150"/>
      <c r="DJ472" s="150"/>
      <c r="DK472" s="150"/>
    </row>
    <row r="473" spans="1:115" s="227" customFormat="1" x14ac:dyDescent="0.25">
      <c r="A473" s="258"/>
      <c r="B473" s="258"/>
      <c r="C473" s="584"/>
      <c r="D473" s="560"/>
      <c r="E473" s="537"/>
      <c r="F473" s="541"/>
      <c r="G473" s="541"/>
      <c r="H473" s="540">
        <f t="shared" si="71"/>
        <v>0</v>
      </c>
      <c r="I473" s="537"/>
      <c r="J473" s="541"/>
      <c r="K473" s="541"/>
      <c r="L473" s="540">
        <f t="shared" si="72"/>
        <v>0</v>
      </c>
      <c r="M473" s="150"/>
      <c r="N473" s="150"/>
      <c r="O473" s="150"/>
      <c r="P473" s="150"/>
      <c r="Q473" s="150"/>
      <c r="R473" s="150"/>
      <c r="S473" s="150"/>
      <c r="T473" s="150"/>
      <c r="U473" s="150"/>
      <c r="V473" s="150"/>
      <c r="W473" s="150"/>
      <c r="X473" s="150"/>
      <c r="Y473" s="150"/>
      <c r="Z473" s="150"/>
      <c r="AA473" s="150"/>
      <c r="AB473" s="150"/>
      <c r="AC473" s="150"/>
      <c r="AD473" s="150"/>
      <c r="AE473" s="150"/>
      <c r="AF473" s="150"/>
      <c r="AG473" s="150"/>
      <c r="AH473" s="150"/>
      <c r="AI473" s="150"/>
      <c r="AJ473" s="150"/>
      <c r="AK473" s="150"/>
      <c r="AL473" s="150"/>
      <c r="AM473" s="150"/>
      <c r="AN473" s="150"/>
      <c r="AO473" s="150"/>
      <c r="AP473" s="150"/>
      <c r="AQ473" s="150"/>
      <c r="AR473" s="150"/>
      <c r="AS473" s="150"/>
      <c r="AT473" s="150"/>
      <c r="AU473" s="150"/>
      <c r="AV473" s="150"/>
      <c r="AW473" s="150"/>
      <c r="AX473" s="150"/>
      <c r="AY473" s="150"/>
      <c r="AZ473" s="150"/>
      <c r="BA473" s="150"/>
      <c r="BB473" s="150"/>
      <c r="BC473" s="150"/>
      <c r="BD473" s="150"/>
      <c r="BE473" s="150"/>
      <c r="BF473" s="150"/>
      <c r="BG473" s="150"/>
      <c r="BH473" s="150"/>
      <c r="BI473" s="150"/>
      <c r="BJ473" s="150"/>
      <c r="BK473" s="150"/>
      <c r="BL473" s="150"/>
      <c r="BM473" s="150"/>
      <c r="BN473" s="150"/>
      <c r="BO473" s="150"/>
      <c r="BP473" s="150"/>
      <c r="BQ473" s="150"/>
      <c r="BR473" s="150"/>
      <c r="BS473" s="150"/>
      <c r="BT473" s="150"/>
      <c r="BU473" s="150"/>
      <c r="BV473" s="150"/>
      <c r="BW473" s="150"/>
      <c r="BX473" s="150"/>
      <c r="BY473" s="150"/>
      <c r="BZ473" s="150"/>
      <c r="CA473" s="150"/>
      <c r="CB473" s="150"/>
      <c r="CC473" s="150"/>
      <c r="CD473" s="150"/>
      <c r="CE473" s="150"/>
      <c r="CF473" s="150"/>
      <c r="CG473" s="150"/>
      <c r="CH473" s="150"/>
      <c r="CI473" s="150"/>
      <c r="CJ473" s="150"/>
      <c r="CK473" s="150"/>
      <c r="CL473" s="150"/>
      <c r="CM473" s="150"/>
      <c r="CN473" s="150"/>
      <c r="CO473" s="150"/>
      <c r="CP473" s="150"/>
      <c r="CQ473" s="150"/>
      <c r="CR473" s="150"/>
      <c r="CS473" s="150"/>
      <c r="CT473" s="150"/>
      <c r="CU473" s="150"/>
      <c r="CV473" s="150"/>
      <c r="CW473" s="150"/>
      <c r="CX473" s="150"/>
      <c r="CY473" s="150"/>
      <c r="CZ473" s="150"/>
      <c r="DA473" s="150"/>
      <c r="DB473" s="150"/>
      <c r="DC473" s="150"/>
      <c r="DD473" s="150"/>
      <c r="DE473" s="150"/>
      <c r="DF473" s="150"/>
      <c r="DG473" s="150"/>
      <c r="DH473" s="150"/>
      <c r="DI473" s="150"/>
      <c r="DJ473" s="150"/>
      <c r="DK473" s="150"/>
    </row>
    <row r="474" spans="1:115" s="227" customFormat="1" x14ac:dyDescent="0.25">
      <c r="A474" s="258"/>
      <c r="B474" s="258"/>
      <c r="C474" s="584"/>
      <c r="D474" s="560"/>
      <c r="E474" s="537"/>
      <c r="F474" s="541"/>
      <c r="G474" s="541"/>
      <c r="H474" s="540">
        <f t="shared" si="71"/>
        <v>0</v>
      </c>
      <c r="I474" s="537"/>
      <c r="J474" s="541"/>
      <c r="K474" s="541"/>
      <c r="L474" s="540">
        <f t="shared" si="72"/>
        <v>0</v>
      </c>
      <c r="M474" s="150"/>
      <c r="N474" s="150"/>
      <c r="O474" s="150"/>
      <c r="P474" s="150"/>
      <c r="Q474" s="150"/>
      <c r="R474" s="150"/>
      <c r="S474" s="150"/>
      <c r="T474" s="150"/>
      <c r="U474" s="150"/>
      <c r="V474" s="150"/>
      <c r="W474" s="150"/>
      <c r="X474" s="150"/>
      <c r="Y474" s="150"/>
      <c r="Z474" s="150"/>
      <c r="AA474" s="150"/>
      <c r="AB474" s="150"/>
      <c r="AC474" s="150"/>
      <c r="AD474" s="150"/>
      <c r="AE474" s="150"/>
      <c r="AF474" s="150"/>
      <c r="AG474" s="150"/>
      <c r="AH474" s="150"/>
      <c r="AI474" s="150"/>
      <c r="AJ474" s="150"/>
      <c r="AK474" s="150"/>
      <c r="AL474" s="150"/>
      <c r="AM474" s="150"/>
      <c r="AN474" s="150"/>
      <c r="AO474" s="150"/>
      <c r="AP474" s="150"/>
      <c r="AQ474" s="150"/>
      <c r="AR474" s="150"/>
      <c r="AS474" s="150"/>
      <c r="AT474" s="150"/>
      <c r="AU474" s="150"/>
      <c r="AV474" s="150"/>
      <c r="AW474" s="150"/>
      <c r="AX474" s="150"/>
      <c r="AY474" s="150"/>
      <c r="AZ474" s="150"/>
      <c r="BA474" s="150"/>
      <c r="BB474" s="150"/>
      <c r="BC474" s="150"/>
      <c r="BD474" s="150"/>
      <c r="BE474" s="150"/>
      <c r="BF474" s="150"/>
      <c r="BG474" s="150"/>
      <c r="BH474" s="150"/>
      <c r="BI474" s="150"/>
      <c r="BJ474" s="150"/>
      <c r="BK474" s="150"/>
      <c r="BL474" s="150"/>
      <c r="BM474" s="150"/>
      <c r="BN474" s="150"/>
      <c r="BO474" s="150"/>
      <c r="BP474" s="150"/>
      <c r="BQ474" s="150"/>
      <c r="BR474" s="150"/>
      <c r="BS474" s="150"/>
      <c r="BT474" s="150"/>
      <c r="BU474" s="150"/>
      <c r="BV474" s="150"/>
      <c r="BW474" s="150"/>
      <c r="BX474" s="150"/>
      <c r="BY474" s="150"/>
      <c r="BZ474" s="150"/>
      <c r="CA474" s="150"/>
      <c r="CB474" s="150"/>
      <c r="CC474" s="150"/>
      <c r="CD474" s="150"/>
      <c r="CE474" s="150"/>
      <c r="CF474" s="150"/>
      <c r="CG474" s="150"/>
      <c r="CH474" s="150"/>
      <c r="CI474" s="150"/>
      <c r="CJ474" s="150"/>
      <c r="CK474" s="150"/>
      <c r="CL474" s="150"/>
      <c r="CM474" s="150"/>
      <c r="CN474" s="150"/>
      <c r="CO474" s="150"/>
      <c r="CP474" s="150"/>
      <c r="CQ474" s="150"/>
      <c r="CR474" s="150"/>
      <c r="CS474" s="150"/>
      <c r="CT474" s="150"/>
      <c r="CU474" s="150"/>
      <c r="CV474" s="150"/>
      <c r="CW474" s="150"/>
      <c r="CX474" s="150"/>
      <c r="CY474" s="150"/>
      <c r="CZ474" s="150"/>
      <c r="DA474" s="150"/>
      <c r="DB474" s="150"/>
      <c r="DC474" s="150"/>
      <c r="DD474" s="150"/>
      <c r="DE474" s="150"/>
      <c r="DF474" s="150"/>
      <c r="DG474" s="150"/>
      <c r="DH474" s="150"/>
      <c r="DI474" s="150"/>
      <c r="DJ474" s="150"/>
      <c r="DK474" s="150"/>
    </row>
    <row r="475" spans="1:115" s="227" customFormat="1" x14ac:dyDescent="0.25">
      <c r="A475" s="258"/>
      <c r="B475" s="258"/>
      <c r="C475" s="584"/>
      <c r="D475" s="560"/>
      <c r="E475" s="537"/>
      <c r="F475" s="541"/>
      <c r="G475" s="541"/>
      <c r="H475" s="540">
        <f t="shared" si="71"/>
        <v>0</v>
      </c>
      <c r="I475" s="537"/>
      <c r="J475" s="541"/>
      <c r="K475" s="541"/>
      <c r="L475" s="540">
        <f t="shared" si="72"/>
        <v>0</v>
      </c>
      <c r="M475" s="150"/>
      <c r="N475" s="150"/>
      <c r="O475" s="150"/>
      <c r="P475" s="150"/>
      <c r="Q475" s="150"/>
      <c r="R475" s="150"/>
      <c r="S475" s="150"/>
      <c r="T475" s="150"/>
      <c r="U475" s="150"/>
      <c r="V475" s="150"/>
      <c r="W475" s="150"/>
      <c r="X475" s="150"/>
      <c r="Y475" s="150"/>
      <c r="Z475" s="150"/>
      <c r="AA475" s="150"/>
      <c r="AB475" s="150"/>
      <c r="AC475" s="150"/>
      <c r="AD475" s="150"/>
      <c r="AE475" s="150"/>
      <c r="AF475" s="150"/>
      <c r="AG475" s="150"/>
      <c r="AH475" s="150"/>
      <c r="AI475" s="150"/>
      <c r="AJ475" s="150"/>
      <c r="AK475" s="150"/>
      <c r="AL475" s="150"/>
      <c r="AM475" s="150"/>
      <c r="AN475" s="150"/>
      <c r="AO475" s="150"/>
      <c r="AP475" s="150"/>
      <c r="AQ475" s="150"/>
      <c r="AR475" s="150"/>
      <c r="AS475" s="150"/>
      <c r="AT475" s="150"/>
      <c r="AU475" s="150"/>
      <c r="AV475" s="150"/>
      <c r="AW475" s="150"/>
      <c r="AX475" s="150"/>
      <c r="AY475" s="150"/>
      <c r="AZ475" s="150"/>
      <c r="BA475" s="150"/>
      <c r="BB475" s="150"/>
      <c r="BC475" s="150"/>
      <c r="BD475" s="150"/>
      <c r="BE475" s="150"/>
      <c r="BF475" s="150"/>
      <c r="BG475" s="150"/>
      <c r="BH475" s="150"/>
      <c r="BI475" s="150"/>
      <c r="BJ475" s="150"/>
      <c r="BK475" s="150"/>
      <c r="BL475" s="150"/>
      <c r="BM475" s="150"/>
      <c r="BN475" s="150"/>
      <c r="BO475" s="150"/>
      <c r="BP475" s="150"/>
      <c r="BQ475" s="150"/>
      <c r="BR475" s="150"/>
      <c r="BS475" s="150"/>
      <c r="BT475" s="150"/>
      <c r="BU475" s="150"/>
      <c r="BV475" s="150"/>
      <c r="BW475" s="150"/>
      <c r="BX475" s="150"/>
      <c r="BY475" s="150"/>
      <c r="BZ475" s="150"/>
      <c r="CA475" s="150"/>
      <c r="CB475" s="150"/>
      <c r="CC475" s="150"/>
      <c r="CD475" s="150"/>
      <c r="CE475" s="150"/>
      <c r="CF475" s="150"/>
      <c r="CG475" s="150"/>
      <c r="CH475" s="150"/>
      <c r="CI475" s="150"/>
      <c r="CJ475" s="150"/>
      <c r="CK475" s="150"/>
      <c r="CL475" s="150"/>
      <c r="CM475" s="150"/>
      <c r="CN475" s="150"/>
      <c r="CO475" s="150"/>
      <c r="CP475" s="150"/>
      <c r="CQ475" s="150"/>
      <c r="CR475" s="150"/>
      <c r="CS475" s="150"/>
      <c r="CT475" s="150"/>
      <c r="CU475" s="150"/>
      <c r="CV475" s="150"/>
      <c r="CW475" s="150"/>
      <c r="CX475" s="150"/>
      <c r="CY475" s="150"/>
      <c r="CZ475" s="150"/>
      <c r="DA475" s="150"/>
      <c r="DB475" s="150"/>
      <c r="DC475" s="150"/>
      <c r="DD475" s="150"/>
      <c r="DE475" s="150"/>
      <c r="DF475" s="150"/>
      <c r="DG475" s="150"/>
      <c r="DH475" s="150"/>
      <c r="DI475" s="150"/>
      <c r="DJ475" s="150"/>
      <c r="DK475" s="150"/>
    </row>
    <row r="476" spans="1:115" s="227" customFormat="1" x14ac:dyDescent="0.25">
      <c r="A476" s="258"/>
      <c r="B476" s="258"/>
      <c r="C476" s="584"/>
      <c r="D476" s="560"/>
      <c r="E476" s="537"/>
      <c r="F476" s="541"/>
      <c r="G476" s="541"/>
      <c r="H476" s="540">
        <f t="shared" si="71"/>
        <v>0</v>
      </c>
      <c r="I476" s="537"/>
      <c r="J476" s="541"/>
      <c r="K476" s="541"/>
      <c r="L476" s="540">
        <f t="shared" si="72"/>
        <v>0</v>
      </c>
      <c r="M476" s="150"/>
      <c r="N476" s="150"/>
      <c r="O476" s="150"/>
      <c r="P476" s="150"/>
      <c r="Q476" s="150"/>
      <c r="R476" s="150"/>
      <c r="S476" s="150"/>
      <c r="T476" s="150"/>
      <c r="U476" s="150"/>
      <c r="V476" s="150"/>
      <c r="W476" s="150"/>
      <c r="X476" s="150"/>
      <c r="Y476" s="150"/>
      <c r="Z476" s="150"/>
      <c r="AA476" s="150"/>
      <c r="AB476" s="150"/>
      <c r="AC476" s="150"/>
      <c r="AD476" s="150"/>
      <c r="AE476" s="150"/>
      <c r="AF476" s="150"/>
      <c r="AG476" s="150"/>
      <c r="AH476" s="150"/>
      <c r="AI476" s="150"/>
      <c r="AJ476" s="150"/>
      <c r="AK476" s="150"/>
      <c r="AL476" s="150"/>
      <c r="AM476" s="150"/>
      <c r="AN476" s="150"/>
      <c r="AO476" s="150"/>
      <c r="AP476" s="150"/>
      <c r="AQ476" s="150"/>
      <c r="AR476" s="150"/>
      <c r="AS476" s="150"/>
      <c r="AT476" s="150"/>
      <c r="AU476" s="150"/>
      <c r="AV476" s="150"/>
      <c r="AW476" s="150"/>
      <c r="AX476" s="150"/>
      <c r="AY476" s="150"/>
      <c r="AZ476" s="150"/>
      <c r="BA476" s="150"/>
      <c r="BB476" s="150"/>
      <c r="BC476" s="150"/>
      <c r="BD476" s="150"/>
      <c r="BE476" s="150"/>
      <c r="BF476" s="150"/>
      <c r="BG476" s="150"/>
      <c r="BH476" s="150"/>
      <c r="BI476" s="150"/>
      <c r="BJ476" s="150"/>
      <c r="BK476" s="150"/>
      <c r="BL476" s="150"/>
      <c r="BM476" s="150"/>
      <c r="BN476" s="150"/>
      <c r="BO476" s="150"/>
      <c r="BP476" s="150"/>
      <c r="BQ476" s="150"/>
      <c r="BR476" s="150"/>
      <c r="BS476" s="150"/>
      <c r="BT476" s="150"/>
      <c r="BU476" s="150"/>
      <c r="BV476" s="150"/>
      <c r="BW476" s="150"/>
      <c r="BX476" s="150"/>
      <c r="BY476" s="150"/>
      <c r="BZ476" s="150"/>
      <c r="CA476" s="150"/>
      <c r="CB476" s="150"/>
      <c r="CC476" s="150"/>
      <c r="CD476" s="150"/>
      <c r="CE476" s="150"/>
      <c r="CF476" s="150"/>
      <c r="CG476" s="150"/>
      <c r="CH476" s="150"/>
      <c r="CI476" s="150"/>
      <c r="CJ476" s="150"/>
      <c r="CK476" s="150"/>
      <c r="CL476" s="150"/>
      <c r="CM476" s="150"/>
      <c r="CN476" s="150"/>
      <c r="CO476" s="150"/>
      <c r="CP476" s="150"/>
      <c r="CQ476" s="150"/>
      <c r="CR476" s="150"/>
      <c r="CS476" s="150"/>
      <c r="CT476" s="150"/>
      <c r="CU476" s="150"/>
      <c r="CV476" s="150"/>
      <c r="CW476" s="150"/>
      <c r="CX476" s="150"/>
      <c r="CY476" s="150"/>
      <c r="CZ476" s="150"/>
      <c r="DA476" s="150"/>
      <c r="DB476" s="150"/>
      <c r="DC476" s="150"/>
      <c r="DD476" s="150"/>
      <c r="DE476" s="150"/>
      <c r="DF476" s="150"/>
      <c r="DG476" s="150"/>
      <c r="DH476" s="150"/>
      <c r="DI476" s="150"/>
      <c r="DJ476" s="150"/>
      <c r="DK476" s="150"/>
    </row>
    <row r="477" spans="1:115" s="227" customFormat="1" x14ac:dyDescent="0.25">
      <c r="A477" s="258"/>
      <c r="B477" s="258"/>
      <c r="C477" s="584"/>
      <c r="D477" s="560"/>
      <c r="E477" s="537"/>
      <c r="F477" s="541"/>
      <c r="G477" s="541"/>
      <c r="H477" s="540">
        <f t="shared" si="71"/>
        <v>0</v>
      </c>
      <c r="I477" s="537"/>
      <c r="J477" s="541"/>
      <c r="K477" s="541"/>
      <c r="L477" s="540">
        <f t="shared" si="72"/>
        <v>0</v>
      </c>
      <c r="M477" s="150"/>
      <c r="N477" s="150"/>
      <c r="O477" s="150"/>
      <c r="P477" s="150"/>
      <c r="Q477" s="150"/>
      <c r="R477" s="150"/>
      <c r="S477" s="150"/>
      <c r="T477" s="150"/>
      <c r="U477" s="150"/>
      <c r="V477" s="150"/>
      <c r="W477" s="150"/>
      <c r="X477" s="150"/>
      <c r="Y477" s="150"/>
      <c r="Z477" s="150"/>
      <c r="AA477" s="150"/>
      <c r="AB477" s="150"/>
      <c r="AC477" s="150"/>
      <c r="AD477" s="150"/>
      <c r="AE477" s="150"/>
      <c r="AF477" s="150"/>
      <c r="AG477" s="150"/>
      <c r="AH477" s="150"/>
      <c r="AI477" s="150"/>
      <c r="AJ477" s="150"/>
      <c r="AK477" s="150"/>
      <c r="AL477" s="150"/>
      <c r="AM477" s="150"/>
      <c r="AN477" s="150"/>
      <c r="AO477" s="150"/>
      <c r="AP477" s="150"/>
      <c r="AQ477" s="150"/>
      <c r="AR477" s="150"/>
      <c r="AS477" s="150"/>
      <c r="AT477" s="150"/>
      <c r="AU477" s="150"/>
      <c r="AV477" s="150"/>
      <c r="AW477" s="150"/>
      <c r="AX477" s="150"/>
      <c r="AY477" s="150"/>
      <c r="AZ477" s="150"/>
      <c r="BA477" s="150"/>
      <c r="BB477" s="150"/>
      <c r="BC477" s="150"/>
      <c r="BD477" s="150"/>
      <c r="BE477" s="150"/>
      <c r="BF477" s="150"/>
      <c r="BG477" s="150"/>
      <c r="BH477" s="150"/>
      <c r="BI477" s="150"/>
      <c r="BJ477" s="150"/>
      <c r="BK477" s="150"/>
      <c r="BL477" s="150"/>
      <c r="BM477" s="150"/>
      <c r="BN477" s="150"/>
      <c r="BO477" s="150"/>
      <c r="BP477" s="150"/>
      <c r="BQ477" s="150"/>
      <c r="BR477" s="150"/>
      <c r="BS477" s="150"/>
      <c r="BT477" s="150"/>
      <c r="BU477" s="150"/>
      <c r="BV477" s="150"/>
      <c r="BW477" s="150"/>
      <c r="BX477" s="150"/>
      <c r="BY477" s="150"/>
      <c r="BZ477" s="150"/>
      <c r="CA477" s="150"/>
      <c r="CB477" s="150"/>
      <c r="CC477" s="150"/>
      <c r="CD477" s="150"/>
      <c r="CE477" s="150"/>
      <c r="CF477" s="150"/>
      <c r="CG477" s="150"/>
      <c r="CH477" s="150"/>
      <c r="CI477" s="150"/>
      <c r="CJ477" s="150"/>
      <c r="CK477" s="150"/>
      <c r="CL477" s="150"/>
      <c r="CM477" s="150"/>
      <c r="CN477" s="150"/>
      <c r="CO477" s="150"/>
      <c r="CP477" s="150"/>
      <c r="CQ477" s="150"/>
      <c r="CR477" s="150"/>
      <c r="CS477" s="150"/>
      <c r="CT477" s="150"/>
      <c r="CU477" s="150"/>
      <c r="CV477" s="150"/>
      <c r="CW477" s="150"/>
      <c r="CX477" s="150"/>
      <c r="CY477" s="150"/>
      <c r="CZ477" s="150"/>
      <c r="DA477" s="150"/>
      <c r="DB477" s="150"/>
      <c r="DC477" s="150"/>
      <c r="DD477" s="150"/>
      <c r="DE477" s="150"/>
      <c r="DF477" s="150"/>
      <c r="DG477" s="150"/>
      <c r="DH477" s="150"/>
      <c r="DI477" s="150"/>
      <c r="DJ477" s="150"/>
      <c r="DK477" s="150"/>
    </row>
    <row r="478" spans="1:115" s="227" customFormat="1" x14ac:dyDescent="0.25">
      <c r="A478" s="258"/>
      <c r="B478" s="258"/>
      <c r="C478" s="584"/>
      <c r="D478" s="560"/>
      <c r="E478" s="537"/>
      <c r="F478" s="541"/>
      <c r="G478" s="541"/>
      <c r="H478" s="540">
        <f t="shared" si="71"/>
        <v>0</v>
      </c>
      <c r="I478" s="537"/>
      <c r="J478" s="541"/>
      <c r="K478" s="541"/>
      <c r="L478" s="540">
        <f t="shared" si="72"/>
        <v>0</v>
      </c>
      <c r="M478" s="150"/>
      <c r="N478" s="150"/>
      <c r="O478" s="150"/>
      <c r="P478" s="150"/>
      <c r="Q478" s="150"/>
      <c r="R478" s="150"/>
      <c r="S478" s="150"/>
      <c r="T478" s="150"/>
      <c r="U478" s="150"/>
      <c r="V478" s="150"/>
      <c r="W478" s="150"/>
      <c r="X478" s="150"/>
      <c r="Y478" s="150"/>
      <c r="Z478" s="150"/>
      <c r="AA478" s="150"/>
      <c r="AB478" s="150"/>
      <c r="AC478" s="150"/>
      <c r="AD478" s="150"/>
      <c r="AE478" s="150"/>
      <c r="AF478" s="150"/>
      <c r="AG478" s="150"/>
      <c r="AH478" s="150"/>
      <c r="AI478" s="150"/>
      <c r="AJ478" s="150"/>
      <c r="AK478" s="150"/>
      <c r="AL478" s="150"/>
      <c r="AM478" s="150"/>
      <c r="AN478" s="150"/>
      <c r="AO478" s="150"/>
      <c r="AP478" s="150"/>
      <c r="AQ478" s="150"/>
      <c r="AR478" s="150"/>
      <c r="AS478" s="150"/>
      <c r="AT478" s="150"/>
      <c r="AU478" s="150"/>
      <c r="AV478" s="150"/>
      <c r="AW478" s="150"/>
      <c r="AX478" s="150"/>
      <c r="AY478" s="150"/>
      <c r="AZ478" s="150"/>
      <c r="BA478" s="150"/>
      <c r="BB478" s="150"/>
      <c r="BC478" s="150"/>
      <c r="BD478" s="150"/>
      <c r="BE478" s="150"/>
      <c r="BF478" s="150"/>
      <c r="BG478" s="150"/>
      <c r="BH478" s="150"/>
      <c r="BI478" s="150"/>
      <c r="BJ478" s="150"/>
      <c r="BK478" s="150"/>
      <c r="BL478" s="150"/>
      <c r="BM478" s="150"/>
      <c r="BN478" s="150"/>
      <c r="BO478" s="150"/>
      <c r="BP478" s="150"/>
      <c r="BQ478" s="150"/>
      <c r="BR478" s="150"/>
      <c r="BS478" s="150"/>
      <c r="BT478" s="150"/>
      <c r="BU478" s="150"/>
      <c r="BV478" s="150"/>
      <c r="BW478" s="150"/>
      <c r="BX478" s="150"/>
      <c r="BY478" s="150"/>
      <c r="BZ478" s="150"/>
      <c r="CA478" s="150"/>
      <c r="CB478" s="150"/>
      <c r="CC478" s="150"/>
      <c r="CD478" s="150"/>
      <c r="CE478" s="150"/>
      <c r="CF478" s="150"/>
      <c r="CG478" s="150"/>
      <c r="CH478" s="150"/>
      <c r="CI478" s="150"/>
      <c r="CJ478" s="150"/>
      <c r="CK478" s="150"/>
      <c r="CL478" s="150"/>
      <c r="CM478" s="150"/>
      <c r="CN478" s="150"/>
      <c r="CO478" s="150"/>
      <c r="CP478" s="150"/>
      <c r="CQ478" s="150"/>
      <c r="CR478" s="150"/>
      <c r="CS478" s="150"/>
      <c r="CT478" s="150"/>
      <c r="CU478" s="150"/>
      <c r="CV478" s="150"/>
      <c r="CW478" s="150"/>
      <c r="CX478" s="150"/>
      <c r="CY478" s="150"/>
      <c r="CZ478" s="150"/>
      <c r="DA478" s="150"/>
      <c r="DB478" s="150"/>
      <c r="DC478" s="150"/>
      <c r="DD478" s="150"/>
      <c r="DE478" s="150"/>
      <c r="DF478" s="150"/>
      <c r="DG478" s="150"/>
      <c r="DH478" s="150"/>
      <c r="DI478" s="150"/>
      <c r="DJ478" s="150"/>
      <c r="DK478" s="150"/>
    </row>
    <row r="479" spans="1:115" s="227" customFormat="1" x14ac:dyDescent="0.25">
      <c r="A479" s="258"/>
      <c r="B479" s="258"/>
      <c r="C479" s="584"/>
      <c r="D479" s="560"/>
      <c r="E479" s="537"/>
      <c r="F479" s="541"/>
      <c r="G479" s="541"/>
      <c r="H479" s="540">
        <f t="shared" si="71"/>
        <v>0</v>
      </c>
      <c r="I479" s="537"/>
      <c r="J479" s="541"/>
      <c r="K479" s="541"/>
      <c r="L479" s="540">
        <f t="shared" si="72"/>
        <v>0</v>
      </c>
      <c r="M479" s="150"/>
      <c r="N479" s="150"/>
      <c r="O479" s="150"/>
      <c r="P479" s="150"/>
      <c r="Q479" s="150"/>
      <c r="R479" s="150"/>
      <c r="S479" s="150"/>
      <c r="T479" s="150"/>
      <c r="U479" s="150"/>
      <c r="V479" s="150"/>
      <c r="W479" s="150"/>
      <c r="X479" s="150"/>
      <c r="Y479" s="150"/>
      <c r="Z479" s="150"/>
      <c r="AA479" s="150"/>
      <c r="AB479" s="150"/>
      <c r="AC479" s="150"/>
      <c r="AD479" s="150"/>
      <c r="AE479" s="150"/>
      <c r="AF479" s="150"/>
      <c r="AG479" s="150"/>
      <c r="AH479" s="150"/>
      <c r="AI479" s="150"/>
      <c r="AJ479" s="150"/>
      <c r="AK479" s="150"/>
      <c r="AL479" s="150"/>
      <c r="AM479" s="150"/>
      <c r="AN479" s="150"/>
      <c r="AO479" s="150"/>
      <c r="AP479" s="150"/>
      <c r="AQ479" s="150"/>
      <c r="AR479" s="150"/>
      <c r="AS479" s="150"/>
      <c r="AT479" s="150"/>
      <c r="AU479" s="150"/>
      <c r="AV479" s="150"/>
      <c r="AW479" s="150"/>
      <c r="AX479" s="150"/>
      <c r="AY479" s="150"/>
      <c r="AZ479" s="150"/>
      <c r="BA479" s="150"/>
      <c r="BB479" s="150"/>
      <c r="BC479" s="150"/>
      <c r="BD479" s="150"/>
      <c r="BE479" s="150"/>
      <c r="BF479" s="150"/>
      <c r="BG479" s="150"/>
      <c r="BH479" s="150"/>
      <c r="BI479" s="150"/>
      <c r="BJ479" s="150"/>
      <c r="BK479" s="150"/>
      <c r="BL479" s="150"/>
      <c r="BM479" s="150"/>
      <c r="BN479" s="150"/>
      <c r="BO479" s="150"/>
      <c r="BP479" s="150"/>
      <c r="BQ479" s="150"/>
      <c r="BR479" s="150"/>
      <c r="BS479" s="150"/>
      <c r="BT479" s="150"/>
      <c r="BU479" s="150"/>
      <c r="BV479" s="150"/>
      <c r="BW479" s="150"/>
      <c r="BX479" s="150"/>
      <c r="BY479" s="150"/>
      <c r="BZ479" s="150"/>
      <c r="CA479" s="150"/>
      <c r="CB479" s="150"/>
      <c r="CC479" s="150"/>
      <c r="CD479" s="150"/>
      <c r="CE479" s="150"/>
      <c r="CF479" s="150"/>
      <c r="CG479" s="150"/>
      <c r="CH479" s="150"/>
      <c r="CI479" s="150"/>
      <c r="CJ479" s="150"/>
      <c r="CK479" s="150"/>
      <c r="CL479" s="150"/>
      <c r="CM479" s="150"/>
      <c r="CN479" s="150"/>
      <c r="CO479" s="150"/>
      <c r="CP479" s="150"/>
      <c r="CQ479" s="150"/>
      <c r="CR479" s="150"/>
      <c r="CS479" s="150"/>
      <c r="CT479" s="150"/>
      <c r="CU479" s="150"/>
      <c r="CV479" s="150"/>
      <c r="CW479" s="150"/>
      <c r="CX479" s="150"/>
      <c r="CY479" s="150"/>
      <c r="CZ479" s="150"/>
      <c r="DA479" s="150"/>
      <c r="DB479" s="150"/>
      <c r="DC479" s="150"/>
      <c r="DD479" s="150"/>
      <c r="DE479" s="150"/>
      <c r="DF479" s="150"/>
      <c r="DG479" s="150"/>
      <c r="DH479" s="150"/>
      <c r="DI479" s="150"/>
      <c r="DJ479" s="150"/>
      <c r="DK479" s="150"/>
    </row>
    <row r="480" spans="1:115" s="227" customFormat="1" x14ac:dyDescent="0.25">
      <c r="A480" s="258"/>
      <c r="B480" s="258"/>
      <c r="C480" s="584"/>
      <c r="D480" s="560"/>
      <c r="E480" s="537"/>
      <c r="F480" s="541"/>
      <c r="G480" s="541"/>
      <c r="H480" s="540">
        <f t="shared" si="71"/>
        <v>0</v>
      </c>
      <c r="I480" s="537"/>
      <c r="J480" s="541"/>
      <c r="K480" s="541"/>
      <c r="L480" s="540">
        <f t="shared" si="72"/>
        <v>0</v>
      </c>
      <c r="M480" s="150"/>
      <c r="N480" s="150"/>
      <c r="O480" s="150"/>
      <c r="P480" s="150"/>
      <c r="Q480" s="150"/>
      <c r="R480" s="150"/>
      <c r="S480" s="150"/>
      <c r="T480" s="150"/>
      <c r="U480" s="150"/>
      <c r="V480" s="150"/>
      <c r="W480" s="150"/>
      <c r="X480" s="150"/>
      <c r="Y480" s="150"/>
      <c r="Z480" s="150"/>
      <c r="AA480" s="150"/>
      <c r="AB480" s="150"/>
      <c r="AC480" s="150"/>
      <c r="AD480" s="150"/>
      <c r="AE480" s="150"/>
      <c r="AF480" s="150"/>
      <c r="AG480" s="150"/>
      <c r="AH480" s="150"/>
      <c r="AI480" s="150"/>
      <c r="AJ480" s="150"/>
      <c r="AK480" s="150"/>
      <c r="AL480" s="150"/>
      <c r="AM480" s="150"/>
      <c r="AN480" s="150"/>
      <c r="AO480" s="150"/>
      <c r="AP480" s="150"/>
      <c r="AQ480" s="150"/>
      <c r="AR480" s="150"/>
      <c r="AS480" s="150"/>
      <c r="AT480" s="150"/>
      <c r="AU480" s="150"/>
      <c r="AV480" s="150"/>
      <c r="AW480" s="150"/>
      <c r="AX480" s="150"/>
      <c r="AY480" s="150"/>
      <c r="AZ480" s="150"/>
      <c r="BA480" s="150"/>
      <c r="BB480" s="150"/>
      <c r="BC480" s="150"/>
      <c r="BD480" s="150"/>
      <c r="BE480" s="150"/>
      <c r="BF480" s="150"/>
      <c r="BG480" s="150"/>
      <c r="BH480" s="150"/>
      <c r="BI480" s="150"/>
      <c r="BJ480" s="150"/>
      <c r="BK480" s="150"/>
      <c r="BL480" s="150"/>
      <c r="BM480" s="150"/>
      <c r="BN480" s="150"/>
      <c r="BO480" s="150"/>
      <c r="BP480" s="150"/>
      <c r="BQ480" s="150"/>
      <c r="BR480" s="150"/>
      <c r="BS480" s="150"/>
      <c r="BT480" s="150"/>
      <c r="BU480" s="150"/>
      <c r="BV480" s="150"/>
      <c r="BW480" s="150"/>
      <c r="BX480" s="150"/>
      <c r="BY480" s="150"/>
      <c r="BZ480" s="150"/>
      <c r="CA480" s="150"/>
      <c r="CB480" s="150"/>
      <c r="CC480" s="150"/>
      <c r="CD480" s="150"/>
      <c r="CE480" s="150"/>
      <c r="CF480" s="150"/>
      <c r="CG480" s="150"/>
      <c r="CH480" s="150"/>
      <c r="CI480" s="150"/>
      <c r="CJ480" s="150"/>
      <c r="CK480" s="150"/>
      <c r="CL480" s="150"/>
      <c r="CM480" s="150"/>
      <c r="CN480" s="150"/>
      <c r="CO480" s="150"/>
      <c r="CP480" s="150"/>
      <c r="CQ480" s="150"/>
      <c r="CR480" s="150"/>
      <c r="CS480" s="150"/>
      <c r="CT480" s="150"/>
      <c r="CU480" s="150"/>
      <c r="CV480" s="150"/>
      <c r="CW480" s="150"/>
      <c r="CX480" s="150"/>
      <c r="CY480" s="150"/>
      <c r="CZ480" s="150"/>
      <c r="DA480" s="150"/>
      <c r="DB480" s="150"/>
      <c r="DC480" s="150"/>
      <c r="DD480" s="150"/>
      <c r="DE480" s="150"/>
      <c r="DF480" s="150"/>
      <c r="DG480" s="150"/>
      <c r="DH480" s="150"/>
      <c r="DI480" s="150"/>
      <c r="DJ480" s="150"/>
      <c r="DK480" s="150"/>
    </row>
    <row r="481" spans="1:115" s="227" customFormat="1" x14ac:dyDescent="0.25">
      <c r="A481" s="258"/>
      <c r="B481" s="258"/>
      <c r="C481" s="584"/>
      <c r="D481" s="560"/>
      <c r="E481" s="537"/>
      <c r="F481" s="541"/>
      <c r="G481" s="541"/>
      <c r="H481" s="540">
        <f t="shared" si="71"/>
        <v>0</v>
      </c>
      <c r="I481" s="537"/>
      <c r="J481" s="541"/>
      <c r="K481" s="541"/>
      <c r="L481" s="540">
        <f t="shared" si="72"/>
        <v>0</v>
      </c>
      <c r="M481" s="150"/>
      <c r="N481" s="150"/>
      <c r="O481" s="150"/>
      <c r="P481" s="150"/>
      <c r="Q481" s="150"/>
      <c r="R481" s="150"/>
      <c r="S481" s="150"/>
      <c r="T481" s="150"/>
      <c r="U481" s="150"/>
      <c r="V481" s="150"/>
      <c r="W481" s="150"/>
      <c r="X481" s="150"/>
      <c r="Y481" s="150"/>
      <c r="Z481" s="150"/>
      <c r="AA481" s="150"/>
      <c r="AB481" s="150"/>
      <c r="AC481" s="150"/>
      <c r="AD481" s="150"/>
      <c r="AE481" s="150"/>
      <c r="AF481" s="150"/>
      <c r="AG481" s="150"/>
      <c r="AH481" s="150"/>
      <c r="AI481" s="150"/>
      <c r="AJ481" s="150"/>
      <c r="AK481" s="150"/>
      <c r="AL481" s="150"/>
      <c r="AM481" s="150"/>
      <c r="AN481" s="150"/>
      <c r="AO481" s="150"/>
      <c r="AP481" s="150"/>
      <c r="AQ481" s="150"/>
      <c r="AR481" s="150"/>
      <c r="AS481" s="150"/>
      <c r="AT481" s="150"/>
      <c r="AU481" s="150"/>
      <c r="AV481" s="150"/>
      <c r="AW481" s="150"/>
      <c r="AX481" s="150"/>
      <c r="AY481" s="150"/>
      <c r="AZ481" s="150"/>
      <c r="BA481" s="150"/>
      <c r="BB481" s="150"/>
      <c r="BC481" s="150"/>
      <c r="BD481" s="150"/>
      <c r="BE481" s="150"/>
      <c r="BF481" s="150"/>
      <c r="BG481" s="150"/>
      <c r="BH481" s="150"/>
      <c r="BI481" s="150"/>
      <c r="BJ481" s="150"/>
      <c r="BK481" s="150"/>
      <c r="BL481" s="150"/>
      <c r="BM481" s="150"/>
      <c r="BN481" s="150"/>
      <c r="BO481" s="150"/>
      <c r="BP481" s="150"/>
      <c r="BQ481" s="150"/>
      <c r="BR481" s="150"/>
      <c r="BS481" s="150"/>
      <c r="BT481" s="150"/>
      <c r="BU481" s="150"/>
      <c r="BV481" s="150"/>
      <c r="BW481" s="150"/>
      <c r="BX481" s="150"/>
      <c r="BY481" s="150"/>
      <c r="BZ481" s="150"/>
      <c r="CA481" s="150"/>
      <c r="CB481" s="150"/>
      <c r="CC481" s="150"/>
      <c r="CD481" s="150"/>
      <c r="CE481" s="150"/>
      <c r="CF481" s="150"/>
      <c r="CG481" s="150"/>
      <c r="CH481" s="150"/>
      <c r="CI481" s="150"/>
      <c r="CJ481" s="150"/>
      <c r="CK481" s="150"/>
      <c r="CL481" s="150"/>
      <c r="CM481" s="150"/>
      <c r="CN481" s="150"/>
      <c r="CO481" s="150"/>
      <c r="CP481" s="150"/>
      <c r="CQ481" s="150"/>
      <c r="CR481" s="150"/>
      <c r="CS481" s="150"/>
      <c r="CT481" s="150"/>
      <c r="CU481" s="150"/>
      <c r="CV481" s="150"/>
      <c r="CW481" s="150"/>
      <c r="CX481" s="150"/>
      <c r="CY481" s="150"/>
      <c r="CZ481" s="150"/>
      <c r="DA481" s="150"/>
      <c r="DB481" s="150"/>
      <c r="DC481" s="150"/>
      <c r="DD481" s="150"/>
      <c r="DE481" s="150"/>
      <c r="DF481" s="150"/>
      <c r="DG481" s="150"/>
      <c r="DH481" s="150"/>
      <c r="DI481" s="150"/>
      <c r="DJ481" s="150"/>
      <c r="DK481" s="150"/>
    </row>
    <row r="482" spans="1:115" s="227" customFormat="1" x14ac:dyDescent="0.25">
      <c r="A482" s="258"/>
      <c r="B482" s="258"/>
      <c r="C482" s="584"/>
      <c r="D482" s="560"/>
      <c r="E482" s="537"/>
      <c r="F482" s="541"/>
      <c r="G482" s="541"/>
      <c r="H482" s="540">
        <f t="shared" si="71"/>
        <v>0</v>
      </c>
      <c r="I482" s="537"/>
      <c r="J482" s="541"/>
      <c r="K482" s="541"/>
      <c r="L482" s="540">
        <f t="shared" si="72"/>
        <v>0</v>
      </c>
      <c r="M482" s="150"/>
      <c r="N482" s="150"/>
      <c r="O482" s="150"/>
      <c r="P482" s="150"/>
      <c r="Q482" s="150"/>
      <c r="R482" s="150"/>
      <c r="S482" s="150"/>
      <c r="T482" s="150"/>
      <c r="U482" s="150"/>
      <c r="V482" s="150"/>
      <c r="W482" s="150"/>
      <c r="X482" s="150"/>
      <c r="Y482" s="150"/>
      <c r="Z482" s="150"/>
      <c r="AA482" s="150"/>
      <c r="AB482" s="150"/>
      <c r="AC482" s="150"/>
      <c r="AD482" s="150"/>
      <c r="AE482" s="150"/>
      <c r="AF482" s="150"/>
      <c r="AG482" s="150"/>
      <c r="AH482" s="150"/>
      <c r="AI482" s="150"/>
      <c r="AJ482" s="150"/>
      <c r="AK482" s="150"/>
      <c r="AL482" s="150"/>
      <c r="AM482" s="150"/>
      <c r="AN482" s="150"/>
      <c r="AO482" s="150"/>
      <c r="AP482" s="150"/>
      <c r="AQ482" s="150"/>
      <c r="AR482" s="150"/>
      <c r="AS482" s="150"/>
      <c r="AT482" s="150"/>
      <c r="AU482" s="150"/>
      <c r="AV482" s="150"/>
      <c r="AW482" s="150"/>
      <c r="AX482" s="150"/>
      <c r="AY482" s="150"/>
      <c r="AZ482" s="150"/>
      <c r="BA482" s="150"/>
      <c r="BB482" s="150"/>
      <c r="BC482" s="150"/>
      <c r="BD482" s="150"/>
      <c r="BE482" s="150"/>
      <c r="BF482" s="150"/>
      <c r="BG482" s="150"/>
      <c r="BH482" s="150"/>
      <c r="BI482" s="150"/>
      <c r="BJ482" s="150"/>
      <c r="BK482" s="150"/>
      <c r="BL482" s="150"/>
      <c r="BM482" s="150"/>
      <c r="BN482" s="150"/>
      <c r="BO482" s="150"/>
      <c r="BP482" s="150"/>
      <c r="BQ482" s="150"/>
      <c r="BR482" s="150"/>
      <c r="BS482" s="150"/>
      <c r="BT482" s="150"/>
      <c r="BU482" s="150"/>
      <c r="BV482" s="150"/>
      <c r="BW482" s="150"/>
      <c r="BX482" s="150"/>
      <c r="BY482" s="150"/>
      <c r="BZ482" s="150"/>
      <c r="CA482" s="150"/>
      <c r="CB482" s="150"/>
      <c r="CC482" s="150"/>
      <c r="CD482" s="150"/>
      <c r="CE482" s="150"/>
      <c r="CF482" s="150"/>
      <c r="CG482" s="150"/>
      <c r="CH482" s="150"/>
      <c r="CI482" s="150"/>
      <c r="CJ482" s="150"/>
      <c r="CK482" s="150"/>
      <c r="CL482" s="150"/>
      <c r="CM482" s="150"/>
      <c r="CN482" s="150"/>
      <c r="CO482" s="150"/>
      <c r="CP482" s="150"/>
      <c r="CQ482" s="150"/>
      <c r="CR482" s="150"/>
      <c r="CS482" s="150"/>
      <c r="CT482" s="150"/>
      <c r="CU482" s="150"/>
      <c r="CV482" s="150"/>
      <c r="CW482" s="150"/>
      <c r="CX482" s="150"/>
      <c r="CY482" s="150"/>
      <c r="CZ482" s="150"/>
      <c r="DA482" s="150"/>
      <c r="DB482" s="150"/>
      <c r="DC482" s="150"/>
      <c r="DD482" s="150"/>
      <c r="DE482" s="150"/>
      <c r="DF482" s="150"/>
      <c r="DG482" s="150"/>
      <c r="DH482" s="150"/>
      <c r="DI482" s="150"/>
      <c r="DJ482" s="150"/>
      <c r="DK482" s="150"/>
    </row>
    <row r="483" spans="1:115" s="227" customFormat="1" x14ac:dyDescent="0.25">
      <c r="A483" s="258"/>
      <c r="B483" s="258"/>
      <c r="C483" s="584"/>
      <c r="D483" s="560"/>
      <c r="E483" s="537"/>
      <c r="F483" s="541"/>
      <c r="G483" s="541"/>
      <c r="H483" s="540">
        <f t="shared" si="71"/>
        <v>0</v>
      </c>
      <c r="I483" s="537"/>
      <c r="J483" s="541"/>
      <c r="K483" s="541"/>
      <c r="L483" s="540">
        <f t="shared" si="72"/>
        <v>0</v>
      </c>
      <c r="M483" s="150"/>
      <c r="N483" s="150"/>
      <c r="O483" s="150"/>
      <c r="P483" s="150"/>
      <c r="Q483" s="150"/>
      <c r="R483" s="150"/>
      <c r="S483" s="150"/>
      <c r="T483" s="150"/>
      <c r="U483" s="150"/>
      <c r="V483" s="150"/>
      <c r="W483" s="150"/>
      <c r="X483" s="150"/>
      <c r="Y483" s="150"/>
      <c r="Z483" s="150"/>
      <c r="AA483" s="150"/>
      <c r="AB483" s="150"/>
      <c r="AC483" s="150"/>
      <c r="AD483" s="150"/>
      <c r="AE483" s="150"/>
      <c r="AF483" s="150"/>
      <c r="AG483" s="150"/>
      <c r="AH483" s="150"/>
      <c r="AI483" s="150"/>
      <c r="AJ483" s="150"/>
      <c r="AK483" s="150"/>
      <c r="AL483" s="150"/>
      <c r="AM483" s="150"/>
      <c r="AN483" s="150"/>
      <c r="AO483" s="150"/>
      <c r="AP483" s="150"/>
      <c r="AQ483" s="150"/>
      <c r="AR483" s="150"/>
      <c r="AS483" s="150"/>
      <c r="AT483" s="150"/>
      <c r="AU483" s="150"/>
      <c r="AV483" s="150"/>
      <c r="AW483" s="150"/>
      <c r="AX483" s="150"/>
      <c r="AY483" s="150"/>
      <c r="AZ483" s="150"/>
      <c r="BA483" s="150"/>
      <c r="BB483" s="150"/>
      <c r="BC483" s="150"/>
      <c r="BD483" s="150"/>
      <c r="BE483" s="150"/>
      <c r="BF483" s="150"/>
      <c r="BG483" s="150"/>
      <c r="BH483" s="150"/>
      <c r="BI483" s="150"/>
      <c r="BJ483" s="150"/>
      <c r="BK483" s="150"/>
      <c r="BL483" s="150"/>
      <c r="BM483" s="150"/>
      <c r="BN483" s="150"/>
      <c r="BO483" s="150"/>
      <c r="BP483" s="150"/>
      <c r="BQ483" s="150"/>
      <c r="BR483" s="150"/>
      <c r="BS483" s="150"/>
      <c r="BT483" s="150"/>
      <c r="BU483" s="150"/>
      <c r="BV483" s="150"/>
      <c r="BW483" s="150"/>
      <c r="BX483" s="150"/>
      <c r="BY483" s="150"/>
      <c r="BZ483" s="150"/>
      <c r="CA483" s="150"/>
      <c r="CB483" s="150"/>
      <c r="CC483" s="150"/>
      <c r="CD483" s="150"/>
      <c r="CE483" s="150"/>
      <c r="CF483" s="150"/>
      <c r="CG483" s="150"/>
      <c r="CH483" s="150"/>
      <c r="CI483" s="150"/>
      <c r="CJ483" s="150"/>
      <c r="CK483" s="150"/>
      <c r="CL483" s="150"/>
      <c r="CM483" s="150"/>
      <c r="CN483" s="150"/>
      <c r="CO483" s="150"/>
      <c r="CP483" s="150"/>
      <c r="CQ483" s="150"/>
      <c r="CR483" s="150"/>
      <c r="CS483" s="150"/>
      <c r="CT483" s="150"/>
      <c r="CU483" s="150"/>
      <c r="CV483" s="150"/>
      <c r="CW483" s="150"/>
      <c r="CX483" s="150"/>
      <c r="CY483" s="150"/>
      <c r="CZ483" s="150"/>
      <c r="DA483" s="150"/>
      <c r="DB483" s="150"/>
      <c r="DC483" s="150"/>
      <c r="DD483" s="150"/>
      <c r="DE483" s="150"/>
      <c r="DF483" s="150"/>
      <c r="DG483" s="150"/>
      <c r="DH483" s="150"/>
      <c r="DI483" s="150"/>
      <c r="DJ483" s="150"/>
      <c r="DK483" s="150"/>
    </row>
    <row r="484" spans="1:115" x14ac:dyDescent="0.25">
      <c r="A484" s="258"/>
      <c r="B484" s="258"/>
      <c r="C484" s="584"/>
      <c r="D484" s="559"/>
      <c r="E484" s="534"/>
      <c r="F484" s="262"/>
      <c r="G484" s="262"/>
      <c r="H484" s="536">
        <f t="shared" si="71"/>
        <v>0</v>
      </c>
      <c r="I484" s="534"/>
      <c r="J484" s="262"/>
      <c r="K484" s="262"/>
      <c r="L484" s="536">
        <f t="shared" si="72"/>
        <v>0</v>
      </c>
    </row>
    <row r="485" spans="1:115" x14ac:dyDescent="0.25">
      <c r="A485" s="258"/>
      <c r="B485" s="258"/>
      <c r="C485" s="584"/>
      <c r="D485" s="559"/>
      <c r="E485" s="534"/>
      <c r="F485" s="262"/>
      <c r="G485" s="262"/>
      <c r="H485" s="536">
        <f t="shared" si="71"/>
        <v>0</v>
      </c>
      <c r="I485" s="534"/>
      <c r="J485" s="262"/>
      <c r="K485" s="262"/>
      <c r="L485" s="536">
        <f t="shared" si="72"/>
        <v>0</v>
      </c>
    </row>
    <row r="486" spans="1:115" s="227" customFormat="1" x14ac:dyDescent="0.25">
      <c r="A486" s="258"/>
      <c r="B486" s="258"/>
      <c r="C486" s="585"/>
      <c r="D486" s="595"/>
      <c r="E486" s="537"/>
      <c r="F486" s="253"/>
      <c r="G486" s="541"/>
      <c r="H486" s="536">
        <f>F486*G486</f>
        <v>0</v>
      </c>
      <c r="I486" s="537"/>
      <c r="J486" s="253"/>
      <c r="K486" s="541"/>
      <c r="L486" s="536">
        <f>J486*K486</f>
        <v>0</v>
      </c>
      <c r="M486" s="150"/>
      <c r="N486" s="150"/>
      <c r="O486" s="150"/>
      <c r="P486" s="150"/>
      <c r="Q486" s="150"/>
      <c r="R486" s="150"/>
      <c r="S486" s="150"/>
      <c r="T486" s="150"/>
      <c r="U486" s="150"/>
      <c r="V486" s="150"/>
      <c r="W486" s="150"/>
      <c r="X486" s="150"/>
      <c r="Y486" s="150"/>
      <c r="Z486" s="150"/>
      <c r="AA486" s="150"/>
      <c r="AB486" s="150"/>
      <c r="AC486" s="150"/>
      <c r="AD486" s="150"/>
      <c r="AE486" s="150"/>
      <c r="AF486" s="150"/>
      <c r="AG486" s="150"/>
      <c r="AH486" s="150"/>
      <c r="AI486" s="150"/>
      <c r="AJ486" s="150"/>
      <c r="AK486" s="150"/>
      <c r="AL486" s="150"/>
      <c r="AM486" s="150"/>
      <c r="AN486" s="150"/>
      <c r="AO486" s="150"/>
      <c r="AP486" s="150"/>
      <c r="AQ486" s="150"/>
      <c r="AR486" s="150"/>
      <c r="AS486" s="150"/>
      <c r="AT486" s="150"/>
      <c r="AU486" s="150"/>
      <c r="AV486" s="150"/>
      <c r="AW486" s="150"/>
      <c r="AX486" s="150"/>
      <c r="AY486" s="150"/>
      <c r="AZ486" s="150"/>
      <c r="BA486" s="150"/>
      <c r="BB486" s="150"/>
      <c r="BC486" s="150"/>
      <c r="BD486" s="150"/>
      <c r="BE486" s="150"/>
      <c r="BF486" s="150"/>
      <c r="BG486" s="150"/>
      <c r="BH486" s="150"/>
      <c r="BI486" s="150"/>
      <c r="BJ486" s="150"/>
      <c r="BK486" s="150"/>
      <c r="BL486" s="150"/>
      <c r="BM486" s="150"/>
      <c r="BN486" s="150"/>
      <c r="BO486" s="150"/>
      <c r="BP486" s="150"/>
      <c r="BQ486" s="150"/>
      <c r="BR486" s="150"/>
      <c r="BS486" s="150"/>
      <c r="BT486" s="150"/>
      <c r="BU486" s="150"/>
      <c r="BV486" s="150"/>
      <c r="BW486" s="150"/>
      <c r="BX486" s="150"/>
      <c r="BY486" s="150"/>
      <c r="BZ486" s="150"/>
      <c r="CA486" s="150"/>
      <c r="CB486" s="150"/>
      <c r="CC486" s="150"/>
      <c r="CD486" s="150"/>
      <c r="CE486" s="150"/>
      <c r="CF486" s="150"/>
      <c r="CG486" s="150"/>
      <c r="CH486" s="150"/>
      <c r="CI486" s="150"/>
      <c r="CJ486" s="150"/>
      <c r="CK486" s="150"/>
      <c r="CL486" s="150"/>
      <c r="CM486" s="150"/>
      <c r="CN486" s="150"/>
      <c r="CO486" s="150"/>
      <c r="CP486" s="150"/>
      <c r="CQ486" s="150"/>
      <c r="CR486" s="150"/>
      <c r="CS486" s="150"/>
      <c r="CT486" s="150"/>
      <c r="CU486" s="150"/>
      <c r="CV486" s="150"/>
      <c r="CW486" s="150"/>
      <c r="CX486" s="150"/>
      <c r="CY486" s="150"/>
      <c r="CZ486" s="150"/>
      <c r="DA486" s="150"/>
      <c r="DB486" s="150"/>
      <c r="DC486" s="150"/>
      <c r="DD486" s="150"/>
      <c r="DE486" s="150"/>
      <c r="DF486" s="150"/>
      <c r="DG486" s="150"/>
      <c r="DH486" s="150"/>
      <c r="DI486" s="150"/>
      <c r="DJ486" s="150"/>
      <c r="DK486" s="150"/>
    </row>
    <row r="487" spans="1:115" s="227" customFormat="1" x14ac:dyDescent="0.25">
      <c r="A487" s="258"/>
      <c r="B487" s="258"/>
      <c r="C487" s="584"/>
      <c r="D487" s="560"/>
      <c r="E487" s="537"/>
      <c r="F487" s="541"/>
      <c r="G487" s="541"/>
      <c r="H487" s="540">
        <f t="shared" si="71"/>
        <v>0</v>
      </c>
      <c r="I487" s="537"/>
      <c r="J487" s="541"/>
      <c r="K487" s="541"/>
      <c r="L487" s="540">
        <f t="shared" ref="L487:L494" si="73">J487*K487</f>
        <v>0</v>
      </c>
      <c r="M487" s="150"/>
      <c r="N487" s="150"/>
      <c r="O487" s="150"/>
      <c r="P487" s="150"/>
      <c r="Q487" s="150"/>
      <c r="R487" s="150"/>
      <c r="S487" s="150"/>
      <c r="T487" s="150"/>
      <c r="U487" s="150"/>
      <c r="V487" s="150"/>
      <c r="W487" s="150"/>
      <c r="X487" s="150"/>
      <c r="Y487" s="150"/>
      <c r="Z487" s="150"/>
      <c r="AA487" s="150"/>
      <c r="AB487" s="150"/>
      <c r="AC487" s="150"/>
      <c r="AD487" s="150"/>
      <c r="AE487" s="150"/>
      <c r="AF487" s="150"/>
      <c r="AG487" s="150"/>
      <c r="AH487" s="150"/>
      <c r="AI487" s="150"/>
      <c r="AJ487" s="150"/>
      <c r="AK487" s="150"/>
      <c r="AL487" s="150"/>
      <c r="AM487" s="150"/>
      <c r="AN487" s="150"/>
      <c r="AO487" s="150"/>
      <c r="AP487" s="150"/>
      <c r="AQ487" s="150"/>
      <c r="AR487" s="150"/>
      <c r="AS487" s="150"/>
      <c r="AT487" s="150"/>
      <c r="AU487" s="150"/>
      <c r="AV487" s="150"/>
      <c r="AW487" s="150"/>
      <c r="AX487" s="150"/>
      <c r="AY487" s="150"/>
      <c r="AZ487" s="150"/>
      <c r="BA487" s="150"/>
      <c r="BB487" s="150"/>
      <c r="BC487" s="150"/>
      <c r="BD487" s="150"/>
      <c r="BE487" s="150"/>
      <c r="BF487" s="150"/>
      <c r="BG487" s="150"/>
      <c r="BH487" s="150"/>
      <c r="BI487" s="150"/>
      <c r="BJ487" s="150"/>
      <c r="BK487" s="150"/>
      <c r="BL487" s="150"/>
      <c r="BM487" s="150"/>
      <c r="BN487" s="150"/>
      <c r="BO487" s="150"/>
      <c r="BP487" s="150"/>
      <c r="BQ487" s="150"/>
      <c r="BR487" s="150"/>
      <c r="BS487" s="150"/>
      <c r="BT487" s="150"/>
      <c r="BU487" s="150"/>
      <c r="BV487" s="150"/>
      <c r="BW487" s="150"/>
      <c r="BX487" s="150"/>
      <c r="BY487" s="150"/>
      <c r="BZ487" s="150"/>
      <c r="CA487" s="150"/>
      <c r="CB487" s="150"/>
      <c r="CC487" s="150"/>
      <c r="CD487" s="150"/>
      <c r="CE487" s="150"/>
      <c r="CF487" s="150"/>
      <c r="CG487" s="150"/>
      <c r="CH487" s="150"/>
      <c r="CI487" s="150"/>
      <c r="CJ487" s="150"/>
      <c r="CK487" s="150"/>
      <c r="CL487" s="150"/>
      <c r="CM487" s="150"/>
      <c r="CN487" s="150"/>
      <c r="CO487" s="150"/>
      <c r="CP487" s="150"/>
      <c r="CQ487" s="150"/>
      <c r="CR487" s="150"/>
      <c r="CS487" s="150"/>
      <c r="CT487" s="150"/>
      <c r="CU487" s="150"/>
      <c r="CV487" s="150"/>
      <c r="CW487" s="150"/>
      <c r="CX487" s="150"/>
      <c r="CY487" s="150"/>
      <c r="CZ487" s="150"/>
      <c r="DA487" s="150"/>
      <c r="DB487" s="150"/>
      <c r="DC487" s="150"/>
      <c r="DD487" s="150"/>
      <c r="DE487" s="150"/>
      <c r="DF487" s="150"/>
      <c r="DG487" s="150"/>
      <c r="DH487" s="150"/>
      <c r="DI487" s="150"/>
      <c r="DJ487" s="150"/>
      <c r="DK487" s="150"/>
    </row>
    <row r="488" spans="1:115" s="227" customFormat="1" x14ac:dyDescent="0.25">
      <c r="A488" s="258"/>
      <c r="B488" s="258"/>
      <c r="C488" s="584"/>
      <c r="D488" s="560"/>
      <c r="E488" s="537"/>
      <c r="F488" s="541"/>
      <c r="G488" s="541"/>
      <c r="H488" s="540">
        <f t="shared" si="71"/>
        <v>0</v>
      </c>
      <c r="I488" s="537"/>
      <c r="J488" s="541"/>
      <c r="K488" s="541"/>
      <c r="L488" s="540">
        <f t="shared" si="73"/>
        <v>0</v>
      </c>
      <c r="M488" s="150"/>
      <c r="N488" s="150"/>
      <c r="O488" s="150"/>
      <c r="P488" s="150"/>
      <c r="Q488" s="150"/>
      <c r="R488" s="150"/>
      <c r="S488" s="150"/>
      <c r="T488" s="150"/>
      <c r="U488" s="150"/>
      <c r="V488" s="150"/>
      <c r="W488" s="150"/>
      <c r="X488" s="150"/>
      <c r="Y488" s="150"/>
      <c r="Z488" s="150"/>
      <c r="AA488" s="150"/>
      <c r="AB488" s="150"/>
      <c r="AC488" s="150"/>
      <c r="AD488" s="150"/>
      <c r="AE488" s="150"/>
      <c r="AF488" s="150"/>
      <c r="AG488" s="150"/>
      <c r="AH488" s="150"/>
      <c r="AI488" s="150"/>
      <c r="AJ488" s="150"/>
      <c r="AK488" s="150"/>
      <c r="AL488" s="150"/>
      <c r="AM488" s="150"/>
      <c r="AN488" s="150"/>
      <c r="AO488" s="150"/>
      <c r="AP488" s="150"/>
      <c r="AQ488" s="150"/>
      <c r="AR488" s="150"/>
      <c r="AS488" s="150"/>
      <c r="AT488" s="150"/>
      <c r="AU488" s="150"/>
      <c r="AV488" s="150"/>
      <c r="AW488" s="150"/>
      <c r="AX488" s="150"/>
      <c r="AY488" s="150"/>
      <c r="AZ488" s="150"/>
      <c r="BA488" s="150"/>
      <c r="BB488" s="150"/>
      <c r="BC488" s="150"/>
      <c r="BD488" s="150"/>
      <c r="BE488" s="150"/>
      <c r="BF488" s="150"/>
      <c r="BG488" s="150"/>
      <c r="BH488" s="150"/>
      <c r="BI488" s="150"/>
      <c r="BJ488" s="150"/>
      <c r="BK488" s="150"/>
      <c r="BL488" s="150"/>
      <c r="BM488" s="150"/>
      <c r="BN488" s="150"/>
      <c r="BO488" s="150"/>
      <c r="BP488" s="150"/>
      <c r="BQ488" s="150"/>
      <c r="BR488" s="150"/>
      <c r="BS488" s="150"/>
      <c r="BT488" s="150"/>
      <c r="BU488" s="150"/>
      <c r="BV488" s="150"/>
      <c r="BW488" s="150"/>
      <c r="BX488" s="150"/>
      <c r="BY488" s="150"/>
      <c r="BZ488" s="150"/>
      <c r="CA488" s="150"/>
      <c r="CB488" s="150"/>
      <c r="CC488" s="150"/>
      <c r="CD488" s="150"/>
      <c r="CE488" s="150"/>
      <c r="CF488" s="150"/>
      <c r="CG488" s="150"/>
      <c r="CH488" s="150"/>
      <c r="CI488" s="150"/>
      <c r="CJ488" s="150"/>
      <c r="CK488" s="150"/>
      <c r="CL488" s="150"/>
      <c r="CM488" s="150"/>
      <c r="CN488" s="150"/>
      <c r="CO488" s="150"/>
      <c r="CP488" s="150"/>
      <c r="CQ488" s="150"/>
      <c r="CR488" s="150"/>
      <c r="CS488" s="150"/>
      <c r="CT488" s="150"/>
      <c r="CU488" s="150"/>
      <c r="CV488" s="150"/>
      <c r="CW488" s="150"/>
      <c r="CX488" s="150"/>
      <c r="CY488" s="150"/>
      <c r="CZ488" s="150"/>
      <c r="DA488" s="150"/>
      <c r="DB488" s="150"/>
      <c r="DC488" s="150"/>
      <c r="DD488" s="150"/>
      <c r="DE488" s="150"/>
      <c r="DF488" s="150"/>
      <c r="DG488" s="150"/>
      <c r="DH488" s="150"/>
      <c r="DI488" s="150"/>
      <c r="DJ488" s="150"/>
      <c r="DK488" s="150"/>
    </row>
    <row r="489" spans="1:115" s="227" customFormat="1" x14ac:dyDescent="0.25">
      <c r="A489" s="258"/>
      <c r="B489" s="258"/>
      <c r="C489" s="584"/>
      <c r="D489" s="560"/>
      <c r="E489" s="537"/>
      <c r="F489" s="541"/>
      <c r="G489" s="541"/>
      <c r="H489" s="540">
        <f t="shared" si="71"/>
        <v>0</v>
      </c>
      <c r="I489" s="537"/>
      <c r="J489" s="541"/>
      <c r="K489" s="541"/>
      <c r="L489" s="540">
        <f t="shared" si="73"/>
        <v>0</v>
      </c>
      <c r="M489" s="150"/>
      <c r="N489" s="150"/>
      <c r="O489" s="150"/>
      <c r="P489" s="150"/>
      <c r="Q489" s="150"/>
      <c r="R489" s="150"/>
      <c r="S489" s="150"/>
      <c r="T489" s="150"/>
      <c r="U489" s="150"/>
      <c r="V489" s="150"/>
      <c r="W489" s="150"/>
      <c r="X489" s="150"/>
      <c r="Y489" s="150"/>
      <c r="Z489" s="150"/>
      <c r="AA489" s="150"/>
      <c r="AB489" s="150"/>
      <c r="AC489" s="150"/>
      <c r="AD489" s="150"/>
      <c r="AE489" s="150"/>
      <c r="AF489" s="150"/>
      <c r="AG489" s="150"/>
      <c r="AH489" s="150"/>
      <c r="AI489" s="150"/>
      <c r="AJ489" s="150"/>
      <c r="AK489" s="150"/>
      <c r="AL489" s="150"/>
      <c r="AM489" s="150"/>
      <c r="AN489" s="150"/>
      <c r="AO489" s="150"/>
      <c r="AP489" s="150"/>
      <c r="AQ489" s="150"/>
      <c r="AR489" s="150"/>
      <c r="AS489" s="150"/>
      <c r="AT489" s="150"/>
      <c r="AU489" s="150"/>
      <c r="AV489" s="150"/>
      <c r="AW489" s="150"/>
      <c r="AX489" s="150"/>
      <c r="AY489" s="150"/>
      <c r="AZ489" s="150"/>
      <c r="BA489" s="150"/>
      <c r="BB489" s="150"/>
      <c r="BC489" s="150"/>
      <c r="BD489" s="150"/>
      <c r="BE489" s="150"/>
      <c r="BF489" s="150"/>
      <c r="BG489" s="150"/>
      <c r="BH489" s="150"/>
      <c r="BI489" s="150"/>
      <c r="BJ489" s="150"/>
      <c r="BK489" s="150"/>
      <c r="BL489" s="150"/>
      <c r="BM489" s="150"/>
      <c r="BN489" s="150"/>
      <c r="BO489" s="150"/>
      <c r="BP489" s="150"/>
      <c r="BQ489" s="150"/>
      <c r="BR489" s="150"/>
      <c r="BS489" s="150"/>
      <c r="BT489" s="150"/>
      <c r="BU489" s="150"/>
      <c r="BV489" s="150"/>
      <c r="BW489" s="150"/>
      <c r="BX489" s="150"/>
      <c r="BY489" s="150"/>
      <c r="BZ489" s="150"/>
      <c r="CA489" s="150"/>
      <c r="CB489" s="150"/>
      <c r="CC489" s="150"/>
      <c r="CD489" s="150"/>
      <c r="CE489" s="150"/>
      <c r="CF489" s="150"/>
      <c r="CG489" s="150"/>
      <c r="CH489" s="150"/>
      <c r="CI489" s="150"/>
      <c r="CJ489" s="150"/>
      <c r="CK489" s="150"/>
      <c r="CL489" s="150"/>
      <c r="CM489" s="150"/>
      <c r="CN489" s="150"/>
      <c r="CO489" s="150"/>
      <c r="CP489" s="150"/>
      <c r="CQ489" s="150"/>
      <c r="CR489" s="150"/>
      <c r="CS489" s="150"/>
      <c r="CT489" s="150"/>
      <c r="CU489" s="150"/>
      <c r="CV489" s="150"/>
      <c r="CW489" s="150"/>
      <c r="CX489" s="150"/>
      <c r="CY489" s="150"/>
      <c r="CZ489" s="150"/>
      <c r="DA489" s="150"/>
      <c r="DB489" s="150"/>
      <c r="DC489" s="150"/>
      <c r="DD489" s="150"/>
      <c r="DE489" s="150"/>
      <c r="DF489" s="150"/>
      <c r="DG489" s="150"/>
      <c r="DH489" s="150"/>
      <c r="DI489" s="150"/>
      <c r="DJ489" s="150"/>
      <c r="DK489" s="150"/>
    </row>
    <row r="490" spans="1:115" s="227" customFormat="1" x14ac:dyDescent="0.25">
      <c r="A490" s="258"/>
      <c r="B490" s="258"/>
      <c r="C490" s="584"/>
      <c r="D490" s="560"/>
      <c r="E490" s="537"/>
      <c r="F490" s="541"/>
      <c r="G490" s="541"/>
      <c r="H490" s="540">
        <f t="shared" si="71"/>
        <v>0</v>
      </c>
      <c r="I490" s="537"/>
      <c r="J490" s="541"/>
      <c r="K490" s="541"/>
      <c r="L490" s="540">
        <f t="shared" si="73"/>
        <v>0</v>
      </c>
      <c r="M490" s="150"/>
      <c r="N490" s="150"/>
      <c r="O490" s="150"/>
      <c r="P490" s="150"/>
      <c r="Q490" s="150"/>
      <c r="R490" s="150"/>
      <c r="S490" s="150"/>
      <c r="T490" s="150"/>
      <c r="U490" s="150"/>
      <c r="V490" s="150"/>
      <c r="W490" s="150"/>
      <c r="X490" s="150"/>
      <c r="Y490" s="150"/>
      <c r="Z490" s="150"/>
      <c r="AA490" s="150"/>
      <c r="AB490" s="150"/>
      <c r="AC490" s="150"/>
      <c r="AD490" s="150"/>
      <c r="AE490" s="150"/>
      <c r="AF490" s="150"/>
      <c r="AG490" s="150"/>
      <c r="AH490" s="150"/>
      <c r="AI490" s="150"/>
      <c r="AJ490" s="150"/>
      <c r="AK490" s="150"/>
      <c r="AL490" s="150"/>
      <c r="AM490" s="150"/>
      <c r="AN490" s="150"/>
      <c r="AO490" s="150"/>
      <c r="AP490" s="150"/>
      <c r="AQ490" s="150"/>
      <c r="AR490" s="150"/>
      <c r="AS490" s="150"/>
      <c r="AT490" s="150"/>
      <c r="AU490" s="150"/>
      <c r="AV490" s="150"/>
      <c r="AW490" s="150"/>
      <c r="AX490" s="150"/>
      <c r="AY490" s="150"/>
      <c r="AZ490" s="150"/>
      <c r="BA490" s="150"/>
      <c r="BB490" s="150"/>
      <c r="BC490" s="150"/>
      <c r="BD490" s="150"/>
      <c r="BE490" s="150"/>
      <c r="BF490" s="150"/>
      <c r="BG490" s="150"/>
      <c r="BH490" s="150"/>
      <c r="BI490" s="150"/>
      <c r="BJ490" s="150"/>
      <c r="BK490" s="150"/>
      <c r="BL490" s="150"/>
      <c r="BM490" s="150"/>
      <c r="BN490" s="150"/>
      <c r="BO490" s="150"/>
      <c r="BP490" s="150"/>
      <c r="BQ490" s="150"/>
      <c r="BR490" s="150"/>
      <c r="BS490" s="150"/>
      <c r="BT490" s="150"/>
      <c r="BU490" s="150"/>
      <c r="BV490" s="150"/>
      <c r="BW490" s="150"/>
      <c r="BX490" s="150"/>
      <c r="BY490" s="150"/>
      <c r="BZ490" s="150"/>
      <c r="CA490" s="150"/>
      <c r="CB490" s="150"/>
      <c r="CC490" s="150"/>
      <c r="CD490" s="150"/>
      <c r="CE490" s="150"/>
      <c r="CF490" s="150"/>
      <c r="CG490" s="150"/>
      <c r="CH490" s="150"/>
      <c r="CI490" s="150"/>
      <c r="CJ490" s="150"/>
      <c r="CK490" s="150"/>
      <c r="CL490" s="150"/>
      <c r="CM490" s="150"/>
      <c r="CN490" s="150"/>
      <c r="CO490" s="150"/>
      <c r="CP490" s="150"/>
      <c r="CQ490" s="150"/>
      <c r="CR490" s="150"/>
      <c r="CS490" s="150"/>
      <c r="CT490" s="150"/>
      <c r="CU490" s="150"/>
      <c r="CV490" s="150"/>
      <c r="CW490" s="150"/>
      <c r="CX490" s="150"/>
      <c r="CY490" s="150"/>
      <c r="CZ490" s="150"/>
      <c r="DA490" s="150"/>
      <c r="DB490" s="150"/>
      <c r="DC490" s="150"/>
      <c r="DD490" s="150"/>
      <c r="DE490" s="150"/>
      <c r="DF490" s="150"/>
      <c r="DG490" s="150"/>
      <c r="DH490" s="150"/>
      <c r="DI490" s="150"/>
      <c r="DJ490" s="150"/>
      <c r="DK490" s="150"/>
    </row>
    <row r="491" spans="1:115" s="227" customFormat="1" x14ac:dyDescent="0.25">
      <c r="A491" s="258"/>
      <c r="B491" s="258"/>
      <c r="C491" s="584"/>
      <c r="D491" s="560"/>
      <c r="E491" s="537"/>
      <c r="F491" s="541"/>
      <c r="G491" s="541"/>
      <c r="H491" s="540">
        <f t="shared" si="71"/>
        <v>0</v>
      </c>
      <c r="I491" s="537"/>
      <c r="J491" s="541"/>
      <c r="K491" s="541"/>
      <c r="L491" s="540">
        <f t="shared" si="73"/>
        <v>0</v>
      </c>
      <c r="M491" s="150"/>
      <c r="N491" s="150"/>
      <c r="O491" s="150"/>
      <c r="P491" s="150"/>
      <c r="Q491" s="150"/>
      <c r="R491" s="150"/>
      <c r="S491" s="150"/>
      <c r="T491" s="150"/>
      <c r="U491" s="150"/>
      <c r="V491" s="150"/>
      <c r="W491" s="150"/>
      <c r="X491" s="150"/>
      <c r="Y491" s="150"/>
      <c r="Z491" s="150"/>
      <c r="AA491" s="150"/>
      <c r="AB491" s="150"/>
      <c r="AC491" s="150"/>
      <c r="AD491" s="150"/>
      <c r="AE491" s="150"/>
      <c r="AF491" s="150"/>
      <c r="AG491" s="150"/>
      <c r="AH491" s="150"/>
      <c r="AI491" s="150"/>
      <c r="AJ491" s="150"/>
      <c r="AK491" s="150"/>
      <c r="AL491" s="150"/>
      <c r="AM491" s="150"/>
      <c r="AN491" s="150"/>
      <c r="AO491" s="150"/>
      <c r="AP491" s="150"/>
      <c r="AQ491" s="150"/>
      <c r="AR491" s="150"/>
      <c r="AS491" s="150"/>
      <c r="AT491" s="150"/>
      <c r="AU491" s="150"/>
      <c r="AV491" s="150"/>
      <c r="AW491" s="150"/>
      <c r="AX491" s="150"/>
      <c r="AY491" s="150"/>
      <c r="AZ491" s="150"/>
      <c r="BA491" s="150"/>
      <c r="BB491" s="150"/>
      <c r="BC491" s="150"/>
      <c r="BD491" s="150"/>
      <c r="BE491" s="150"/>
      <c r="BF491" s="150"/>
      <c r="BG491" s="150"/>
      <c r="BH491" s="150"/>
      <c r="BI491" s="150"/>
      <c r="BJ491" s="150"/>
      <c r="BK491" s="150"/>
      <c r="BL491" s="150"/>
      <c r="BM491" s="150"/>
      <c r="BN491" s="150"/>
      <c r="BO491" s="150"/>
      <c r="BP491" s="150"/>
      <c r="BQ491" s="150"/>
      <c r="BR491" s="150"/>
      <c r="BS491" s="150"/>
      <c r="BT491" s="150"/>
      <c r="BU491" s="150"/>
      <c r="BV491" s="150"/>
      <c r="BW491" s="150"/>
      <c r="BX491" s="150"/>
      <c r="BY491" s="150"/>
      <c r="BZ491" s="150"/>
      <c r="CA491" s="150"/>
      <c r="CB491" s="150"/>
      <c r="CC491" s="150"/>
      <c r="CD491" s="150"/>
      <c r="CE491" s="150"/>
      <c r="CF491" s="150"/>
      <c r="CG491" s="150"/>
      <c r="CH491" s="150"/>
      <c r="CI491" s="150"/>
      <c r="CJ491" s="150"/>
      <c r="CK491" s="150"/>
      <c r="CL491" s="150"/>
      <c r="CM491" s="150"/>
      <c r="CN491" s="150"/>
      <c r="CO491" s="150"/>
      <c r="CP491" s="150"/>
      <c r="CQ491" s="150"/>
      <c r="CR491" s="150"/>
      <c r="CS491" s="150"/>
      <c r="CT491" s="150"/>
      <c r="CU491" s="150"/>
      <c r="CV491" s="150"/>
      <c r="CW491" s="150"/>
      <c r="CX491" s="150"/>
      <c r="CY491" s="150"/>
      <c r="CZ491" s="150"/>
      <c r="DA491" s="150"/>
      <c r="DB491" s="150"/>
      <c r="DC491" s="150"/>
      <c r="DD491" s="150"/>
      <c r="DE491" s="150"/>
      <c r="DF491" s="150"/>
      <c r="DG491" s="150"/>
      <c r="DH491" s="150"/>
      <c r="DI491" s="150"/>
      <c r="DJ491" s="150"/>
      <c r="DK491" s="150"/>
    </row>
    <row r="492" spans="1:115" s="227" customFormat="1" x14ac:dyDescent="0.25">
      <c r="A492" s="258"/>
      <c r="B492" s="258"/>
      <c r="C492" s="584"/>
      <c r="D492" s="560"/>
      <c r="E492" s="537"/>
      <c r="F492" s="541"/>
      <c r="G492" s="541"/>
      <c r="H492" s="540">
        <f t="shared" si="71"/>
        <v>0</v>
      </c>
      <c r="I492" s="537"/>
      <c r="J492" s="541"/>
      <c r="K492" s="541"/>
      <c r="L492" s="540">
        <f t="shared" si="73"/>
        <v>0</v>
      </c>
      <c r="M492" s="150"/>
      <c r="N492" s="150"/>
      <c r="O492" s="150"/>
      <c r="P492" s="150"/>
      <c r="Q492" s="150"/>
      <c r="R492" s="150"/>
      <c r="S492" s="150"/>
      <c r="T492" s="150"/>
      <c r="U492" s="150"/>
      <c r="V492" s="150"/>
      <c r="W492" s="150"/>
      <c r="X492" s="150"/>
      <c r="Y492" s="150"/>
      <c r="Z492" s="150"/>
      <c r="AA492" s="150"/>
      <c r="AB492" s="150"/>
      <c r="AC492" s="150"/>
      <c r="AD492" s="150"/>
      <c r="AE492" s="150"/>
      <c r="AF492" s="150"/>
      <c r="AG492" s="150"/>
      <c r="AH492" s="150"/>
      <c r="AI492" s="150"/>
      <c r="AJ492" s="150"/>
      <c r="AK492" s="150"/>
      <c r="AL492" s="150"/>
      <c r="AM492" s="150"/>
      <c r="AN492" s="150"/>
      <c r="AO492" s="150"/>
      <c r="AP492" s="150"/>
      <c r="AQ492" s="150"/>
      <c r="AR492" s="150"/>
      <c r="AS492" s="150"/>
      <c r="AT492" s="150"/>
      <c r="AU492" s="150"/>
      <c r="AV492" s="150"/>
      <c r="AW492" s="150"/>
      <c r="AX492" s="150"/>
      <c r="AY492" s="150"/>
      <c r="AZ492" s="150"/>
      <c r="BA492" s="150"/>
      <c r="BB492" s="150"/>
      <c r="BC492" s="150"/>
      <c r="BD492" s="150"/>
      <c r="BE492" s="150"/>
      <c r="BF492" s="150"/>
      <c r="BG492" s="150"/>
      <c r="BH492" s="150"/>
      <c r="BI492" s="150"/>
      <c r="BJ492" s="150"/>
      <c r="BK492" s="150"/>
      <c r="BL492" s="150"/>
      <c r="BM492" s="150"/>
      <c r="BN492" s="150"/>
      <c r="BO492" s="150"/>
      <c r="BP492" s="150"/>
      <c r="BQ492" s="150"/>
      <c r="BR492" s="150"/>
      <c r="BS492" s="150"/>
      <c r="BT492" s="150"/>
      <c r="BU492" s="150"/>
      <c r="BV492" s="150"/>
      <c r="BW492" s="150"/>
      <c r="BX492" s="150"/>
      <c r="BY492" s="150"/>
      <c r="BZ492" s="150"/>
      <c r="CA492" s="150"/>
      <c r="CB492" s="150"/>
      <c r="CC492" s="150"/>
      <c r="CD492" s="150"/>
      <c r="CE492" s="150"/>
      <c r="CF492" s="150"/>
      <c r="CG492" s="150"/>
      <c r="CH492" s="150"/>
      <c r="CI492" s="150"/>
      <c r="CJ492" s="150"/>
      <c r="CK492" s="150"/>
      <c r="CL492" s="150"/>
      <c r="CM492" s="150"/>
      <c r="CN492" s="150"/>
      <c r="CO492" s="150"/>
      <c r="CP492" s="150"/>
      <c r="CQ492" s="150"/>
      <c r="CR492" s="150"/>
      <c r="CS492" s="150"/>
      <c r="CT492" s="150"/>
      <c r="CU492" s="150"/>
      <c r="CV492" s="150"/>
      <c r="CW492" s="150"/>
      <c r="CX492" s="150"/>
      <c r="CY492" s="150"/>
      <c r="CZ492" s="150"/>
      <c r="DA492" s="150"/>
      <c r="DB492" s="150"/>
      <c r="DC492" s="150"/>
      <c r="DD492" s="150"/>
      <c r="DE492" s="150"/>
      <c r="DF492" s="150"/>
      <c r="DG492" s="150"/>
      <c r="DH492" s="150"/>
      <c r="DI492" s="150"/>
      <c r="DJ492" s="150"/>
      <c r="DK492" s="150"/>
    </row>
    <row r="493" spans="1:115" s="227" customFormat="1" x14ac:dyDescent="0.25">
      <c r="A493" s="258"/>
      <c r="B493" s="258"/>
      <c r="C493" s="585"/>
      <c r="D493" s="560"/>
      <c r="E493" s="253"/>
      <c r="F493" s="253"/>
      <c r="G493" s="541"/>
      <c r="H493" s="536">
        <f t="shared" si="71"/>
        <v>0</v>
      </c>
      <c r="I493" s="253"/>
      <c r="J493" s="253"/>
      <c r="K493" s="541"/>
      <c r="L493" s="536">
        <f t="shared" si="73"/>
        <v>0</v>
      </c>
      <c r="M493" s="150"/>
      <c r="N493" s="150"/>
      <c r="O493" s="150"/>
      <c r="P493" s="150"/>
      <c r="Q493" s="150"/>
      <c r="R493" s="150"/>
      <c r="S493" s="150"/>
      <c r="T493" s="150"/>
      <c r="U493" s="150"/>
      <c r="V493" s="150"/>
      <c r="W493" s="150"/>
      <c r="X493" s="150"/>
      <c r="Y493" s="150"/>
      <c r="Z493" s="150"/>
      <c r="AA493" s="150"/>
      <c r="AB493" s="150"/>
      <c r="AC493" s="150"/>
      <c r="AD493" s="150"/>
      <c r="AE493" s="150"/>
      <c r="AF493" s="150"/>
      <c r="AG493" s="150"/>
      <c r="AH493" s="150"/>
      <c r="AI493" s="150"/>
      <c r="AJ493" s="150"/>
      <c r="AK493" s="150"/>
      <c r="AL493" s="150"/>
      <c r="AM493" s="150"/>
      <c r="AN493" s="150"/>
      <c r="AO493" s="150"/>
      <c r="AP493" s="150"/>
      <c r="AQ493" s="150"/>
      <c r="AR493" s="150"/>
      <c r="AS493" s="150"/>
      <c r="AT493" s="150"/>
      <c r="AU493" s="150"/>
      <c r="AV493" s="150"/>
      <c r="AW493" s="150"/>
      <c r="AX493" s="150"/>
      <c r="AY493" s="150"/>
      <c r="AZ493" s="150"/>
      <c r="BA493" s="150"/>
      <c r="BB493" s="150"/>
      <c r="BC493" s="150"/>
      <c r="BD493" s="150"/>
      <c r="BE493" s="150"/>
      <c r="BF493" s="150"/>
      <c r="BG493" s="150"/>
      <c r="BH493" s="150"/>
      <c r="BI493" s="150"/>
      <c r="BJ493" s="150"/>
      <c r="BK493" s="150"/>
      <c r="BL493" s="150"/>
      <c r="BM493" s="150"/>
      <c r="BN493" s="150"/>
      <c r="BO493" s="150"/>
      <c r="BP493" s="150"/>
      <c r="BQ493" s="150"/>
      <c r="BR493" s="150"/>
      <c r="BS493" s="150"/>
      <c r="BT493" s="150"/>
      <c r="BU493" s="150"/>
      <c r="BV493" s="150"/>
      <c r="BW493" s="150"/>
      <c r="BX493" s="150"/>
      <c r="BY493" s="150"/>
      <c r="BZ493" s="150"/>
      <c r="CA493" s="150"/>
      <c r="CB493" s="150"/>
      <c r="CC493" s="150"/>
      <c r="CD493" s="150"/>
      <c r="CE493" s="150"/>
      <c r="CF493" s="150"/>
      <c r="CG493" s="150"/>
      <c r="CH493" s="150"/>
      <c r="CI493" s="150"/>
      <c r="CJ493" s="150"/>
      <c r="CK493" s="150"/>
      <c r="CL493" s="150"/>
      <c r="CM493" s="150"/>
      <c r="CN493" s="150"/>
      <c r="CO493" s="150"/>
      <c r="CP493" s="150"/>
      <c r="CQ493" s="150"/>
      <c r="CR493" s="150"/>
      <c r="CS493" s="150"/>
      <c r="CT493" s="150"/>
      <c r="CU493" s="150"/>
      <c r="CV493" s="150"/>
      <c r="CW493" s="150"/>
      <c r="CX493" s="150"/>
      <c r="CY493" s="150"/>
      <c r="CZ493" s="150"/>
      <c r="DA493" s="150"/>
      <c r="DB493" s="150"/>
      <c r="DC493" s="150"/>
      <c r="DD493" s="150"/>
      <c r="DE493" s="150"/>
      <c r="DF493" s="150"/>
      <c r="DG493" s="150"/>
      <c r="DH493" s="150"/>
      <c r="DI493" s="150"/>
      <c r="DJ493" s="150"/>
      <c r="DK493" s="150"/>
    </row>
    <row r="494" spans="1:115" s="227" customFormat="1" x14ac:dyDescent="0.25">
      <c r="A494" s="258"/>
      <c r="B494" s="258"/>
      <c r="C494" s="585"/>
      <c r="D494" s="560"/>
      <c r="E494" s="253"/>
      <c r="F494" s="253"/>
      <c r="G494" s="541"/>
      <c r="H494" s="536">
        <f t="shared" si="71"/>
        <v>0</v>
      </c>
      <c r="I494" s="253"/>
      <c r="J494" s="253"/>
      <c r="K494" s="541"/>
      <c r="L494" s="536">
        <f t="shared" si="73"/>
        <v>0</v>
      </c>
      <c r="M494" s="150"/>
      <c r="N494" s="150"/>
      <c r="O494" s="150"/>
      <c r="P494" s="150"/>
      <c r="Q494" s="150"/>
      <c r="R494" s="150"/>
      <c r="S494" s="150"/>
      <c r="T494" s="150"/>
      <c r="U494" s="150"/>
      <c r="V494" s="150"/>
      <c r="W494" s="150"/>
      <c r="X494" s="150"/>
      <c r="Y494" s="150"/>
      <c r="Z494" s="150"/>
      <c r="AA494" s="150"/>
      <c r="AB494" s="150"/>
      <c r="AC494" s="150"/>
      <c r="AD494" s="150"/>
      <c r="AE494" s="150"/>
      <c r="AF494" s="150"/>
      <c r="AG494" s="150"/>
      <c r="AH494" s="150"/>
      <c r="AI494" s="150"/>
      <c r="AJ494" s="150"/>
      <c r="AK494" s="150"/>
      <c r="AL494" s="150"/>
      <c r="AM494" s="150"/>
      <c r="AN494" s="150"/>
      <c r="AO494" s="150"/>
      <c r="AP494" s="150"/>
      <c r="AQ494" s="150"/>
      <c r="AR494" s="150"/>
      <c r="AS494" s="150"/>
      <c r="AT494" s="150"/>
      <c r="AU494" s="150"/>
      <c r="AV494" s="150"/>
      <c r="AW494" s="150"/>
      <c r="AX494" s="150"/>
      <c r="AY494" s="150"/>
      <c r="AZ494" s="150"/>
      <c r="BA494" s="150"/>
      <c r="BB494" s="150"/>
      <c r="BC494" s="150"/>
      <c r="BD494" s="150"/>
      <c r="BE494" s="150"/>
      <c r="BF494" s="150"/>
      <c r="BG494" s="150"/>
      <c r="BH494" s="150"/>
      <c r="BI494" s="150"/>
      <c r="BJ494" s="150"/>
      <c r="BK494" s="150"/>
      <c r="BL494" s="150"/>
      <c r="BM494" s="150"/>
      <c r="BN494" s="150"/>
      <c r="BO494" s="150"/>
      <c r="BP494" s="150"/>
      <c r="BQ494" s="150"/>
      <c r="BR494" s="150"/>
      <c r="BS494" s="150"/>
      <c r="BT494" s="150"/>
      <c r="BU494" s="150"/>
      <c r="BV494" s="150"/>
      <c r="BW494" s="150"/>
      <c r="BX494" s="150"/>
      <c r="BY494" s="150"/>
      <c r="BZ494" s="150"/>
      <c r="CA494" s="150"/>
      <c r="CB494" s="150"/>
      <c r="CC494" s="150"/>
      <c r="CD494" s="150"/>
      <c r="CE494" s="150"/>
      <c r="CF494" s="150"/>
      <c r="CG494" s="150"/>
      <c r="CH494" s="150"/>
      <c r="CI494" s="150"/>
      <c r="CJ494" s="150"/>
      <c r="CK494" s="150"/>
      <c r="CL494" s="150"/>
      <c r="CM494" s="150"/>
      <c r="CN494" s="150"/>
      <c r="CO494" s="150"/>
      <c r="CP494" s="150"/>
      <c r="CQ494" s="150"/>
      <c r="CR494" s="150"/>
      <c r="CS494" s="150"/>
      <c r="CT494" s="150"/>
      <c r="CU494" s="150"/>
      <c r="CV494" s="150"/>
      <c r="CW494" s="150"/>
      <c r="CX494" s="150"/>
      <c r="CY494" s="150"/>
      <c r="CZ494" s="150"/>
      <c r="DA494" s="150"/>
      <c r="DB494" s="150"/>
      <c r="DC494" s="150"/>
      <c r="DD494" s="150"/>
      <c r="DE494" s="150"/>
      <c r="DF494" s="150"/>
      <c r="DG494" s="150"/>
      <c r="DH494" s="150"/>
      <c r="DI494" s="150"/>
      <c r="DJ494" s="150"/>
      <c r="DK494" s="150"/>
    </row>
    <row r="495" spans="1:115" x14ac:dyDescent="0.25">
      <c r="A495" s="258"/>
      <c r="B495" s="258"/>
      <c r="C495" s="585"/>
      <c r="D495" s="559" t="s">
        <v>0</v>
      </c>
      <c r="E495" s="534"/>
      <c r="F495" s="542">
        <f>SUM(F469:F494)</f>
        <v>0</v>
      </c>
      <c r="G495" s="543" t="e">
        <f>H495/F495</f>
        <v>#DIV/0!</v>
      </c>
      <c r="H495" s="544">
        <f>SUM(H469:H494)</f>
        <v>0</v>
      </c>
      <c r="I495" s="534"/>
      <c r="J495" s="542">
        <f>SUM(J469:J494)</f>
        <v>0</v>
      </c>
      <c r="K495" s="543" t="e">
        <f>L495/J495</f>
        <v>#DIV/0!</v>
      </c>
      <c r="L495" s="544">
        <f>SUM(L469:L494)</f>
        <v>0</v>
      </c>
    </row>
    <row r="496" spans="1:115" x14ac:dyDescent="0.25">
      <c r="A496" s="545"/>
      <c r="B496" s="545"/>
      <c r="C496" s="586"/>
      <c r="D496" s="561"/>
      <c r="E496" s="546"/>
      <c r="F496" s="546"/>
      <c r="G496" s="547"/>
      <c r="H496" s="548"/>
      <c r="I496" s="546"/>
      <c r="J496" s="546"/>
      <c r="K496" s="547"/>
      <c r="L496" s="548"/>
    </row>
    <row r="497" spans="1:115" x14ac:dyDescent="0.25">
      <c r="A497" s="258"/>
      <c r="B497" s="258"/>
      <c r="C497" s="584"/>
      <c r="D497" s="558"/>
      <c r="E497" s="534"/>
      <c r="F497" s="253"/>
      <c r="G497" s="535"/>
      <c r="H497" s="536">
        <f t="shared" ref="H497:H508" si="74">F497*G497</f>
        <v>0</v>
      </c>
      <c r="I497" s="534"/>
      <c r="J497" s="253"/>
      <c r="K497" s="535"/>
      <c r="L497" s="536">
        <f t="shared" ref="L497:L506" si="75">J497*K497</f>
        <v>0</v>
      </c>
    </row>
    <row r="498" spans="1:115" ht="13.9" customHeight="1" x14ac:dyDescent="0.25">
      <c r="A498" s="258"/>
      <c r="B498" s="258"/>
      <c r="C498" s="584"/>
      <c r="D498" s="559">
        <f>D470+1</f>
        <v>45655</v>
      </c>
      <c r="E498" s="534"/>
      <c r="F498" s="253"/>
      <c r="G498" s="541"/>
      <c r="H498" s="536">
        <f t="shared" si="74"/>
        <v>0</v>
      </c>
      <c r="I498" s="534"/>
      <c r="J498" s="253"/>
      <c r="K498" s="541"/>
      <c r="L498" s="536">
        <f t="shared" si="75"/>
        <v>0</v>
      </c>
    </row>
    <row r="499" spans="1:115" s="227" customFormat="1" x14ac:dyDescent="0.25">
      <c r="A499" s="258"/>
      <c r="B499" s="258"/>
      <c r="C499" s="584"/>
      <c r="D499" s="595"/>
      <c r="E499" s="537"/>
      <c r="F499" s="541"/>
      <c r="G499" s="541"/>
      <c r="H499" s="540">
        <f t="shared" si="74"/>
        <v>0</v>
      </c>
      <c r="I499" s="537"/>
      <c r="J499" s="541"/>
      <c r="K499" s="541"/>
      <c r="L499" s="540">
        <f t="shared" si="75"/>
        <v>0</v>
      </c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  <c r="AK499" s="150"/>
      <c r="AL499" s="150"/>
      <c r="AM499" s="150"/>
      <c r="AN499" s="150"/>
      <c r="AO499" s="150"/>
      <c r="AP499" s="150"/>
      <c r="AQ499" s="150"/>
      <c r="AR499" s="150"/>
      <c r="AS499" s="150"/>
      <c r="AT499" s="150"/>
      <c r="AU499" s="150"/>
      <c r="AV499" s="150"/>
      <c r="AW499" s="150"/>
      <c r="AX499" s="150"/>
      <c r="AY499" s="150"/>
      <c r="AZ499" s="150"/>
      <c r="BA499" s="150"/>
      <c r="BB499" s="150"/>
      <c r="BC499" s="150"/>
      <c r="BD499" s="150"/>
      <c r="BE499" s="150"/>
      <c r="BF499" s="150"/>
      <c r="BG499" s="150"/>
      <c r="BH499" s="150"/>
      <c r="BI499" s="150"/>
      <c r="BJ499" s="150"/>
      <c r="BK499" s="150"/>
      <c r="BL499" s="150"/>
      <c r="BM499" s="150"/>
      <c r="BN499" s="150"/>
      <c r="BO499" s="150"/>
      <c r="BP499" s="150"/>
      <c r="BQ499" s="150"/>
      <c r="BR499" s="150"/>
      <c r="BS499" s="150"/>
      <c r="BT499" s="150"/>
      <c r="BU499" s="150"/>
      <c r="BV499" s="150"/>
      <c r="BW499" s="150"/>
      <c r="BX499" s="150"/>
      <c r="BY499" s="150"/>
      <c r="BZ499" s="150"/>
      <c r="CA499" s="150"/>
      <c r="CB499" s="150"/>
      <c r="CC499" s="150"/>
      <c r="CD499" s="150"/>
      <c r="CE499" s="150"/>
      <c r="CF499" s="150"/>
      <c r="CG499" s="150"/>
      <c r="CH499" s="150"/>
      <c r="CI499" s="150"/>
      <c r="CJ499" s="150"/>
      <c r="CK499" s="150"/>
      <c r="CL499" s="150"/>
      <c r="CM499" s="150"/>
      <c r="CN499" s="150"/>
      <c r="CO499" s="150"/>
      <c r="CP499" s="150"/>
      <c r="CQ499" s="150"/>
      <c r="CR499" s="150"/>
      <c r="CS499" s="150"/>
      <c r="CT499" s="150"/>
      <c r="CU499" s="150"/>
      <c r="CV499" s="150"/>
      <c r="CW499" s="150"/>
      <c r="CX499" s="150"/>
      <c r="CY499" s="150"/>
      <c r="CZ499" s="150"/>
      <c r="DA499" s="150"/>
      <c r="DB499" s="150"/>
      <c r="DC499" s="150"/>
      <c r="DD499" s="150"/>
      <c r="DE499" s="150"/>
      <c r="DF499" s="150"/>
      <c r="DG499" s="150"/>
      <c r="DH499" s="150"/>
      <c r="DI499" s="150"/>
      <c r="DJ499" s="150"/>
      <c r="DK499" s="150"/>
    </row>
    <row r="500" spans="1:115" s="227" customFormat="1" x14ac:dyDescent="0.25">
      <c r="A500" s="258"/>
      <c r="B500" s="258"/>
      <c r="C500" s="584"/>
      <c r="D500" s="560"/>
      <c r="E500" s="537"/>
      <c r="F500" s="541"/>
      <c r="G500" s="541"/>
      <c r="H500" s="540">
        <f t="shared" si="74"/>
        <v>0</v>
      </c>
      <c r="I500" s="537"/>
      <c r="J500" s="541"/>
      <c r="K500" s="541"/>
      <c r="L500" s="540">
        <f t="shared" si="75"/>
        <v>0</v>
      </c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  <c r="AI500" s="150"/>
      <c r="AJ500" s="150"/>
      <c r="AK500" s="150"/>
      <c r="AL500" s="150"/>
      <c r="AM500" s="150"/>
      <c r="AN500" s="150"/>
      <c r="AO500" s="150"/>
      <c r="AP500" s="150"/>
      <c r="AQ500" s="150"/>
      <c r="AR500" s="150"/>
      <c r="AS500" s="150"/>
      <c r="AT500" s="150"/>
      <c r="AU500" s="150"/>
      <c r="AV500" s="150"/>
      <c r="AW500" s="150"/>
      <c r="AX500" s="150"/>
      <c r="AY500" s="150"/>
      <c r="AZ500" s="150"/>
      <c r="BA500" s="150"/>
      <c r="BB500" s="150"/>
      <c r="BC500" s="150"/>
      <c r="BD500" s="150"/>
      <c r="BE500" s="150"/>
      <c r="BF500" s="150"/>
      <c r="BG500" s="150"/>
      <c r="BH500" s="150"/>
      <c r="BI500" s="150"/>
      <c r="BJ500" s="150"/>
      <c r="BK500" s="150"/>
      <c r="BL500" s="150"/>
      <c r="BM500" s="150"/>
      <c r="BN500" s="150"/>
      <c r="BO500" s="150"/>
      <c r="BP500" s="150"/>
      <c r="BQ500" s="150"/>
      <c r="BR500" s="150"/>
      <c r="BS500" s="150"/>
      <c r="BT500" s="150"/>
      <c r="BU500" s="150"/>
      <c r="BV500" s="150"/>
      <c r="BW500" s="150"/>
      <c r="BX500" s="150"/>
      <c r="BY500" s="150"/>
      <c r="BZ500" s="150"/>
      <c r="CA500" s="150"/>
      <c r="CB500" s="150"/>
      <c r="CC500" s="150"/>
      <c r="CD500" s="150"/>
      <c r="CE500" s="150"/>
      <c r="CF500" s="150"/>
      <c r="CG500" s="150"/>
      <c r="CH500" s="150"/>
      <c r="CI500" s="150"/>
      <c r="CJ500" s="150"/>
      <c r="CK500" s="150"/>
      <c r="CL500" s="150"/>
      <c r="CM500" s="150"/>
      <c r="CN500" s="150"/>
      <c r="CO500" s="150"/>
      <c r="CP500" s="150"/>
      <c r="CQ500" s="150"/>
      <c r="CR500" s="150"/>
      <c r="CS500" s="150"/>
      <c r="CT500" s="150"/>
      <c r="CU500" s="150"/>
      <c r="CV500" s="150"/>
      <c r="CW500" s="150"/>
      <c r="CX500" s="150"/>
      <c r="CY500" s="150"/>
      <c r="CZ500" s="150"/>
      <c r="DA500" s="150"/>
      <c r="DB500" s="150"/>
      <c r="DC500" s="150"/>
      <c r="DD500" s="150"/>
      <c r="DE500" s="150"/>
      <c r="DF500" s="150"/>
      <c r="DG500" s="150"/>
      <c r="DH500" s="150"/>
      <c r="DI500" s="150"/>
      <c r="DJ500" s="150"/>
      <c r="DK500" s="150"/>
    </row>
    <row r="501" spans="1:115" s="227" customFormat="1" x14ac:dyDescent="0.25">
      <c r="A501" s="258"/>
      <c r="B501" s="258"/>
      <c r="C501" s="584"/>
      <c r="D501" s="560"/>
      <c r="E501" s="537"/>
      <c r="F501" s="541"/>
      <c r="G501" s="541"/>
      <c r="H501" s="540">
        <f t="shared" si="74"/>
        <v>0</v>
      </c>
      <c r="I501" s="537"/>
      <c r="J501" s="541"/>
      <c r="K501" s="541"/>
      <c r="L501" s="540">
        <f t="shared" si="75"/>
        <v>0</v>
      </c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  <c r="AK501" s="150"/>
      <c r="AL501" s="150"/>
      <c r="AM501" s="150"/>
      <c r="AN501" s="150"/>
      <c r="AO501" s="150"/>
      <c r="AP501" s="150"/>
      <c r="AQ501" s="150"/>
      <c r="AR501" s="150"/>
      <c r="AS501" s="150"/>
      <c r="AT501" s="150"/>
      <c r="AU501" s="150"/>
      <c r="AV501" s="150"/>
      <c r="AW501" s="150"/>
      <c r="AX501" s="150"/>
      <c r="AY501" s="150"/>
      <c r="AZ501" s="150"/>
      <c r="BA501" s="150"/>
      <c r="BB501" s="150"/>
      <c r="BC501" s="150"/>
      <c r="BD501" s="150"/>
      <c r="BE501" s="150"/>
      <c r="BF501" s="150"/>
      <c r="BG501" s="150"/>
      <c r="BH501" s="150"/>
      <c r="BI501" s="150"/>
      <c r="BJ501" s="150"/>
      <c r="BK501" s="150"/>
      <c r="BL501" s="150"/>
      <c r="BM501" s="150"/>
      <c r="BN501" s="150"/>
      <c r="BO501" s="150"/>
      <c r="BP501" s="150"/>
      <c r="BQ501" s="150"/>
      <c r="BR501" s="150"/>
      <c r="BS501" s="150"/>
      <c r="BT501" s="150"/>
      <c r="BU501" s="150"/>
      <c r="BV501" s="150"/>
      <c r="BW501" s="150"/>
      <c r="BX501" s="150"/>
      <c r="BY501" s="150"/>
      <c r="BZ501" s="150"/>
      <c r="CA501" s="150"/>
      <c r="CB501" s="150"/>
      <c r="CC501" s="150"/>
      <c r="CD501" s="150"/>
      <c r="CE501" s="150"/>
      <c r="CF501" s="150"/>
      <c r="CG501" s="150"/>
      <c r="CH501" s="150"/>
      <c r="CI501" s="150"/>
      <c r="CJ501" s="150"/>
      <c r="CK501" s="150"/>
      <c r="CL501" s="150"/>
      <c r="CM501" s="150"/>
      <c r="CN501" s="150"/>
      <c r="CO501" s="150"/>
      <c r="CP501" s="150"/>
      <c r="CQ501" s="150"/>
      <c r="CR501" s="150"/>
      <c r="CS501" s="150"/>
      <c r="CT501" s="150"/>
      <c r="CU501" s="150"/>
      <c r="CV501" s="150"/>
      <c r="CW501" s="150"/>
      <c r="CX501" s="150"/>
      <c r="CY501" s="150"/>
      <c r="CZ501" s="150"/>
      <c r="DA501" s="150"/>
      <c r="DB501" s="150"/>
      <c r="DC501" s="150"/>
      <c r="DD501" s="150"/>
      <c r="DE501" s="150"/>
      <c r="DF501" s="150"/>
      <c r="DG501" s="150"/>
      <c r="DH501" s="150"/>
      <c r="DI501" s="150"/>
      <c r="DJ501" s="150"/>
      <c r="DK501" s="150"/>
    </row>
    <row r="502" spans="1:115" x14ac:dyDescent="0.25">
      <c r="A502" s="258"/>
      <c r="B502" s="258"/>
      <c r="C502" s="584"/>
      <c r="D502" s="559"/>
      <c r="E502" s="534"/>
      <c r="F502" s="262"/>
      <c r="G502" s="262"/>
      <c r="H502" s="536">
        <f t="shared" si="74"/>
        <v>0</v>
      </c>
      <c r="I502" s="534"/>
      <c r="J502" s="262"/>
      <c r="K502" s="262"/>
      <c r="L502" s="536">
        <f t="shared" si="75"/>
        <v>0</v>
      </c>
    </row>
    <row r="503" spans="1:115" x14ac:dyDescent="0.25">
      <c r="A503" s="258"/>
      <c r="B503" s="258"/>
      <c r="C503" s="584"/>
      <c r="D503" s="596"/>
      <c r="E503" s="534"/>
      <c r="F503" s="262"/>
      <c r="G503" s="262"/>
      <c r="H503" s="536">
        <f t="shared" si="74"/>
        <v>0</v>
      </c>
      <c r="I503" s="534"/>
      <c r="J503" s="262"/>
      <c r="K503" s="262"/>
      <c r="L503" s="536">
        <f t="shared" si="75"/>
        <v>0</v>
      </c>
    </row>
    <row r="504" spans="1:115" x14ac:dyDescent="0.25">
      <c r="A504" s="258"/>
      <c r="B504" s="258"/>
      <c r="C504" s="584"/>
      <c r="D504" s="596"/>
      <c r="E504" s="534"/>
      <c r="F504" s="262"/>
      <c r="G504" s="262"/>
      <c r="H504" s="536">
        <f t="shared" si="74"/>
        <v>0</v>
      </c>
      <c r="I504" s="534"/>
      <c r="J504" s="262"/>
      <c r="K504" s="262"/>
      <c r="L504" s="536">
        <f t="shared" si="75"/>
        <v>0</v>
      </c>
    </row>
    <row r="505" spans="1:115" x14ac:dyDescent="0.25">
      <c r="A505" s="258"/>
      <c r="B505" s="258"/>
      <c r="C505" s="584"/>
      <c r="D505" s="559"/>
      <c r="E505" s="534"/>
      <c r="F505" s="262"/>
      <c r="G505" s="262"/>
      <c r="H505" s="536">
        <f t="shared" si="74"/>
        <v>0</v>
      </c>
      <c r="I505" s="534"/>
      <c r="J505" s="262"/>
      <c r="K505" s="262"/>
      <c r="L505" s="536">
        <f t="shared" si="75"/>
        <v>0</v>
      </c>
    </row>
    <row r="506" spans="1:115" x14ac:dyDescent="0.25">
      <c r="A506" s="258"/>
      <c r="B506" s="258"/>
      <c r="C506" s="584"/>
      <c r="D506" s="559"/>
      <c r="E506" s="534"/>
      <c r="F506" s="262"/>
      <c r="G506" s="262"/>
      <c r="H506" s="536">
        <f t="shared" si="74"/>
        <v>0</v>
      </c>
      <c r="I506" s="534"/>
      <c r="J506" s="262"/>
      <c r="K506" s="262"/>
      <c r="L506" s="536">
        <f t="shared" si="75"/>
        <v>0</v>
      </c>
    </row>
    <row r="507" spans="1:115" s="227" customFormat="1" x14ac:dyDescent="0.25">
      <c r="A507" s="258"/>
      <c r="B507" s="258"/>
      <c r="C507" s="585"/>
      <c r="D507" s="560"/>
      <c r="E507" s="537"/>
      <c r="F507" s="253"/>
      <c r="G507" s="541"/>
      <c r="H507" s="536">
        <f>F507*G507</f>
        <v>0</v>
      </c>
      <c r="I507" s="537"/>
      <c r="J507" s="253"/>
      <c r="K507" s="541"/>
      <c r="L507" s="536">
        <f>J507*K507</f>
        <v>0</v>
      </c>
      <c r="M507" s="150"/>
      <c r="N507" s="150"/>
      <c r="O507" s="150"/>
      <c r="P507" s="150"/>
      <c r="Q507" s="150"/>
      <c r="R507" s="150"/>
      <c r="S507" s="150"/>
      <c r="T507" s="150"/>
      <c r="U507" s="150"/>
      <c r="V507" s="150"/>
      <c r="W507" s="150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  <c r="AI507" s="150"/>
      <c r="AJ507" s="150"/>
      <c r="AK507" s="150"/>
      <c r="AL507" s="150"/>
      <c r="AM507" s="150"/>
      <c r="AN507" s="150"/>
      <c r="AO507" s="150"/>
      <c r="AP507" s="150"/>
      <c r="AQ507" s="150"/>
      <c r="AR507" s="150"/>
      <c r="AS507" s="150"/>
      <c r="AT507" s="150"/>
      <c r="AU507" s="150"/>
      <c r="AV507" s="150"/>
      <c r="AW507" s="150"/>
      <c r="AX507" s="150"/>
      <c r="AY507" s="150"/>
      <c r="AZ507" s="150"/>
      <c r="BA507" s="150"/>
      <c r="BB507" s="150"/>
      <c r="BC507" s="150"/>
      <c r="BD507" s="150"/>
      <c r="BE507" s="150"/>
      <c r="BF507" s="150"/>
      <c r="BG507" s="150"/>
      <c r="BH507" s="150"/>
      <c r="BI507" s="150"/>
      <c r="BJ507" s="150"/>
      <c r="BK507" s="150"/>
      <c r="BL507" s="150"/>
      <c r="BM507" s="150"/>
      <c r="BN507" s="150"/>
      <c r="BO507" s="150"/>
      <c r="BP507" s="150"/>
      <c r="BQ507" s="150"/>
      <c r="BR507" s="150"/>
      <c r="BS507" s="150"/>
      <c r="BT507" s="150"/>
      <c r="BU507" s="150"/>
      <c r="BV507" s="150"/>
      <c r="BW507" s="150"/>
      <c r="BX507" s="150"/>
      <c r="BY507" s="150"/>
      <c r="BZ507" s="150"/>
      <c r="CA507" s="150"/>
      <c r="CB507" s="150"/>
      <c r="CC507" s="150"/>
      <c r="CD507" s="150"/>
      <c r="CE507" s="150"/>
      <c r="CF507" s="150"/>
      <c r="CG507" s="150"/>
      <c r="CH507" s="150"/>
      <c r="CI507" s="150"/>
      <c r="CJ507" s="150"/>
      <c r="CK507" s="150"/>
      <c r="CL507" s="150"/>
      <c r="CM507" s="150"/>
      <c r="CN507" s="150"/>
      <c r="CO507" s="150"/>
      <c r="CP507" s="150"/>
      <c r="CQ507" s="150"/>
      <c r="CR507" s="150"/>
      <c r="CS507" s="150"/>
      <c r="CT507" s="150"/>
      <c r="CU507" s="150"/>
      <c r="CV507" s="150"/>
      <c r="CW507" s="150"/>
      <c r="CX507" s="150"/>
      <c r="CY507" s="150"/>
      <c r="CZ507" s="150"/>
      <c r="DA507" s="150"/>
      <c r="DB507" s="150"/>
      <c r="DC507" s="150"/>
      <c r="DD507" s="150"/>
      <c r="DE507" s="150"/>
      <c r="DF507" s="150"/>
      <c r="DG507" s="150"/>
      <c r="DH507" s="150"/>
      <c r="DI507" s="150"/>
      <c r="DJ507" s="150"/>
      <c r="DK507" s="150"/>
    </row>
    <row r="508" spans="1:115" s="227" customFormat="1" x14ac:dyDescent="0.25">
      <c r="A508" s="258"/>
      <c r="B508" s="258"/>
      <c r="C508" s="584"/>
      <c r="D508" s="560"/>
      <c r="E508" s="534"/>
      <c r="F508" s="253"/>
      <c r="G508" s="541"/>
      <c r="H508" s="536">
        <f t="shared" si="74"/>
        <v>0</v>
      </c>
      <c r="I508" s="534"/>
      <c r="J508" s="253"/>
      <c r="K508" s="541"/>
      <c r="L508" s="536">
        <f t="shared" ref="L508" si="76">J508*K508</f>
        <v>0</v>
      </c>
      <c r="M508" s="150"/>
      <c r="N508" s="150"/>
      <c r="O508" s="150"/>
      <c r="P508" s="150"/>
      <c r="Q508" s="150"/>
      <c r="R508" s="150"/>
      <c r="S508" s="150"/>
      <c r="T508" s="150"/>
      <c r="U508" s="150"/>
      <c r="V508" s="150"/>
      <c r="W508" s="150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  <c r="AI508" s="150"/>
      <c r="AJ508" s="150"/>
      <c r="AK508" s="150"/>
      <c r="AL508" s="150"/>
      <c r="AM508" s="150"/>
      <c r="AN508" s="150"/>
      <c r="AO508" s="150"/>
      <c r="AP508" s="150"/>
      <c r="AQ508" s="150"/>
      <c r="AR508" s="150"/>
      <c r="AS508" s="150"/>
      <c r="AT508" s="150"/>
      <c r="AU508" s="150"/>
      <c r="AV508" s="150"/>
      <c r="AW508" s="150"/>
      <c r="AX508" s="150"/>
      <c r="AY508" s="150"/>
      <c r="AZ508" s="150"/>
      <c r="BA508" s="150"/>
      <c r="BB508" s="150"/>
      <c r="BC508" s="150"/>
      <c r="BD508" s="150"/>
      <c r="BE508" s="150"/>
      <c r="BF508" s="150"/>
      <c r="BG508" s="150"/>
      <c r="BH508" s="150"/>
      <c r="BI508" s="150"/>
      <c r="BJ508" s="150"/>
      <c r="BK508" s="150"/>
      <c r="BL508" s="150"/>
      <c r="BM508" s="150"/>
      <c r="BN508" s="150"/>
      <c r="BO508" s="150"/>
      <c r="BP508" s="150"/>
      <c r="BQ508" s="150"/>
      <c r="BR508" s="150"/>
      <c r="BS508" s="150"/>
      <c r="BT508" s="150"/>
      <c r="BU508" s="150"/>
      <c r="BV508" s="150"/>
      <c r="BW508" s="150"/>
      <c r="BX508" s="150"/>
      <c r="BY508" s="150"/>
      <c r="BZ508" s="150"/>
      <c r="CA508" s="150"/>
      <c r="CB508" s="150"/>
      <c r="CC508" s="150"/>
      <c r="CD508" s="150"/>
      <c r="CE508" s="150"/>
      <c r="CF508" s="150"/>
      <c r="CG508" s="150"/>
      <c r="CH508" s="150"/>
      <c r="CI508" s="150"/>
      <c r="CJ508" s="150"/>
      <c r="CK508" s="150"/>
      <c r="CL508" s="150"/>
      <c r="CM508" s="150"/>
      <c r="CN508" s="150"/>
      <c r="CO508" s="150"/>
      <c r="CP508" s="150"/>
      <c r="CQ508" s="150"/>
      <c r="CR508" s="150"/>
      <c r="CS508" s="150"/>
      <c r="CT508" s="150"/>
      <c r="CU508" s="150"/>
      <c r="CV508" s="150"/>
      <c r="CW508" s="150"/>
      <c r="CX508" s="150"/>
      <c r="CY508" s="150"/>
      <c r="CZ508" s="150"/>
      <c r="DA508" s="150"/>
      <c r="DB508" s="150"/>
      <c r="DC508" s="150"/>
      <c r="DD508" s="150"/>
      <c r="DE508" s="150"/>
      <c r="DF508" s="150"/>
      <c r="DG508" s="150"/>
      <c r="DH508" s="150"/>
      <c r="DI508" s="150"/>
      <c r="DJ508" s="150"/>
      <c r="DK508" s="150"/>
    </row>
    <row r="509" spans="1:115" x14ac:dyDescent="0.25">
      <c r="A509" s="258"/>
      <c r="B509" s="258"/>
      <c r="C509" s="584"/>
      <c r="D509" s="559" t="s">
        <v>0</v>
      </c>
      <c r="E509" s="534"/>
      <c r="F509" s="542">
        <f>SUM(F497:F508)</f>
        <v>0</v>
      </c>
      <c r="G509" s="543" t="e">
        <f>H509/F509</f>
        <v>#DIV/0!</v>
      </c>
      <c r="H509" s="544">
        <f>SUM(H497:H508)</f>
        <v>0</v>
      </c>
      <c r="I509" s="534"/>
      <c r="J509" s="542">
        <f>SUM(J497:J508)</f>
        <v>0</v>
      </c>
      <c r="K509" s="543" t="e">
        <f>L509/J509</f>
        <v>#DIV/0!</v>
      </c>
      <c r="L509" s="544">
        <f>SUM(L497:L508)</f>
        <v>0</v>
      </c>
    </row>
    <row r="510" spans="1:115" x14ac:dyDescent="0.25">
      <c r="A510" s="545"/>
      <c r="B510" s="545"/>
      <c r="C510" s="586"/>
      <c r="D510" s="561"/>
      <c r="E510" s="546"/>
      <c r="F510" s="546"/>
      <c r="G510" s="547"/>
      <c r="H510" s="548"/>
      <c r="I510" s="546"/>
      <c r="J510" s="546"/>
      <c r="K510" s="547"/>
      <c r="L510" s="548"/>
    </row>
    <row r="511" spans="1:115" x14ac:dyDescent="0.25">
      <c r="A511" s="258"/>
      <c r="B511" s="258"/>
      <c r="C511" s="584"/>
      <c r="D511" s="558"/>
      <c r="E511" s="534"/>
      <c r="F511" s="253"/>
      <c r="G511" s="535"/>
      <c r="H511" s="536">
        <f t="shared" ref="H511:H523" si="77">F511*G511</f>
        <v>0</v>
      </c>
      <c r="I511" s="534"/>
      <c r="J511" s="253"/>
      <c r="K511" s="535"/>
      <c r="L511" s="536">
        <f t="shared" ref="L511:L523" si="78">J511*K511</f>
        <v>0</v>
      </c>
    </row>
    <row r="512" spans="1:115" ht="13.9" customHeight="1" x14ac:dyDescent="0.25">
      <c r="A512" s="258"/>
      <c r="B512" s="258"/>
      <c r="C512" s="584"/>
      <c r="D512" s="559">
        <f>D498+1</f>
        <v>45656</v>
      </c>
      <c r="E512" s="534"/>
      <c r="F512" s="253"/>
      <c r="G512" s="541"/>
      <c r="H512" s="536">
        <f t="shared" si="77"/>
        <v>0</v>
      </c>
      <c r="I512" s="534"/>
      <c r="J512" s="253"/>
      <c r="K512" s="541"/>
      <c r="L512" s="536">
        <f t="shared" si="78"/>
        <v>0</v>
      </c>
    </row>
    <row r="513" spans="1:115" ht="13.9" customHeight="1" x14ac:dyDescent="0.25">
      <c r="A513" s="258"/>
      <c r="B513" s="258"/>
      <c r="C513" s="584"/>
      <c r="D513" s="559"/>
      <c r="E513" s="534"/>
      <c r="F513" s="253"/>
      <c r="G513" s="541"/>
      <c r="H513" s="536">
        <f t="shared" si="77"/>
        <v>0</v>
      </c>
      <c r="I513" s="534"/>
      <c r="J513" s="253"/>
      <c r="K513" s="541"/>
      <c r="L513" s="536">
        <f t="shared" si="78"/>
        <v>0</v>
      </c>
    </row>
    <row r="514" spans="1:115" ht="13.9" customHeight="1" x14ac:dyDescent="0.25">
      <c r="A514" s="258"/>
      <c r="B514" s="258"/>
      <c r="C514" s="584"/>
      <c r="D514" s="559"/>
      <c r="E514" s="534"/>
      <c r="F514" s="253"/>
      <c r="G514" s="541"/>
      <c r="H514" s="536">
        <f t="shared" si="77"/>
        <v>0</v>
      </c>
      <c r="I514" s="534"/>
      <c r="J514" s="253"/>
      <c r="K514" s="541"/>
      <c r="L514" s="536">
        <f t="shared" si="78"/>
        <v>0</v>
      </c>
    </row>
    <row r="515" spans="1:115" ht="13.9" customHeight="1" x14ac:dyDescent="0.25">
      <c r="A515" s="258"/>
      <c r="B515" s="258"/>
      <c r="C515" s="584"/>
      <c r="D515" s="559"/>
      <c r="E515" s="534"/>
      <c r="F515" s="253"/>
      <c r="G515" s="541"/>
      <c r="H515" s="536">
        <f t="shared" si="77"/>
        <v>0</v>
      </c>
      <c r="I515" s="534"/>
      <c r="J515" s="253"/>
      <c r="K515" s="541"/>
      <c r="L515" s="536">
        <f t="shared" si="78"/>
        <v>0</v>
      </c>
    </row>
    <row r="516" spans="1:115" ht="13.9" customHeight="1" x14ac:dyDescent="0.25">
      <c r="A516" s="258"/>
      <c r="B516" s="258"/>
      <c r="C516" s="584"/>
      <c r="D516" s="559"/>
      <c r="E516" s="534"/>
      <c r="F516" s="253"/>
      <c r="G516" s="541"/>
      <c r="H516" s="536">
        <f t="shared" si="77"/>
        <v>0</v>
      </c>
      <c r="I516" s="534"/>
      <c r="J516" s="253"/>
      <c r="K516" s="541"/>
      <c r="L516" s="536">
        <f t="shared" si="78"/>
        <v>0</v>
      </c>
    </row>
    <row r="517" spans="1:115" ht="13.9" customHeight="1" x14ac:dyDescent="0.25">
      <c r="A517" s="258"/>
      <c r="B517" s="258"/>
      <c r="C517" s="584"/>
      <c r="D517" s="559"/>
      <c r="E517" s="534"/>
      <c r="F517" s="253"/>
      <c r="G517" s="541"/>
      <c r="H517" s="536">
        <f t="shared" si="77"/>
        <v>0</v>
      </c>
      <c r="I517" s="534"/>
      <c r="J517" s="253"/>
      <c r="K517" s="541"/>
      <c r="L517" s="536">
        <f t="shared" si="78"/>
        <v>0</v>
      </c>
    </row>
    <row r="518" spans="1:115" ht="13.9" customHeight="1" x14ac:dyDescent="0.25">
      <c r="A518" s="258"/>
      <c r="B518" s="258"/>
      <c r="C518" s="584"/>
      <c r="D518" s="559"/>
      <c r="E518" s="534"/>
      <c r="F518" s="253"/>
      <c r="G518" s="541"/>
      <c r="H518" s="536">
        <f t="shared" si="77"/>
        <v>0</v>
      </c>
      <c r="I518" s="534"/>
      <c r="J518" s="253"/>
      <c r="K518" s="541"/>
      <c r="L518" s="536">
        <f t="shared" si="78"/>
        <v>0</v>
      </c>
    </row>
    <row r="519" spans="1:115" s="227" customFormat="1" x14ac:dyDescent="0.25">
      <c r="A519" s="258"/>
      <c r="B519" s="258"/>
      <c r="C519" s="584"/>
      <c r="D519" s="560"/>
      <c r="E519" s="537"/>
      <c r="F519" s="541"/>
      <c r="G519" s="541"/>
      <c r="H519" s="536">
        <f t="shared" si="77"/>
        <v>0</v>
      </c>
      <c r="I519" s="537"/>
      <c r="J519" s="541"/>
      <c r="K519" s="541"/>
      <c r="L519" s="536">
        <f t="shared" si="78"/>
        <v>0</v>
      </c>
      <c r="M519" s="150"/>
      <c r="N519" s="150"/>
      <c r="O519" s="150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  <c r="AK519" s="150"/>
      <c r="AL519" s="150"/>
      <c r="AM519" s="150"/>
      <c r="AN519" s="150"/>
      <c r="AO519" s="150"/>
      <c r="AP519" s="150"/>
      <c r="AQ519" s="150"/>
      <c r="AR519" s="150"/>
      <c r="AS519" s="150"/>
      <c r="AT519" s="150"/>
      <c r="AU519" s="150"/>
      <c r="AV519" s="150"/>
      <c r="AW519" s="150"/>
      <c r="AX519" s="150"/>
      <c r="AY519" s="150"/>
      <c r="AZ519" s="150"/>
      <c r="BA519" s="150"/>
      <c r="BB519" s="150"/>
      <c r="BC519" s="150"/>
      <c r="BD519" s="150"/>
      <c r="BE519" s="150"/>
      <c r="BF519" s="150"/>
      <c r="BG519" s="150"/>
      <c r="BH519" s="150"/>
      <c r="BI519" s="150"/>
      <c r="BJ519" s="150"/>
      <c r="BK519" s="150"/>
      <c r="BL519" s="150"/>
      <c r="BM519" s="150"/>
      <c r="BN519" s="150"/>
      <c r="BO519" s="150"/>
      <c r="BP519" s="150"/>
      <c r="BQ519" s="150"/>
      <c r="BR519" s="150"/>
      <c r="BS519" s="150"/>
      <c r="BT519" s="150"/>
      <c r="BU519" s="150"/>
      <c r="BV519" s="150"/>
      <c r="BW519" s="150"/>
      <c r="BX519" s="150"/>
      <c r="BY519" s="150"/>
      <c r="BZ519" s="150"/>
      <c r="CA519" s="150"/>
      <c r="CB519" s="150"/>
      <c r="CC519" s="150"/>
      <c r="CD519" s="150"/>
      <c r="CE519" s="150"/>
      <c r="CF519" s="150"/>
      <c r="CG519" s="150"/>
      <c r="CH519" s="150"/>
      <c r="CI519" s="150"/>
      <c r="CJ519" s="150"/>
      <c r="CK519" s="150"/>
      <c r="CL519" s="150"/>
      <c r="CM519" s="150"/>
      <c r="CN519" s="150"/>
      <c r="CO519" s="150"/>
      <c r="CP519" s="150"/>
      <c r="CQ519" s="150"/>
      <c r="CR519" s="150"/>
      <c r="CS519" s="150"/>
      <c r="CT519" s="150"/>
      <c r="CU519" s="150"/>
      <c r="CV519" s="150"/>
      <c r="CW519" s="150"/>
      <c r="CX519" s="150"/>
      <c r="CY519" s="150"/>
      <c r="CZ519" s="150"/>
      <c r="DA519" s="150"/>
      <c r="DB519" s="150"/>
      <c r="DC519" s="150"/>
      <c r="DD519" s="150"/>
      <c r="DE519" s="150"/>
      <c r="DF519" s="150"/>
      <c r="DG519" s="150"/>
      <c r="DH519" s="150"/>
      <c r="DI519" s="150"/>
      <c r="DJ519" s="150"/>
      <c r="DK519" s="150"/>
    </row>
    <row r="520" spans="1:115" s="227" customFormat="1" x14ac:dyDescent="0.25">
      <c r="A520" s="258"/>
      <c r="B520" s="258"/>
      <c r="C520" s="584"/>
      <c r="D520" s="560"/>
      <c r="E520" s="537"/>
      <c r="F520" s="541"/>
      <c r="G520" s="541"/>
      <c r="H520" s="540">
        <f t="shared" si="77"/>
        <v>0</v>
      </c>
      <c r="I520" s="537"/>
      <c r="J520" s="541"/>
      <c r="K520" s="541"/>
      <c r="L520" s="540">
        <f t="shared" si="78"/>
        <v>0</v>
      </c>
      <c r="M520" s="150"/>
      <c r="N520" s="150"/>
      <c r="O520" s="150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  <c r="AK520" s="150"/>
      <c r="AL520" s="150"/>
      <c r="AM520" s="150"/>
      <c r="AN520" s="150"/>
      <c r="AO520" s="150"/>
      <c r="AP520" s="150"/>
      <c r="AQ520" s="150"/>
      <c r="AR520" s="150"/>
      <c r="AS520" s="150"/>
      <c r="AT520" s="150"/>
      <c r="AU520" s="150"/>
      <c r="AV520" s="150"/>
      <c r="AW520" s="150"/>
      <c r="AX520" s="150"/>
      <c r="AY520" s="150"/>
      <c r="AZ520" s="150"/>
      <c r="BA520" s="150"/>
      <c r="BB520" s="150"/>
      <c r="BC520" s="150"/>
      <c r="BD520" s="150"/>
      <c r="BE520" s="150"/>
      <c r="BF520" s="150"/>
      <c r="BG520" s="150"/>
      <c r="BH520" s="150"/>
      <c r="BI520" s="150"/>
      <c r="BJ520" s="150"/>
      <c r="BK520" s="150"/>
      <c r="BL520" s="150"/>
      <c r="BM520" s="150"/>
      <c r="BN520" s="150"/>
      <c r="BO520" s="150"/>
      <c r="BP520" s="150"/>
      <c r="BQ520" s="150"/>
      <c r="BR520" s="150"/>
      <c r="BS520" s="150"/>
      <c r="BT520" s="150"/>
      <c r="BU520" s="150"/>
      <c r="BV520" s="150"/>
      <c r="BW520" s="150"/>
      <c r="BX520" s="150"/>
      <c r="BY520" s="150"/>
      <c r="BZ520" s="150"/>
      <c r="CA520" s="150"/>
      <c r="CB520" s="150"/>
      <c r="CC520" s="150"/>
      <c r="CD520" s="150"/>
      <c r="CE520" s="150"/>
      <c r="CF520" s="150"/>
      <c r="CG520" s="150"/>
      <c r="CH520" s="150"/>
      <c r="CI520" s="150"/>
      <c r="CJ520" s="150"/>
      <c r="CK520" s="150"/>
      <c r="CL520" s="150"/>
      <c r="CM520" s="150"/>
      <c r="CN520" s="150"/>
      <c r="CO520" s="150"/>
      <c r="CP520" s="150"/>
      <c r="CQ520" s="150"/>
      <c r="CR520" s="150"/>
      <c r="CS520" s="150"/>
      <c r="CT520" s="150"/>
      <c r="CU520" s="150"/>
      <c r="CV520" s="150"/>
      <c r="CW520" s="150"/>
      <c r="CX520" s="150"/>
      <c r="CY520" s="150"/>
      <c r="CZ520" s="150"/>
      <c r="DA520" s="150"/>
      <c r="DB520" s="150"/>
      <c r="DC520" s="150"/>
      <c r="DD520" s="150"/>
      <c r="DE520" s="150"/>
      <c r="DF520" s="150"/>
      <c r="DG520" s="150"/>
      <c r="DH520" s="150"/>
      <c r="DI520" s="150"/>
      <c r="DJ520" s="150"/>
      <c r="DK520" s="150"/>
    </row>
    <row r="521" spans="1:115" s="227" customFormat="1" x14ac:dyDescent="0.25">
      <c r="A521" s="258"/>
      <c r="B521" s="258"/>
      <c r="C521" s="584"/>
      <c r="D521" s="560"/>
      <c r="E521" s="537"/>
      <c r="F521" s="541"/>
      <c r="G521" s="541"/>
      <c r="H521" s="540">
        <f t="shared" si="77"/>
        <v>0</v>
      </c>
      <c r="I521" s="537"/>
      <c r="J521" s="541"/>
      <c r="K521" s="541"/>
      <c r="L521" s="540">
        <f t="shared" si="78"/>
        <v>0</v>
      </c>
      <c r="M521" s="150"/>
      <c r="N521" s="150"/>
      <c r="O521" s="150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  <c r="AK521" s="150"/>
      <c r="AL521" s="150"/>
      <c r="AM521" s="150"/>
      <c r="AN521" s="150"/>
      <c r="AO521" s="150"/>
      <c r="AP521" s="150"/>
      <c r="AQ521" s="150"/>
      <c r="AR521" s="150"/>
      <c r="AS521" s="150"/>
      <c r="AT521" s="150"/>
      <c r="AU521" s="150"/>
      <c r="AV521" s="150"/>
      <c r="AW521" s="150"/>
      <c r="AX521" s="150"/>
      <c r="AY521" s="150"/>
      <c r="AZ521" s="150"/>
      <c r="BA521" s="150"/>
      <c r="BB521" s="150"/>
      <c r="BC521" s="150"/>
      <c r="BD521" s="150"/>
      <c r="BE521" s="150"/>
      <c r="BF521" s="150"/>
      <c r="BG521" s="150"/>
      <c r="BH521" s="150"/>
      <c r="BI521" s="150"/>
      <c r="BJ521" s="150"/>
      <c r="BK521" s="150"/>
      <c r="BL521" s="150"/>
      <c r="BM521" s="150"/>
      <c r="BN521" s="150"/>
      <c r="BO521" s="150"/>
      <c r="BP521" s="150"/>
      <c r="BQ521" s="150"/>
      <c r="BR521" s="150"/>
      <c r="BS521" s="150"/>
      <c r="BT521" s="150"/>
      <c r="BU521" s="150"/>
      <c r="BV521" s="150"/>
      <c r="BW521" s="150"/>
      <c r="BX521" s="150"/>
      <c r="BY521" s="150"/>
      <c r="BZ521" s="150"/>
      <c r="CA521" s="150"/>
      <c r="CB521" s="150"/>
      <c r="CC521" s="150"/>
      <c r="CD521" s="150"/>
      <c r="CE521" s="150"/>
      <c r="CF521" s="150"/>
      <c r="CG521" s="150"/>
      <c r="CH521" s="150"/>
      <c r="CI521" s="150"/>
      <c r="CJ521" s="150"/>
      <c r="CK521" s="150"/>
      <c r="CL521" s="150"/>
      <c r="CM521" s="150"/>
      <c r="CN521" s="150"/>
      <c r="CO521" s="150"/>
      <c r="CP521" s="150"/>
      <c r="CQ521" s="150"/>
      <c r="CR521" s="150"/>
      <c r="CS521" s="150"/>
      <c r="CT521" s="150"/>
      <c r="CU521" s="150"/>
      <c r="CV521" s="150"/>
      <c r="CW521" s="150"/>
      <c r="CX521" s="150"/>
      <c r="CY521" s="150"/>
      <c r="CZ521" s="150"/>
      <c r="DA521" s="150"/>
      <c r="DB521" s="150"/>
      <c r="DC521" s="150"/>
      <c r="DD521" s="150"/>
      <c r="DE521" s="150"/>
      <c r="DF521" s="150"/>
      <c r="DG521" s="150"/>
      <c r="DH521" s="150"/>
      <c r="DI521" s="150"/>
      <c r="DJ521" s="150"/>
      <c r="DK521" s="150"/>
    </row>
    <row r="522" spans="1:115" x14ac:dyDescent="0.25">
      <c r="A522" s="258"/>
      <c r="B522" s="258"/>
      <c r="C522" s="584"/>
      <c r="D522" s="559"/>
      <c r="E522" s="534"/>
      <c r="F522" s="262"/>
      <c r="G522" s="262"/>
      <c r="H522" s="536">
        <f t="shared" si="77"/>
        <v>0</v>
      </c>
      <c r="I522" s="534"/>
      <c r="J522" s="262"/>
      <c r="K522" s="262"/>
      <c r="L522" s="536">
        <f t="shared" si="78"/>
        <v>0</v>
      </c>
    </row>
    <row r="523" spans="1:115" x14ac:dyDescent="0.25">
      <c r="A523" s="258"/>
      <c r="B523" s="258"/>
      <c r="C523" s="584"/>
      <c r="D523" s="559"/>
      <c r="E523" s="534"/>
      <c r="F523" s="262"/>
      <c r="G523" s="262"/>
      <c r="H523" s="536">
        <f t="shared" si="77"/>
        <v>0</v>
      </c>
      <c r="I523" s="534"/>
      <c r="J523" s="262"/>
      <c r="K523" s="262"/>
      <c r="L523" s="536">
        <f t="shared" si="78"/>
        <v>0</v>
      </c>
    </row>
    <row r="524" spans="1:115" s="227" customFormat="1" x14ac:dyDescent="0.25">
      <c r="A524" s="258"/>
      <c r="B524" s="258"/>
      <c r="C524" s="585"/>
      <c r="D524" s="560"/>
      <c r="E524" s="537"/>
      <c r="F524" s="253"/>
      <c r="G524" s="541"/>
      <c r="H524" s="536">
        <f>F524*G524</f>
        <v>0</v>
      </c>
      <c r="I524" s="537"/>
      <c r="J524" s="253"/>
      <c r="K524" s="541"/>
      <c r="L524" s="536">
        <f>J524*K524</f>
        <v>0</v>
      </c>
      <c r="M524" s="150"/>
      <c r="N524" s="150"/>
      <c r="O524" s="150"/>
      <c r="P524" s="150"/>
      <c r="Q524" s="150"/>
      <c r="R524" s="150"/>
      <c r="S524" s="150"/>
      <c r="T524" s="150"/>
      <c r="U524" s="150"/>
      <c r="V524" s="150"/>
      <c r="W524" s="150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  <c r="AI524" s="150"/>
      <c r="AJ524" s="150"/>
      <c r="AK524" s="150"/>
      <c r="AL524" s="150"/>
      <c r="AM524" s="150"/>
      <c r="AN524" s="150"/>
      <c r="AO524" s="150"/>
      <c r="AP524" s="150"/>
      <c r="AQ524" s="150"/>
      <c r="AR524" s="150"/>
      <c r="AS524" s="150"/>
      <c r="AT524" s="150"/>
      <c r="AU524" s="150"/>
      <c r="AV524" s="150"/>
      <c r="AW524" s="150"/>
      <c r="AX524" s="150"/>
      <c r="AY524" s="150"/>
      <c r="AZ524" s="150"/>
      <c r="BA524" s="150"/>
      <c r="BB524" s="150"/>
      <c r="BC524" s="150"/>
      <c r="BD524" s="150"/>
      <c r="BE524" s="150"/>
      <c r="BF524" s="150"/>
      <c r="BG524" s="150"/>
      <c r="BH524" s="150"/>
      <c r="BI524" s="150"/>
      <c r="BJ524" s="150"/>
      <c r="BK524" s="150"/>
      <c r="BL524" s="150"/>
      <c r="BM524" s="150"/>
      <c r="BN524" s="150"/>
      <c r="BO524" s="150"/>
      <c r="BP524" s="150"/>
      <c r="BQ524" s="150"/>
      <c r="BR524" s="150"/>
      <c r="BS524" s="150"/>
      <c r="BT524" s="150"/>
      <c r="BU524" s="150"/>
      <c r="BV524" s="150"/>
      <c r="BW524" s="150"/>
      <c r="BX524" s="150"/>
      <c r="BY524" s="150"/>
      <c r="BZ524" s="150"/>
      <c r="CA524" s="150"/>
      <c r="CB524" s="150"/>
      <c r="CC524" s="150"/>
      <c r="CD524" s="150"/>
      <c r="CE524" s="150"/>
      <c r="CF524" s="150"/>
      <c r="CG524" s="150"/>
      <c r="CH524" s="150"/>
      <c r="CI524" s="150"/>
      <c r="CJ524" s="150"/>
      <c r="CK524" s="150"/>
      <c r="CL524" s="150"/>
      <c r="CM524" s="150"/>
      <c r="CN524" s="150"/>
      <c r="CO524" s="150"/>
      <c r="CP524" s="150"/>
      <c r="CQ524" s="150"/>
      <c r="CR524" s="150"/>
      <c r="CS524" s="150"/>
      <c r="CT524" s="150"/>
      <c r="CU524" s="150"/>
      <c r="CV524" s="150"/>
      <c r="CW524" s="150"/>
      <c r="CX524" s="150"/>
      <c r="CY524" s="150"/>
      <c r="CZ524" s="150"/>
      <c r="DA524" s="150"/>
      <c r="DB524" s="150"/>
      <c r="DC524" s="150"/>
      <c r="DD524" s="150"/>
      <c r="DE524" s="150"/>
      <c r="DF524" s="150"/>
      <c r="DG524" s="150"/>
      <c r="DH524" s="150"/>
      <c r="DI524" s="150"/>
      <c r="DJ524" s="150"/>
      <c r="DK524" s="150"/>
    </row>
    <row r="525" spans="1:115" s="227" customFormat="1" x14ac:dyDescent="0.25">
      <c r="A525" s="258"/>
      <c r="B525" s="258"/>
      <c r="C525" s="584"/>
      <c r="D525" s="560"/>
      <c r="E525" s="534"/>
      <c r="F525" s="253"/>
      <c r="G525" s="541"/>
      <c r="H525" s="536">
        <f t="shared" ref="H525" si="79">F525*G525</f>
        <v>0</v>
      </c>
      <c r="I525" s="534"/>
      <c r="J525" s="253"/>
      <c r="K525" s="541"/>
      <c r="L525" s="536">
        <f t="shared" ref="L525" si="80">J525*K525</f>
        <v>0</v>
      </c>
      <c r="M525" s="150"/>
      <c r="N525" s="150"/>
      <c r="O525" s="150"/>
      <c r="P525" s="150"/>
      <c r="Q525" s="150"/>
      <c r="R525" s="150"/>
      <c r="S525" s="150"/>
      <c r="T525" s="150"/>
      <c r="U525" s="150"/>
      <c r="V525" s="150"/>
      <c r="W525" s="150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  <c r="AI525" s="150"/>
      <c r="AJ525" s="150"/>
      <c r="AK525" s="150"/>
      <c r="AL525" s="150"/>
      <c r="AM525" s="150"/>
      <c r="AN525" s="150"/>
      <c r="AO525" s="150"/>
      <c r="AP525" s="150"/>
      <c r="AQ525" s="150"/>
      <c r="AR525" s="150"/>
      <c r="AS525" s="150"/>
      <c r="AT525" s="150"/>
      <c r="AU525" s="150"/>
      <c r="AV525" s="150"/>
      <c r="AW525" s="150"/>
      <c r="AX525" s="150"/>
      <c r="AY525" s="150"/>
      <c r="AZ525" s="150"/>
      <c r="BA525" s="150"/>
      <c r="BB525" s="150"/>
      <c r="BC525" s="150"/>
      <c r="BD525" s="150"/>
      <c r="BE525" s="150"/>
      <c r="BF525" s="150"/>
      <c r="BG525" s="150"/>
      <c r="BH525" s="150"/>
      <c r="BI525" s="150"/>
      <c r="BJ525" s="150"/>
      <c r="BK525" s="150"/>
      <c r="BL525" s="150"/>
      <c r="BM525" s="150"/>
      <c r="BN525" s="150"/>
      <c r="BO525" s="150"/>
      <c r="BP525" s="150"/>
      <c r="BQ525" s="150"/>
      <c r="BR525" s="150"/>
      <c r="BS525" s="150"/>
      <c r="BT525" s="150"/>
      <c r="BU525" s="150"/>
      <c r="BV525" s="150"/>
      <c r="BW525" s="150"/>
      <c r="BX525" s="150"/>
      <c r="BY525" s="150"/>
      <c r="BZ525" s="150"/>
      <c r="CA525" s="150"/>
      <c r="CB525" s="150"/>
      <c r="CC525" s="150"/>
      <c r="CD525" s="150"/>
      <c r="CE525" s="150"/>
      <c r="CF525" s="150"/>
      <c r="CG525" s="150"/>
      <c r="CH525" s="150"/>
      <c r="CI525" s="150"/>
      <c r="CJ525" s="150"/>
      <c r="CK525" s="150"/>
      <c r="CL525" s="150"/>
      <c r="CM525" s="150"/>
      <c r="CN525" s="150"/>
      <c r="CO525" s="150"/>
      <c r="CP525" s="150"/>
      <c r="CQ525" s="150"/>
      <c r="CR525" s="150"/>
      <c r="CS525" s="150"/>
      <c r="CT525" s="150"/>
      <c r="CU525" s="150"/>
      <c r="CV525" s="150"/>
      <c r="CW525" s="150"/>
      <c r="CX525" s="150"/>
      <c r="CY525" s="150"/>
      <c r="CZ525" s="150"/>
      <c r="DA525" s="150"/>
      <c r="DB525" s="150"/>
      <c r="DC525" s="150"/>
      <c r="DD525" s="150"/>
      <c r="DE525" s="150"/>
      <c r="DF525" s="150"/>
      <c r="DG525" s="150"/>
      <c r="DH525" s="150"/>
      <c r="DI525" s="150"/>
      <c r="DJ525" s="150"/>
      <c r="DK525" s="150"/>
    </row>
    <row r="526" spans="1:115" x14ac:dyDescent="0.25">
      <c r="A526" s="258"/>
      <c r="B526" s="258"/>
      <c r="C526" s="584"/>
      <c r="D526" s="559" t="s">
        <v>0</v>
      </c>
      <c r="E526" s="534"/>
      <c r="F526" s="542">
        <f>SUM(F511:F525)</f>
        <v>0</v>
      </c>
      <c r="G526" s="543" t="e">
        <f>H526/F526</f>
        <v>#DIV/0!</v>
      </c>
      <c r="H526" s="544">
        <f>SUM(H511:H525)</f>
        <v>0</v>
      </c>
      <c r="I526" s="534"/>
      <c r="J526" s="542">
        <f>SUM(J511:J525)</f>
        <v>0</v>
      </c>
      <c r="K526" s="543" t="e">
        <f>L526/J526</f>
        <v>#DIV/0!</v>
      </c>
      <c r="L526" s="544">
        <f>SUM(L511:L525)</f>
        <v>0</v>
      </c>
    </row>
    <row r="527" spans="1:115" x14ac:dyDescent="0.25">
      <c r="A527" s="545"/>
      <c r="B527" s="545"/>
      <c r="C527" s="586"/>
      <c r="D527" s="561"/>
      <c r="E527" s="546"/>
      <c r="F527" s="546"/>
      <c r="G527" s="547"/>
      <c r="H527" s="548"/>
      <c r="I527" s="546"/>
      <c r="J527" s="546"/>
      <c r="K527" s="547"/>
      <c r="L527" s="548"/>
    </row>
    <row r="528" spans="1:115" x14ac:dyDescent="0.25">
      <c r="A528" s="258"/>
      <c r="B528" s="258"/>
      <c r="C528" s="584"/>
      <c r="D528" s="558"/>
      <c r="E528" s="534"/>
      <c r="F528" s="253"/>
      <c r="G528" s="535"/>
      <c r="H528" s="536">
        <f t="shared" ref="H528:H540" si="81">F528*G528</f>
        <v>0</v>
      </c>
      <c r="I528" s="534"/>
      <c r="J528" s="253"/>
      <c r="K528" s="535"/>
      <c r="L528" s="536">
        <f t="shared" ref="L528:L540" si="82">J528*K528</f>
        <v>0</v>
      </c>
    </row>
    <row r="529" spans="1:12" x14ac:dyDescent="0.25">
      <c r="A529" s="258"/>
      <c r="B529" s="258"/>
      <c r="C529" s="584"/>
      <c r="D529" s="559">
        <f>D512+1</f>
        <v>45657</v>
      </c>
      <c r="E529" s="534"/>
      <c r="F529" s="253"/>
      <c r="G529" s="541"/>
      <c r="H529" s="536">
        <f t="shared" si="81"/>
        <v>0</v>
      </c>
      <c r="I529" s="534"/>
      <c r="J529" s="253"/>
      <c r="K529" s="541"/>
      <c r="L529" s="536">
        <f t="shared" si="82"/>
        <v>0</v>
      </c>
    </row>
    <row r="530" spans="1:12" x14ac:dyDescent="0.25">
      <c r="A530" s="258"/>
      <c r="B530" s="258"/>
      <c r="C530" s="584"/>
      <c r="D530" s="559"/>
      <c r="E530" s="534"/>
      <c r="F530" s="253"/>
      <c r="G530" s="541"/>
      <c r="H530" s="536">
        <f t="shared" si="81"/>
        <v>0</v>
      </c>
      <c r="I530" s="534"/>
      <c r="J530" s="253"/>
      <c r="K530" s="541"/>
      <c r="L530" s="536">
        <f t="shared" si="82"/>
        <v>0</v>
      </c>
    </row>
    <row r="531" spans="1:12" x14ac:dyDescent="0.25">
      <c r="A531" s="258"/>
      <c r="B531" s="258"/>
      <c r="C531" s="584"/>
      <c r="D531" s="559"/>
      <c r="E531" s="534"/>
      <c r="F531" s="253"/>
      <c r="G531" s="541"/>
      <c r="H531" s="536">
        <f t="shared" si="81"/>
        <v>0</v>
      </c>
      <c r="I531" s="534"/>
      <c r="J531" s="253"/>
      <c r="K531" s="541"/>
      <c r="L531" s="536">
        <f t="shared" si="82"/>
        <v>0</v>
      </c>
    </row>
    <row r="532" spans="1:12" x14ac:dyDescent="0.25">
      <c r="A532" s="258"/>
      <c r="B532" s="258"/>
      <c r="C532" s="584"/>
      <c r="D532" s="559"/>
      <c r="E532" s="534"/>
      <c r="F532" s="253"/>
      <c r="G532" s="541"/>
      <c r="H532" s="536">
        <f t="shared" si="81"/>
        <v>0</v>
      </c>
      <c r="I532" s="534"/>
      <c r="J532" s="253"/>
      <c r="K532" s="541"/>
      <c r="L532" s="536">
        <f t="shared" si="82"/>
        <v>0</v>
      </c>
    </row>
    <row r="533" spans="1:12" x14ac:dyDescent="0.25">
      <c r="A533" s="258"/>
      <c r="B533" s="258"/>
      <c r="C533" s="584"/>
      <c r="D533" s="559"/>
      <c r="E533" s="534"/>
      <c r="F533" s="253"/>
      <c r="G533" s="541"/>
      <c r="H533" s="536">
        <f t="shared" si="81"/>
        <v>0</v>
      </c>
      <c r="I533" s="534"/>
      <c r="J533" s="253"/>
      <c r="K533" s="541"/>
      <c r="L533" s="536">
        <f t="shared" si="82"/>
        <v>0</v>
      </c>
    </row>
    <row r="534" spans="1:12" x14ac:dyDescent="0.25">
      <c r="A534" s="258"/>
      <c r="B534" s="258"/>
      <c r="C534" s="584"/>
      <c r="D534" s="559"/>
      <c r="E534" s="534"/>
      <c r="F534" s="253"/>
      <c r="G534" s="541"/>
      <c r="H534" s="536">
        <f t="shared" si="81"/>
        <v>0</v>
      </c>
      <c r="I534" s="534"/>
      <c r="J534" s="253"/>
      <c r="K534" s="541"/>
      <c r="L534" s="536">
        <f t="shared" si="82"/>
        <v>0</v>
      </c>
    </row>
    <row r="535" spans="1:12" x14ac:dyDescent="0.25">
      <c r="A535" s="258"/>
      <c r="B535" s="258"/>
      <c r="C535" s="584"/>
      <c r="D535" s="559"/>
      <c r="E535" s="534"/>
      <c r="F535" s="253"/>
      <c r="G535" s="541"/>
      <c r="H535" s="536">
        <f t="shared" si="81"/>
        <v>0</v>
      </c>
      <c r="I535" s="534"/>
      <c r="J535" s="253"/>
      <c r="K535" s="541"/>
      <c r="L535" s="536">
        <f t="shared" si="82"/>
        <v>0</v>
      </c>
    </row>
    <row r="536" spans="1:12" x14ac:dyDescent="0.25">
      <c r="A536" s="258"/>
      <c r="B536" s="258"/>
      <c r="C536" s="584"/>
      <c r="D536" s="560"/>
      <c r="E536" s="537"/>
      <c r="F536" s="541"/>
      <c r="G536" s="541"/>
      <c r="H536" s="536">
        <f t="shared" si="81"/>
        <v>0</v>
      </c>
      <c r="I536" s="537"/>
      <c r="J536" s="541"/>
      <c r="K536" s="541"/>
      <c r="L536" s="536">
        <f t="shared" si="82"/>
        <v>0</v>
      </c>
    </row>
    <row r="537" spans="1:12" x14ac:dyDescent="0.25">
      <c r="A537" s="258"/>
      <c r="B537" s="258"/>
      <c r="C537" s="584"/>
      <c r="D537" s="560"/>
      <c r="E537" s="537"/>
      <c r="F537" s="541"/>
      <c r="G537" s="541"/>
      <c r="H537" s="540">
        <f t="shared" si="81"/>
        <v>0</v>
      </c>
      <c r="I537" s="537"/>
      <c r="J537" s="541"/>
      <c r="K537" s="541"/>
      <c r="L537" s="540">
        <f t="shared" si="82"/>
        <v>0</v>
      </c>
    </row>
    <row r="538" spans="1:12" x14ac:dyDescent="0.25">
      <c r="A538" s="258"/>
      <c r="B538" s="258"/>
      <c r="C538" s="584"/>
      <c r="D538" s="560"/>
      <c r="E538" s="537"/>
      <c r="F538" s="541"/>
      <c r="G538" s="541"/>
      <c r="H538" s="540">
        <f t="shared" si="81"/>
        <v>0</v>
      </c>
      <c r="I538" s="537"/>
      <c r="J538" s="541"/>
      <c r="K538" s="541"/>
      <c r="L538" s="540">
        <f t="shared" si="82"/>
        <v>0</v>
      </c>
    </row>
    <row r="539" spans="1:12" x14ac:dyDescent="0.25">
      <c r="A539" s="258"/>
      <c r="B539" s="258"/>
      <c r="C539" s="584"/>
      <c r="D539" s="559"/>
      <c r="E539" s="534"/>
      <c r="F539" s="262"/>
      <c r="G539" s="262"/>
      <c r="H539" s="536">
        <f t="shared" si="81"/>
        <v>0</v>
      </c>
      <c r="I539" s="534"/>
      <c r="J539" s="262"/>
      <c r="K539" s="262"/>
      <c r="L539" s="536">
        <f t="shared" si="82"/>
        <v>0</v>
      </c>
    </row>
    <row r="540" spans="1:12" x14ac:dyDescent="0.25">
      <c r="A540" s="258"/>
      <c r="B540" s="258"/>
      <c r="C540" s="584"/>
      <c r="D540" s="559"/>
      <c r="E540" s="534"/>
      <c r="F540" s="262"/>
      <c r="G540" s="262"/>
      <c r="H540" s="536">
        <f t="shared" si="81"/>
        <v>0</v>
      </c>
      <c r="I540" s="534"/>
      <c r="J540" s="262"/>
      <c r="K540" s="262"/>
      <c r="L540" s="536">
        <f t="shared" si="82"/>
        <v>0</v>
      </c>
    </row>
    <row r="541" spans="1:12" x14ac:dyDescent="0.25">
      <c r="A541" s="258"/>
      <c r="B541" s="258"/>
      <c r="C541" s="585"/>
      <c r="D541" s="560"/>
      <c r="E541" s="537"/>
      <c r="F541" s="253"/>
      <c r="G541" s="541"/>
      <c r="H541" s="536">
        <f>F541*G541</f>
        <v>0</v>
      </c>
      <c r="I541" s="537"/>
      <c r="J541" s="253"/>
      <c r="K541" s="541"/>
      <c r="L541" s="536">
        <f>J541*K541</f>
        <v>0</v>
      </c>
    </row>
    <row r="542" spans="1:12" x14ac:dyDescent="0.25">
      <c r="A542" s="258"/>
      <c r="B542" s="258"/>
      <c r="C542" s="584"/>
      <c r="D542" s="560"/>
      <c r="E542" s="534"/>
      <c r="F542" s="253"/>
      <c r="G542" s="541"/>
      <c r="H542" s="536">
        <f t="shared" ref="H542" si="83">F542*G542</f>
        <v>0</v>
      </c>
      <c r="I542" s="534"/>
      <c r="J542" s="253"/>
      <c r="K542" s="541"/>
      <c r="L542" s="536">
        <f t="shared" ref="L542" si="84">J542*K542</f>
        <v>0</v>
      </c>
    </row>
    <row r="543" spans="1:12" x14ac:dyDescent="0.25">
      <c r="A543" s="258"/>
      <c r="B543" s="258"/>
      <c r="C543" s="584"/>
      <c r="D543" s="559" t="s">
        <v>0</v>
      </c>
      <c r="E543" s="534"/>
      <c r="F543" s="542">
        <f>SUM(F528:F542)</f>
        <v>0</v>
      </c>
      <c r="G543" s="543" t="e">
        <f>H543/F543</f>
        <v>#DIV/0!</v>
      </c>
      <c r="H543" s="544">
        <f>SUM(H528:H542)</f>
        <v>0</v>
      </c>
      <c r="I543" s="534"/>
      <c r="J543" s="542">
        <f>SUM(J528:J542)</f>
        <v>0</v>
      </c>
      <c r="K543" s="543" t="e">
        <f>L543/J543</f>
        <v>#DIV/0!</v>
      </c>
      <c r="L543" s="544">
        <f>SUM(L528:L542)</f>
        <v>0</v>
      </c>
    </row>
    <row r="544" spans="1:12" x14ac:dyDescent="0.25">
      <c r="A544" s="545"/>
      <c r="B544" s="545"/>
      <c r="C544" s="586"/>
      <c r="D544" s="561"/>
      <c r="E544" s="546"/>
      <c r="F544" s="546"/>
      <c r="G544" s="547"/>
      <c r="H544" s="548"/>
      <c r="I544" s="546"/>
      <c r="J544" s="546"/>
      <c r="K544" s="547"/>
      <c r="L544" s="548"/>
    </row>
    <row r="545" spans="5:6" x14ac:dyDescent="0.25">
      <c r="E545" s="150"/>
      <c r="F545" s="150"/>
    </row>
    <row r="546" spans="5:6" x14ac:dyDescent="0.25">
      <c r="E546" s="150"/>
      <c r="F546" s="150"/>
    </row>
    <row r="547" spans="5:6" x14ac:dyDescent="0.25">
      <c r="E547" s="150"/>
      <c r="F547" s="150"/>
    </row>
    <row r="548" spans="5:6" x14ac:dyDescent="0.25">
      <c r="E548" s="150"/>
      <c r="F548" s="150"/>
    </row>
    <row r="549" spans="5:6" x14ac:dyDescent="0.25">
      <c r="E549" s="150"/>
      <c r="F549" s="150"/>
    </row>
    <row r="550" spans="5:6" x14ac:dyDescent="0.25">
      <c r="E550" s="150"/>
      <c r="F550" s="150"/>
    </row>
    <row r="551" spans="5:6" x14ac:dyDescent="0.25">
      <c r="E551" s="150"/>
      <c r="F551" s="150"/>
    </row>
    <row r="552" spans="5:6" x14ac:dyDescent="0.25">
      <c r="E552" s="150"/>
      <c r="F552" s="150"/>
    </row>
    <row r="553" spans="5:6" x14ac:dyDescent="0.25">
      <c r="E553" s="150"/>
      <c r="F553" s="150"/>
    </row>
    <row r="554" spans="5:6" x14ac:dyDescent="0.25">
      <c r="E554" s="150"/>
      <c r="F554" s="150"/>
    </row>
    <row r="555" spans="5:6" x14ac:dyDescent="0.25">
      <c r="E555" s="150"/>
      <c r="F555" s="150"/>
    </row>
    <row r="556" spans="5:6" x14ac:dyDescent="0.25">
      <c r="E556" s="150"/>
      <c r="F556" s="150"/>
    </row>
    <row r="557" spans="5:6" x14ac:dyDescent="0.25">
      <c r="E557" s="150"/>
      <c r="F557" s="150"/>
    </row>
    <row r="558" spans="5:6" x14ac:dyDescent="0.25">
      <c r="E558" s="150"/>
      <c r="F558" s="150"/>
    </row>
    <row r="559" spans="5:6" x14ac:dyDescent="0.25">
      <c r="E559" s="150"/>
      <c r="F559" s="150"/>
    </row>
    <row r="560" spans="5:6" x14ac:dyDescent="0.25">
      <c r="E560" s="150"/>
      <c r="F560" s="150"/>
    </row>
    <row r="561" spans="5:6" x14ac:dyDescent="0.25">
      <c r="E561" s="150"/>
      <c r="F561" s="150"/>
    </row>
    <row r="562" spans="5:6" x14ac:dyDescent="0.25">
      <c r="E562" s="150"/>
      <c r="F562" s="150"/>
    </row>
    <row r="563" spans="5:6" x14ac:dyDescent="0.25">
      <c r="E563" s="150"/>
      <c r="F563" s="150"/>
    </row>
    <row r="564" spans="5:6" x14ac:dyDescent="0.25">
      <c r="E564" s="150"/>
      <c r="F564" s="150"/>
    </row>
    <row r="565" spans="5:6" x14ac:dyDescent="0.25">
      <c r="E565" s="150"/>
      <c r="F565" s="150"/>
    </row>
    <row r="566" spans="5:6" x14ac:dyDescent="0.25">
      <c r="E566" s="150"/>
      <c r="F566" s="150"/>
    </row>
    <row r="567" spans="5:6" x14ac:dyDescent="0.25">
      <c r="E567" s="150"/>
      <c r="F567" s="150"/>
    </row>
    <row r="568" spans="5:6" x14ac:dyDescent="0.25">
      <c r="E568" s="150"/>
      <c r="F568" s="150"/>
    </row>
    <row r="569" spans="5:6" x14ac:dyDescent="0.25">
      <c r="E569" s="150"/>
      <c r="F569" s="150"/>
    </row>
    <row r="570" spans="5:6" x14ac:dyDescent="0.25">
      <c r="E570" s="150"/>
      <c r="F570" s="150"/>
    </row>
    <row r="571" spans="5:6" x14ac:dyDescent="0.25">
      <c r="E571" s="150"/>
      <c r="F571" s="150"/>
    </row>
    <row r="572" spans="5:6" x14ac:dyDescent="0.25">
      <c r="E572" s="150"/>
      <c r="F572" s="150"/>
    </row>
    <row r="573" spans="5:6" x14ac:dyDescent="0.25">
      <c r="E573" s="150"/>
      <c r="F573" s="150"/>
    </row>
    <row r="574" spans="5:6" x14ac:dyDescent="0.25">
      <c r="E574" s="150"/>
      <c r="F574" s="150"/>
    </row>
    <row r="575" spans="5:6" x14ac:dyDescent="0.25">
      <c r="E575" s="150"/>
      <c r="F575" s="150"/>
    </row>
    <row r="576" spans="5:6" x14ac:dyDescent="0.25">
      <c r="E576" s="150"/>
      <c r="F576" s="150"/>
    </row>
    <row r="577" spans="5:6" x14ac:dyDescent="0.25">
      <c r="E577" s="150"/>
      <c r="F577" s="150"/>
    </row>
    <row r="578" spans="5:6" x14ac:dyDescent="0.25">
      <c r="E578" s="150"/>
      <c r="F578" s="150"/>
    </row>
    <row r="579" spans="5:6" x14ac:dyDescent="0.25">
      <c r="E579" s="150"/>
      <c r="F579" s="150"/>
    </row>
    <row r="580" spans="5:6" x14ac:dyDescent="0.25">
      <c r="E580" s="150"/>
      <c r="F580" s="150"/>
    </row>
    <row r="581" spans="5:6" x14ac:dyDescent="0.25">
      <c r="E581" s="150"/>
      <c r="F581" s="150"/>
    </row>
    <row r="582" spans="5:6" x14ac:dyDescent="0.25">
      <c r="E582" s="150"/>
      <c r="F582" s="150"/>
    </row>
    <row r="583" spans="5:6" x14ac:dyDescent="0.25">
      <c r="E583" s="150"/>
      <c r="F583" s="150"/>
    </row>
    <row r="584" spans="5:6" x14ac:dyDescent="0.25">
      <c r="E584" s="150"/>
      <c r="F584" s="150"/>
    </row>
    <row r="585" spans="5:6" x14ac:dyDescent="0.25">
      <c r="E585" s="150"/>
      <c r="F585" s="150"/>
    </row>
    <row r="586" spans="5:6" x14ac:dyDescent="0.25">
      <c r="E586" s="150"/>
      <c r="F586" s="150"/>
    </row>
    <row r="587" spans="5:6" x14ac:dyDescent="0.25">
      <c r="E587" s="150"/>
      <c r="F587" s="150"/>
    </row>
    <row r="588" spans="5:6" x14ac:dyDescent="0.25">
      <c r="E588" s="150"/>
      <c r="F588" s="150"/>
    </row>
    <row r="589" spans="5:6" x14ac:dyDescent="0.25">
      <c r="E589" s="150"/>
      <c r="F589" s="150"/>
    </row>
    <row r="590" spans="5:6" x14ac:dyDescent="0.25">
      <c r="E590" s="150"/>
      <c r="F590" s="150"/>
    </row>
    <row r="591" spans="5:6" x14ac:dyDescent="0.25">
      <c r="E591" s="150"/>
      <c r="F591" s="150"/>
    </row>
    <row r="592" spans="5:6" x14ac:dyDescent="0.25">
      <c r="E592" s="150"/>
      <c r="F592" s="150"/>
    </row>
    <row r="593" spans="5:6" x14ac:dyDescent="0.25">
      <c r="E593" s="150"/>
      <c r="F593" s="150"/>
    </row>
    <row r="594" spans="5:6" x14ac:dyDescent="0.25">
      <c r="E594" s="150"/>
      <c r="F594" s="150"/>
    </row>
    <row r="595" spans="5:6" x14ac:dyDescent="0.25">
      <c r="E595" s="150"/>
      <c r="F595" s="150"/>
    </row>
    <row r="596" spans="5:6" x14ac:dyDescent="0.25">
      <c r="E596" s="150"/>
      <c r="F596" s="150"/>
    </row>
    <row r="597" spans="5:6" x14ac:dyDescent="0.25">
      <c r="E597" s="150"/>
      <c r="F597" s="150"/>
    </row>
    <row r="598" spans="5:6" x14ac:dyDescent="0.25">
      <c r="E598" s="150"/>
      <c r="F598" s="150"/>
    </row>
    <row r="599" spans="5:6" x14ac:dyDescent="0.25">
      <c r="E599" s="150"/>
      <c r="F599" s="150"/>
    </row>
    <row r="600" spans="5:6" x14ac:dyDescent="0.25">
      <c r="E600" s="150"/>
      <c r="F600" s="150"/>
    </row>
    <row r="601" spans="5:6" x14ac:dyDescent="0.25">
      <c r="E601" s="150"/>
      <c r="F601" s="150"/>
    </row>
    <row r="602" spans="5:6" x14ac:dyDescent="0.25">
      <c r="E602" s="150"/>
      <c r="F602" s="150"/>
    </row>
    <row r="603" spans="5:6" x14ac:dyDescent="0.25">
      <c r="E603" s="150"/>
      <c r="F603" s="150"/>
    </row>
    <row r="604" spans="5:6" x14ac:dyDescent="0.25">
      <c r="E604" s="150"/>
      <c r="F604" s="150"/>
    </row>
    <row r="605" spans="5:6" x14ac:dyDescent="0.25">
      <c r="E605" s="150"/>
      <c r="F605" s="150"/>
    </row>
    <row r="606" spans="5:6" x14ac:dyDescent="0.25">
      <c r="E606" s="150"/>
      <c r="F606" s="150"/>
    </row>
    <row r="607" spans="5:6" x14ac:dyDescent="0.25">
      <c r="E607" s="150"/>
      <c r="F607" s="150"/>
    </row>
    <row r="608" spans="5:6" x14ac:dyDescent="0.25">
      <c r="E608" s="150"/>
      <c r="F608" s="150"/>
    </row>
    <row r="609" spans="5:6" x14ac:dyDescent="0.25">
      <c r="E609" s="150"/>
      <c r="F609" s="150"/>
    </row>
    <row r="610" spans="5:6" x14ac:dyDescent="0.25">
      <c r="E610" s="150"/>
      <c r="F610" s="150"/>
    </row>
    <row r="611" spans="5:6" x14ac:dyDescent="0.25">
      <c r="E611" s="150"/>
      <c r="F611" s="150"/>
    </row>
    <row r="612" spans="5:6" x14ac:dyDescent="0.25">
      <c r="E612" s="150"/>
      <c r="F612" s="150"/>
    </row>
    <row r="613" spans="5:6" x14ac:dyDescent="0.25">
      <c r="E613" s="150"/>
      <c r="F613" s="150"/>
    </row>
    <row r="614" spans="5:6" x14ac:dyDescent="0.25">
      <c r="E614" s="150"/>
      <c r="F614" s="150"/>
    </row>
    <row r="615" spans="5:6" x14ac:dyDescent="0.25">
      <c r="E615" s="150"/>
      <c r="F615" s="150"/>
    </row>
    <row r="616" spans="5:6" x14ac:dyDescent="0.25">
      <c r="E616" s="150"/>
      <c r="F616" s="150"/>
    </row>
    <row r="617" spans="5:6" x14ac:dyDescent="0.25">
      <c r="E617" s="150"/>
      <c r="F617" s="150"/>
    </row>
    <row r="618" spans="5:6" x14ac:dyDescent="0.25">
      <c r="E618" s="150"/>
      <c r="F618" s="150"/>
    </row>
    <row r="619" spans="5:6" x14ac:dyDescent="0.25">
      <c r="E619" s="150"/>
      <c r="F619" s="150"/>
    </row>
    <row r="620" spans="5:6" x14ac:dyDescent="0.25">
      <c r="E620" s="150"/>
      <c r="F620" s="150"/>
    </row>
    <row r="621" spans="5:6" x14ac:dyDescent="0.25">
      <c r="E621" s="150"/>
      <c r="F621" s="150"/>
    </row>
    <row r="622" spans="5:6" x14ac:dyDescent="0.25">
      <c r="E622" s="150"/>
      <c r="F622" s="150"/>
    </row>
    <row r="623" spans="5:6" x14ac:dyDescent="0.25">
      <c r="E623" s="150"/>
      <c r="F623" s="150"/>
    </row>
    <row r="624" spans="5:6" x14ac:dyDescent="0.25">
      <c r="E624" s="150"/>
      <c r="F624" s="150"/>
    </row>
    <row r="625" spans="5:6" x14ac:dyDescent="0.25">
      <c r="E625" s="150"/>
      <c r="F625" s="150"/>
    </row>
    <row r="626" spans="5:6" x14ac:dyDescent="0.25">
      <c r="E626" s="150"/>
      <c r="F626" s="150"/>
    </row>
    <row r="627" spans="5:6" x14ac:dyDescent="0.25">
      <c r="E627" s="150"/>
      <c r="F627" s="150"/>
    </row>
    <row r="628" spans="5:6" x14ac:dyDescent="0.25">
      <c r="E628" s="150"/>
      <c r="F628" s="150"/>
    </row>
  </sheetData>
  <mergeCells count="5">
    <mergeCell ref="I7:K7"/>
    <mergeCell ref="L7:L8"/>
    <mergeCell ref="H7:H8"/>
    <mergeCell ref="E7:G7"/>
    <mergeCell ref="A6:L6"/>
  </mergeCells>
  <phoneticPr fontId="45" type="noConversion"/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O64"/>
  <sheetViews>
    <sheetView topLeftCell="AH2" zoomScale="70" zoomScaleNormal="70" workbookViewId="0">
      <selection activeCell="AK38" sqref="AK38"/>
    </sheetView>
  </sheetViews>
  <sheetFormatPr defaultColWidth="8.85546875" defaultRowHeight="15" x14ac:dyDescent="0.25"/>
  <cols>
    <col min="1" max="1" width="4.5703125" style="1" customWidth="1"/>
    <col min="2" max="2" width="12.42578125" style="1" bestFit="1" customWidth="1"/>
    <col min="3" max="3" width="13.7109375" style="1" customWidth="1"/>
    <col min="4" max="4" width="12.5703125" style="1" customWidth="1"/>
    <col min="5" max="5" width="10.85546875" style="1" customWidth="1"/>
    <col min="6" max="6" width="10.7109375" style="1" customWidth="1"/>
    <col min="7" max="7" width="9.42578125" style="1" customWidth="1"/>
    <col min="8" max="8" width="16.28515625" style="1" bestFit="1" customWidth="1"/>
    <col min="9" max="10" width="14.140625" style="1" customWidth="1"/>
    <col min="11" max="11" width="15.42578125" style="1" bestFit="1" customWidth="1"/>
    <col min="12" max="12" width="15.7109375" style="1" customWidth="1"/>
    <col min="13" max="24" width="14.140625" style="1" customWidth="1"/>
    <col min="25" max="25" width="10.7109375" style="1" customWidth="1"/>
    <col min="26" max="26" width="16.42578125" style="1" customWidth="1"/>
    <col min="27" max="27" width="11.7109375" style="1" customWidth="1"/>
    <col min="28" max="28" width="12" style="1" bestFit="1" customWidth="1"/>
    <col min="29" max="29" width="7.42578125" style="1" bestFit="1" customWidth="1"/>
    <col min="30" max="30" width="14" style="1" hidden="1" customWidth="1"/>
    <col min="31" max="31" width="14" style="1" customWidth="1"/>
    <col min="32" max="32" width="14" style="1" hidden="1" customWidth="1"/>
    <col min="33" max="33" width="14" style="1" customWidth="1"/>
    <col min="34" max="34" width="16.7109375" style="1" customWidth="1"/>
    <col min="35" max="35" width="16.7109375" style="1" hidden="1" customWidth="1"/>
    <col min="36" max="36" width="15.140625" style="1" customWidth="1"/>
    <col min="37" max="37" width="12" style="1" customWidth="1"/>
    <col min="38" max="38" width="9" style="1" customWidth="1"/>
    <col min="39" max="39" width="14" style="1" customWidth="1"/>
    <col min="40" max="40" width="19" style="1" customWidth="1"/>
    <col min="41" max="41" width="14.42578125" style="1" customWidth="1"/>
    <col min="42" max="42" width="18.140625" style="1" customWidth="1"/>
    <col min="43" max="43" width="13.140625" style="1" bestFit="1" customWidth="1"/>
    <col min="44" max="44" width="10.28515625" style="1" bestFit="1" customWidth="1"/>
    <col min="45" max="45" width="12.42578125" style="1" bestFit="1" customWidth="1"/>
    <col min="46" max="46" width="12.42578125" style="1" customWidth="1"/>
    <col min="47" max="47" width="12.7109375" style="4" customWidth="1"/>
    <col min="48" max="48" width="8.85546875" style="4"/>
    <col min="49" max="49" width="8.85546875" style="4" hidden="1" customWidth="1"/>
    <col min="50" max="50" width="8.85546875" style="1"/>
    <col min="51" max="51" width="12.42578125" style="1" bestFit="1" customWidth="1"/>
    <col min="52" max="52" width="12.7109375" style="4" customWidth="1"/>
    <col min="53" max="53" width="15.5703125" style="4" customWidth="1"/>
    <col min="54" max="54" width="8.85546875" style="4" hidden="1" customWidth="1"/>
    <col min="55" max="55" width="8.85546875" style="1"/>
    <col min="56" max="56" width="12.42578125" style="1" bestFit="1" customWidth="1"/>
    <col min="57" max="57" width="15.42578125" style="1" customWidth="1"/>
    <col min="58" max="58" width="13.28515625" style="1" customWidth="1"/>
    <col min="59" max="59" width="14.140625" style="1" bestFit="1" customWidth="1"/>
    <col min="60" max="60" width="8.85546875" style="1"/>
    <col min="61" max="61" width="12.42578125" style="1" bestFit="1" customWidth="1"/>
    <col min="62" max="62" width="12.85546875" style="1" bestFit="1" customWidth="1"/>
    <col min="63" max="63" width="13" style="1" bestFit="1" customWidth="1"/>
    <col min="64" max="66" width="11.85546875" style="1" bestFit="1" customWidth="1"/>
    <col min="67" max="67" width="11.85546875" style="1" customWidth="1"/>
    <col min="68" max="68" width="11.85546875" style="1" bestFit="1" customWidth="1"/>
    <col min="69" max="69" width="11.7109375" style="1" bestFit="1" customWidth="1"/>
    <col min="70" max="70" width="13.5703125" style="1" bestFit="1" customWidth="1"/>
    <col min="71" max="71" width="8.85546875" style="1"/>
    <col min="72" max="72" width="12.42578125" style="1" bestFit="1" customWidth="1"/>
    <col min="73" max="73" width="13.85546875" style="1" bestFit="1" customWidth="1"/>
    <col min="74" max="74" width="13" style="1" bestFit="1" customWidth="1"/>
    <col min="75" max="76" width="11.85546875" style="1" bestFit="1" customWidth="1"/>
    <col min="77" max="77" width="12.7109375" style="1" bestFit="1" customWidth="1"/>
    <col min="78" max="78" width="12.7109375" style="1" customWidth="1"/>
    <col min="79" max="79" width="11.85546875" style="1" bestFit="1" customWidth="1"/>
    <col min="80" max="80" width="9.7109375" style="1" bestFit="1" customWidth="1"/>
    <col min="81" max="81" width="13.5703125" style="1" bestFit="1" customWidth="1"/>
    <col min="82" max="82" width="10.140625" style="1" bestFit="1" customWidth="1"/>
    <col min="83" max="83" width="12.42578125" style="1" bestFit="1" customWidth="1"/>
    <col min="84" max="84" width="12.85546875" style="1" bestFit="1" customWidth="1"/>
    <col min="85" max="85" width="13" style="1" bestFit="1" customWidth="1"/>
    <col min="86" max="88" width="11.85546875" style="1" bestFit="1" customWidth="1"/>
    <col min="89" max="89" width="11.85546875" style="1" customWidth="1"/>
    <col min="90" max="90" width="11.85546875" style="1" bestFit="1" customWidth="1"/>
    <col min="91" max="91" width="11.7109375" style="1" bestFit="1" customWidth="1"/>
    <col min="92" max="92" width="13.5703125" style="1" bestFit="1" customWidth="1"/>
    <col min="93" max="93" width="12.7109375" style="1" bestFit="1" customWidth="1"/>
    <col min="94" max="16384" width="8.85546875" style="1"/>
  </cols>
  <sheetData>
    <row r="1" spans="2:93" ht="15.75" thickBot="1" x14ac:dyDescent="0.3">
      <c r="AD1" s="16"/>
      <c r="AE1" s="16"/>
      <c r="AF1" s="16"/>
      <c r="AG1" s="16"/>
      <c r="AH1" s="16"/>
      <c r="AI1" s="16"/>
      <c r="AO1" s="4"/>
    </row>
    <row r="2" spans="2:93" ht="31.9" customHeight="1" thickBot="1" x14ac:dyDescent="0.3">
      <c r="B2" s="71"/>
      <c r="C2" s="671" t="s">
        <v>154</v>
      </c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3"/>
      <c r="Z2" s="6"/>
      <c r="AA2" s="681" t="s">
        <v>59</v>
      </c>
      <c r="AB2" s="682"/>
      <c r="AD2" s="683" t="s">
        <v>49</v>
      </c>
      <c r="AE2" s="684"/>
      <c r="AF2" s="684"/>
      <c r="AG2" s="684"/>
      <c r="AH2" s="684"/>
      <c r="AI2" s="684"/>
      <c r="AJ2" s="684"/>
      <c r="AK2" s="685"/>
      <c r="AM2" s="689" t="s">
        <v>57</v>
      </c>
      <c r="AN2" s="690"/>
      <c r="AO2" s="690"/>
      <c r="AP2" s="690"/>
      <c r="AQ2" s="691"/>
      <c r="AS2" s="680" t="s">
        <v>153</v>
      </c>
      <c r="AT2" s="680"/>
      <c r="AU2" s="680"/>
      <c r="AV2" s="680"/>
      <c r="AW2" s="680"/>
      <c r="AY2" s="680" t="s">
        <v>153</v>
      </c>
      <c r="AZ2" s="680"/>
      <c r="BA2" s="680"/>
      <c r="BB2" s="680"/>
      <c r="BD2" s="680" t="s">
        <v>152</v>
      </c>
      <c r="BE2" s="680"/>
      <c r="BF2" s="680"/>
      <c r="BG2" s="680"/>
      <c r="BI2" s="680" t="s">
        <v>159</v>
      </c>
      <c r="BJ2" s="680"/>
      <c r="BK2" s="680"/>
      <c r="BL2" s="680"/>
      <c r="BM2" s="680"/>
      <c r="BN2" s="680"/>
      <c r="BO2" s="680"/>
      <c r="BP2" s="680"/>
      <c r="BQ2" s="680"/>
      <c r="BR2" s="680"/>
      <c r="BT2" s="680" t="s">
        <v>160</v>
      </c>
      <c r="BU2" s="680"/>
      <c r="BV2" s="680"/>
      <c r="BW2" s="680"/>
      <c r="BX2" s="680"/>
      <c r="BY2" s="680"/>
      <c r="BZ2" s="680"/>
      <c r="CA2" s="680"/>
      <c r="CB2" s="680"/>
      <c r="CC2" s="680"/>
      <c r="CE2" s="680" t="s">
        <v>161</v>
      </c>
      <c r="CF2" s="680"/>
      <c r="CG2" s="680"/>
      <c r="CH2" s="680"/>
      <c r="CI2" s="680"/>
      <c r="CJ2" s="680"/>
      <c r="CK2" s="680"/>
      <c r="CL2" s="680"/>
      <c r="CM2" s="680"/>
      <c r="CN2" s="680"/>
    </row>
    <row r="3" spans="2:93" s="28" customFormat="1" ht="98.45" customHeight="1" thickBot="1" x14ac:dyDescent="0.3">
      <c r="B3" s="72" t="s">
        <v>8</v>
      </c>
      <c r="C3" s="29" t="s">
        <v>14</v>
      </c>
      <c r="D3" s="30" t="s">
        <v>15</v>
      </c>
      <c r="E3" s="30" t="s">
        <v>16</v>
      </c>
      <c r="F3" s="30" t="s">
        <v>17</v>
      </c>
      <c r="G3" s="33" t="s">
        <v>74</v>
      </c>
      <c r="H3" s="33" t="s">
        <v>79</v>
      </c>
      <c r="I3" s="33" t="s">
        <v>325</v>
      </c>
      <c r="J3" s="33" t="s">
        <v>109</v>
      </c>
      <c r="K3" s="33" t="s">
        <v>110</v>
      </c>
      <c r="L3" s="33" t="s">
        <v>107</v>
      </c>
      <c r="M3" s="33" t="s">
        <v>112</v>
      </c>
      <c r="N3" s="33" t="s">
        <v>129</v>
      </c>
      <c r="O3" s="33" t="s">
        <v>130</v>
      </c>
      <c r="P3" s="33" t="s">
        <v>131</v>
      </c>
      <c r="Q3" s="33" t="s">
        <v>132</v>
      </c>
      <c r="R3" s="33" t="s">
        <v>113</v>
      </c>
      <c r="S3" s="33" t="s">
        <v>294</v>
      </c>
      <c r="T3" s="33" t="s">
        <v>323</v>
      </c>
      <c r="U3" s="33" t="s">
        <v>317</v>
      </c>
      <c r="V3" s="33" t="s">
        <v>312</v>
      </c>
      <c r="W3" s="33" t="s">
        <v>333</v>
      </c>
      <c r="X3" s="33" t="s">
        <v>142</v>
      </c>
      <c r="Y3" s="31" t="s">
        <v>37</v>
      </c>
      <c r="Z3" s="32" t="s">
        <v>50</v>
      </c>
      <c r="AA3" s="29" t="s">
        <v>51</v>
      </c>
      <c r="AB3" s="31" t="s">
        <v>52</v>
      </c>
      <c r="AD3" s="41" t="str">
        <f>Цени!L2</f>
        <v>Mytilineos</v>
      </c>
      <c r="AE3" s="216" t="str">
        <f>+Цени!C2</f>
        <v>Булгаргаз</v>
      </c>
      <c r="AF3" s="216" t="s">
        <v>284</v>
      </c>
      <c r="AG3" s="216" t="s">
        <v>285</v>
      </c>
      <c r="AH3" s="216" t="str">
        <f>+Цени!D2</f>
        <v>ТБЛ-ЧИРЕН добив</v>
      </c>
      <c r="AI3" s="216" t="str">
        <f>+Цени!S2</f>
        <v>ОЗБОР</v>
      </c>
      <c r="AJ3" s="42" t="s">
        <v>53</v>
      </c>
      <c r="AK3" s="149" t="s">
        <v>0</v>
      </c>
      <c r="AM3" s="43" t="s">
        <v>72</v>
      </c>
      <c r="AN3" s="44" t="s">
        <v>117</v>
      </c>
      <c r="AO3" s="45" t="s">
        <v>200</v>
      </c>
      <c r="AP3" s="33" t="s">
        <v>201</v>
      </c>
      <c r="AQ3" s="36" t="s">
        <v>202</v>
      </c>
      <c r="AS3" s="264" t="s">
        <v>8</v>
      </c>
      <c r="AT3" s="264" t="s">
        <v>157</v>
      </c>
      <c r="AU3" s="267" t="s">
        <v>146</v>
      </c>
      <c r="AV3" s="267" t="s">
        <v>158</v>
      </c>
      <c r="AW3" s="267" t="s">
        <v>155</v>
      </c>
      <c r="AY3" s="264" t="s">
        <v>8</v>
      </c>
      <c r="AZ3" s="267" t="s">
        <v>146</v>
      </c>
      <c r="BA3" s="267" t="s">
        <v>145</v>
      </c>
      <c r="BB3" s="267" t="s">
        <v>4</v>
      </c>
      <c r="BD3" s="264" t="s">
        <v>8</v>
      </c>
      <c r="BE3" s="266" t="s">
        <v>147</v>
      </c>
      <c r="BF3" s="267" t="s">
        <v>149</v>
      </c>
      <c r="BG3" s="266" t="s">
        <v>148</v>
      </c>
      <c r="BI3" s="264" t="s">
        <v>8</v>
      </c>
      <c r="BJ3" s="264" t="s">
        <v>14</v>
      </c>
      <c r="BK3" s="264" t="s">
        <v>15</v>
      </c>
      <c r="BL3" s="264" t="s">
        <v>150</v>
      </c>
      <c r="BM3" s="264" t="s">
        <v>115</v>
      </c>
      <c r="BN3" s="264" t="s">
        <v>37</v>
      </c>
      <c r="BO3" s="264" t="s">
        <v>74</v>
      </c>
      <c r="BP3" s="266" t="s">
        <v>144</v>
      </c>
      <c r="BQ3" s="266" t="s">
        <v>128</v>
      </c>
      <c r="BR3" s="266" t="s">
        <v>151</v>
      </c>
      <c r="BT3" s="264" t="s">
        <v>8</v>
      </c>
      <c r="BU3" s="264" t="s">
        <v>14</v>
      </c>
      <c r="BV3" s="264" t="s">
        <v>15</v>
      </c>
      <c r="BW3" s="264" t="s">
        <v>150</v>
      </c>
      <c r="BX3" s="264" t="s">
        <v>115</v>
      </c>
      <c r="BY3" s="264" t="s">
        <v>37</v>
      </c>
      <c r="BZ3" s="264" t="s">
        <v>74</v>
      </c>
      <c r="CA3" s="266" t="s">
        <v>144</v>
      </c>
      <c r="CB3" s="266" t="s">
        <v>128</v>
      </c>
      <c r="CC3" s="266" t="s">
        <v>151</v>
      </c>
      <c r="CE3" s="264" t="s">
        <v>8</v>
      </c>
      <c r="CF3" s="264" t="s">
        <v>14</v>
      </c>
      <c r="CG3" s="264" t="s">
        <v>15</v>
      </c>
      <c r="CH3" s="264" t="s">
        <v>150</v>
      </c>
      <c r="CI3" s="264" t="s">
        <v>115</v>
      </c>
      <c r="CJ3" s="264" t="s">
        <v>37</v>
      </c>
      <c r="CK3" s="264" t="s">
        <v>74</v>
      </c>
      <c r="CL3" s="266" t="s">
        <v>144</v>
      </c>
      <c r="CM3" s="266" t="s">
        <v>128</v>
      </c>
      <c r="CN3" s="266" t="s">
        <v>151</v>
      </c>
    </row>
    <row r="4" spans="2:93" x14ac:dyDescent="0.25">
      <c r="B4" s="47">
        <v>45627</v>
      </c>
      <c r="C4" s="269">
        <f>+Плевен!K4+Плевен!L4</f>
        <v>14.417999999999999</v>
      </c>
      <c r="D4" s="270">
        <f>Бургас!H4</f>
        <v>10.657000000000039</v>
      </c>
      <c r="E4" s="270">
        <f>'Враца 1'!H4</f>
        <v>0</v>
      </c>
      <c r="F4" s="270">
        <f>'Враца 2'!H4</f>
        <v>5.7319999999999993</v>
      </c>
      <c r="G4" s="271">
        <f>Русе!G4</f>
        <v>989.99800000000005</v>
      </c>
      <c r="H4" s="271">
        <f>+'Русе Кемикълс'!E4</f>
        <v>0</v>
      </c>
      <c r="I4" s="271">
        <f>+ЛКМК!E4</f>
        <v>0</v>
      </c>
      <c r="J4" s="271">
        <f>+'Доминекс про'!E4</f>
        <v>3.9689999999999999</v>
      </c>
      <c r="K4" s="271">
        <f>+Труд!E4</f>
        <v>26.317</v>
      </c>
      <c r="L4" s="271">
        <f>+'Велико Търново'!E4</f>
        <v>0</v>
      </c>
      <c r="M4" s="271">
        <f>+Берус!E4</f>
        <v>0.76400000000000001</v>
      </c>
      <c r="N4" s="271">
        <f>+'Бултекс 1'!E4</f>
        <v>0.35499999999999998</v>
      </c>
      <c r="O4" s="271">
        <f>+Алуком!E4</f>
        <v>0</v>
      </c>
      <c r="P4" s="271">
        <f>+Илинден!E4</f>
        <v>0</v>
      </c>
      <c r="Q4" s="271">
        <f>+'Ваптех АМ'!E4</f>
        <v>5.5819999999999999</v>
      </c>
      <c r="R4" s="271">
        <f>+РВД!E4</f>
        <v>27.553999999999998</v>
      </c>
      <c r="S4" s="271">
        <f>+Димитровград!E4</f>
        <v>180.58299999999997</v>
      </c>
      <c r="T4" s="271">
        <f>+Булмаш!E4</f>
        <v>0.20599999999999999</v>
      </c>
      <c r="U4" s="271">
        <f>+HERON!D4</f>
        <v>0</v>
      </c>
      <c r="V4" s="271">
        <f>+'PPC Гърция'!D4</f>
        <v>0</v>
      </c>
      <c r="W4" s="271">
        <f>+'МЕТ ВИТОЛ ДХТ'!D4+'МЕТ ВИТОЛ ДХТ'!J4+'МЕТ ВИТОЛ ДХТ'!P4+'МЕТ ВИТОЛ ДХТ'!V4+'МЕТ ВИТОЛ ДХТ'!AB4+'МЕТ ВИТОЛ ДХТ'!AH4+'МЕТ ВИТОЛ ДХТ'!AN4+'МЕТ ВИТОЛ ДХТ'!AT4</f>
        <v>3950</v>
      </c>
      <c r="X4" s="271">
        <f>+Цени!Y3</f>
        <v>0</v>
      </c>
      <c r="Y4" s="272">
        <f>Перник!G4</f>
        <v>20</v>
      </c>
      <c r="Z4" s="273">
        <f>'Борса и балансиране'!F4</f>
        <v>0</v>
      </c>
      <c r="AA4" s="269">
        <f>IF(AK4-SUM(G4:Z4,Плевен!K4,Плевен!L4,Бургас!H4,'Враца 1'!H4,'Враца 2'!H4)&gt;=0,AK4-SUM(G4:Z4,Плевен!K4,Плевен!L4,Бургас!H4,'Враца 1'!H4,'Враца 2'!H4),IF(AK4-SUM(G4:Z4,Плевен!K4,Плевен!L4,Бургас!H4,'Враца 1'!H4,'Враца 2'!H4)&lt;=0,0))</f>
        <v>23.967999999999847</v>
      </c>
      <c r="AB4" s="272">
        <f>IF(AK4-SUM(G4:Z4,Плевен!K4,Плевен!L4,Бургас!H4,'Враца 1'!H4,'Враца 2'!H4)&lt;=0,AK4-SUM(G4:Z4,Плевен!K4,Плевен!L4,Бургас!H4,'Враца 1'!H4,'Враца 2'!H4),IF(AK4-SUM(G4:Z4,Плевен!K4,Плевен!L4,Бургас!H4,'Враца 1'!H4,'Враца 2'!H4)&gt;=0,0))</f>
        <v>0</v>
      </c>
      <c r="AC4" s="16"/>
      <c r="AD4" s="278">
        <f>+Цени!L3+Цени!M3+Цени!N3+Цени!O3+Цени!P3</f>
        <v>0</v>
      </c>
      <c r="AE4" s="278">
        <f>+Цени!C3</f>
        <v>14.516</v>
      </c>
      <c r="AF4" s="278">
        <f>+Цени!R3</f>
        <v>0</v>
      </c>
      <c r="AG4" s="278">
        <f>+Цени!Q3</f>
        <v>0</v>
      </c>
      <c r="AH4" s="278">
        <f>+Цени!D3</f>
        <v>5245.5870000000004</v>
      </c>
      <c r="AI4" s="599">
        <f>+Цени!S3</f>
        <v>0</v>
      </c>
      <c r="AJ4" s="279">
        <f>'Борса и балансиране'!C4</f>
        <v>0</v>
      </c>
      <c r="AK4" s="280">
        <f t="shared" ref="AK4" si="0">SUM(AD4:AJ4)</f>
        <v>5260.1030000000001</v>
      </c>
      <c r="AL4" s="16"/>
      <c r="AM4" s="281">
        <f>SUM(Плевен!K4+Бургас!H4+'Враца 1'!H4+'Враца 2'!H4+Русе!G4+'Велико Търново'!E4)*(Цени!V3+Цени!$L$58)+Перник!G4*(Цени!$T$42-Цени!U3+Цени!$L$58)+Плевен!L4*(Цени!$T$43-Цени!U3+Цени!$L$58)+Плевен!R4+Бургас!O4+'Враца 1'!N4+'Враца 2'!N4+Перник!N4+Русе!M4+'Велико Търново'!J4+Димитровград!J4+ЛКМК!L4+Булмаш!L4+'Борса и балансиране'!H4-'Борса и балансиране'!E4+'Борса и балансиране'!N4+'Борса и балансиране'!O4-('Борса и балансиране'!J4+'Борса и балансиране'!K4-'Борса и балансиране'!C4+'Борса и балансиране'!F4)*Цени!U3+Димитровград!E4*(Цени!$T$44-Цени!U3+Цени!$L$58)+(Алуком!E4+'Русе Кемикълс'!E4+'Доминекс про'!E4+Берус!E4+'Бултекс 1'!E4)*(Цени!$T$46-Цени!U3)+(Илинден!E4+'Ваптех АМ'!E4)*(Цени!$T$46-Цени!U3)+ЛКМК!E4*(Цени!$T$45-Цени!U3+Цени!$L$58)+РВД!E4*(Цени!$T$47-Цени!U3)+(Булмаш!E4)*(Цени!$T$45-Цени!U3+Цени!$L$58)+(Труд!E4)*(Цени!$T$46-Цени!U3)+HERON!D4*(HERON!E4-Цени!U3)+'PPC Гърция'!D4*('PPC Гърция'!E4-Цени!U3)+'МЕТ ВИТОЛ ДХТ'!D4*('МЕТ ВИТОЛ ДХТ'!E4-Цени!U3)+'МЕТ ВИТОЛ ДХТ'!J4*('МЕТ ВИТОЛ ДХТ'!K4-Цени!U3)+'МЕТ ВИТОЛ ДХТ'!P4*('МЕТ ВИТОЛ ДХТ'!Q4-Цени!U3)+'МЕТ ВИТОЛ ДХТ'!V4*('МЕТ ВИТОЛ ДХТ'!W4-Цени!U3)+'МЕТ ВИТОЛ ДХТ'!AB4*('МЕТ ВИТОЛ ДХТ'!AC4-Цени!U3)+'МЕТ ВИТОЛ ДХТ'!AH4*('МЕТ ВИТОЛ ДХТ'!AI4-Цени!U3)+'МЕТ ВИТОЛ ДХТ'!AN4*('МЕТ ВИТОЛ ДХТ'!AO4-Цени!U3)+'МЕТ ВИТОЛ ДХТ'!AT4*('МЕТ ВИТОЛ ДХТ'!AU4-Цени!U3)</f>
        <v>44217.464448999977</v>
      </c>
      <c r="AN4" s="282">
        <v>3890.9</v>
      </c>
      <c r="AO4" s="283">
        <f>AM4-AN4+Перник!T15</f>
        <v>40326.564448999976</v>
      </c>
      <c r="AP4" s="284">
        <v>0</v>
      </c>
      <c r="AQ4" s="285">
        <f>AO4++AP4</f>
        <v>40326.564448999976</v>
      </c>
      <c r="AR4" s="4"/>
      <c r="AS4" s="47">
        <v>45627</v>
      </c>
      <c r="AT4" s="290">
        <f>+Цени!T40</f>
        <v>75.89</v>
      </c>
      <c r="AU4" s="289">
        <f>+AZ4</f>
        <v>75.910642120506012</v>
      </c>
      <c r="AV4" s="268">
        <f>47.275*1.95583</f>
        <v>92.461863249999993</v>
      </c>
      <c r="AW4" s="289">
        <f>+AU4-AV4</f>
        <v>-16.551221129493982</v>
      </c>
      <c r="AY4" s="265">
        <f>+AS4</f>
        <v>45627</v>
      </c>
      <c r="AZ4" s="290">
        <f>+'ОБЩО NEW за печат'!BP4</f>
        <v>75.910642120506012</v>
      </c>
      <c r="BA4" s="290">
        <f>+'ОБЩО NEW за печат'!BQ4</f>
        <v>82.941341481336025</v>
      </c>
      <c r="BB4" s="289">
        <f>+BA4-AZ4</f>
        <v>7.0306993608300132</v>
      </c>
      <c r="BD4" s="265">
        <f>+AY4</f>
        <v>45627</v>
      </c>
      <c r="BE4" s="291">
        <f>+Цени!$Y$1+Цени!Y3</f>
        <v>499654.92000000062</v>
      </c>
      <c r="BF4" s="289">
        <f t="shared" ref="BF4" si="1">+BG4/BE4</f>
        <v>102.6448870713515</v>
      </c>
      <c r="BG4" s="289">
        <f>+Цени!$AA$1+Цени!AA3</f>
        <v>51287022.838045232</v>
      </c>
      <c r="BI4" s="265">
        <f>+BD4</f>
        <v>45627</v>
      </c>
      <c r="BJ4" s="321">
        <v>9359727.9399999995</v>
      </c>
      <c r="BK4" s="321">
        <v>2241930.75</v>
      </c>
      <c r="BL4" s="321">
        <v>638448.84999999974</v>
      </c>
      <c r="BM4" s="321">
        <v>391852.94000000018</v>
      </c>
      <c r="BN4" s="321">
        <v>2184342</v>
      </c>
      <c r="BO4" s="321">
        <v>1418882.8399999999</v>
      </c>
      <c r="BP4" s="321">
        <v>213959.69399999999</v>
      </c>
      <c r="BQ4" s="321">
        <v>0</v>
      </c>
      <c r="BR4" s="294">
        <f>SUM(BJ4:BQ4)</f>
        <v>16449145.013999999</v>
      </c>
      <c r="BT4" s="265">
        <f>+BI4</f>
        <v>45627</v>
      </c>
      <c r="BU4" s="293">
        <f t="shared" ref="BU4" si="2">+CF4-BJ4</f>
        <v>8077371.9400000032</v>
      </c>
      <c r="BV4" s="293">
        <f t="shared" ref="BV4:BV31" si="3">+CG4-BK4</f>
        <v>1256881.5400000028</v>
      </c>
      <c r="BW4" s="293">
        <f t="shared" ref="BW4" si="4">+CH4-BL4</f>
        <v>0</v>
      </c>
      <c r="BX4" s="293">
        <f t="shared" ref="BX4" si="5">+CI4-BM4</f>
        <v>0</v>
      </c>
      <c r="BY4" s="293">
        <f t="shared" ref="BY4:BZ4" si="6">+CJ4-BN4</f>
        <v>25079241.090000004</v>
      </c>
      <c r="BZ4" s="293">
        <f t="shared" si="6"/>
        <v>0</v>
      </c>
      <c r="CA4" s="293">
        <f t="shared" ref="CA4" si="7">+CL4-BP4</f>
        <v>0</v>
      </c>
      <c r="CB4" s="293">
        <f t="shared" ref="CB4" si="8">+CM4-BQ4</f>
        <v>3567553.1529600001</v>
      </c>
      <c r="CC4" s="294">
        <f t="shared" ref="CC4:CC17" si="9">SUM(BU4:CB4)</f>
        <v>37981047.72296001</v>
      </c>
      <c r="CE4" s="265">
        <f>+BT4</f>
        <v>45627</v>
      </c>
      <c r="CF4" s="321">
        <v>17437099.880000003</v>
      </c>
      <c r="CG4" s="321">
        <v>3498812.2900000028</v>
      </c>
      <c r="CH4" s="321">
        <v>638448.84999999974</v>
      </c>
      <c r="CI4" s="321">
        <v>391852.94000000018</v>
      </c>
      <c r="CJ4" s="321">
        <v>27263583.090000004</v>
      </c>
      <c r="CK4" s="321">
        <v>1418882.8399999999</v>
      </c>
      <c r="CL4" s="321">
        <v>213959.69399999999</v>
      </c>
      <c r="CM4" s="321">
        <v>3567553.1529600001</v>
      </c>
      <c r="CN4" s="294">
        <f>SUM(CF4:CM4)</f>
        <v>54430192.736960016</v>
      </c>
    </row>
    <row r="5" spans="2:93" x14ac:dyDescent="0.25">
      <c r="B5" s="47">
        <f>+B4+1</f>
        <v>45628</v>
      </c>
      <c r="C5" s="269">
        <f>+Плевен!K5+Плевен!L5</f>
        <v>44.905999999999999</v>
      </c>
      <c r="D5" s="270">
        <f>Бургас!H5</f>
        <v>135.44599999999991</v>
      </c>
      <c r="E5" s="270">
        <f>'Враца 1'!H5</f>
        <v>45.034999999999968</v>
      </c>
      <c r="F5" s="270">
        <f>'Враца 2'!H5</f>
        <v>54.276999999999987</v>
      </c>
      <c r="G5" s="271">
        <f>Русе!G5</f>
        <v>0</v>
      </c>
      <c r="H5" s="271">
        <f>+'Русе Кемикълс'!E5</f>
        <v>6.0439999999999996</v>
      </c>
      <c r="I5" s="271">
        <f>+ЛКМК!E5</f>
        <v>5.9929237325174824</v>
      </c>
      <c r="J5" s="271">
        <f>+'Доминекс про'!E5</f>
        <v>24.382000000000001</v>
      </c>
      <c r="K5" s="271">
        <f>+Труд!E5</f>
        <v>27.457999999999998</v>
      </c>
      <c r="L5" s="271">
        <f>+'Велико Търново'!E5</f>
        <v>0</v>
      </c>
      <c r="M5" s="271">
        <f>+Берус!E5</f>
        <v>0.376</v>
      </c>
      <c r="N5" s="271">
        <f>+'Бултекс 1'!E5</f>
        <v>2.2160000000000002</v>
      </c>
      <c r="O5" s="271">
        <f>+Алуком!E5</f>
        <v>0.14000000000000001</v>
      </c>
      <c r="P5" s="271">
        <f>+Илинден!E5</f>
        <v>0</v>
      </c>
      <c r="Q5" s="271">
        <f>+'Ваптех АМ'!E5</f>
        <v>18.207999999999998</v>
      </c>
      <c r="R5" s="271">
        <f>+РВД!E5</f>
        <v>25.78</v>
      </c>
      <c r="S5" s="271">
        <f>+Димитровград!E5</f>
        <v>16.477</v>
      </c>
      <c r="T5" s="271">
        <f>+Булмаш!E5</f>
        <v>3.3650762674825176</v>
      </c>
      <c r="U5" s="271">
        <f>+HERON!D5</f>
        <v>0</v>
      </c>
      <c r="V5" s="271">
        <f>+'PPC Гърция'!D5</f>
        <v>1500</v>
      </c>
      <c r="W5" s="271">
        <f>+'МЕТ ВИТОЛ ДХТ'!D5+'МЕТ ВИТОЛ ДХТ'!J5+'МЕТ ВИТОЛ ДХТ'!P5+'МЕТ ВИТОЛ ДХТ'!V5+'МЕТ ВИТОЛ ДХТ'!AB5+'МЕТ ВИТОЛ ДХТ'!AH5+'МЕТ ВИТОЛ ДХТ'!AN5+'МЕТ ВИТОЛ ДХТ'!AT5</f>
        <v>3950</v>
      </c>
      <c r="X5" s="271">
        <f>+Цени!Y4</f>
        <v>0</v>
      </c>
      <c r="Y5" s="272">
        <f>Перник!G5</f>
        <v>0</v>
      </c>
      <c r="Z5" s="273">
        <f>'Борса и балансиране'!F5</f>
        <v>500</v>
      </c>
      <c r="AA5" s="269">
        <f>IF(AK5-SUM(G5:Z5,Плевен!K5,Плевен!L5,Бургас!H5,'Враца 1'!H5,'Враца 2'!H5)&gt;=0,AK5-SUM(G5:Z5,Плевен!K5,Плевен!L5,Бургас!H5,'Враца 1'!H5,'Враца 2'!H5),IF(AK5-SUM(G5:Z5,Плевен!K5,Плевен!L5,Бургас!H5,'Враца 1'!H5,'Враца 2'!H5)&lt;=0,0))</f>
        <v>0</v>
      </c>
      <c r="AB5" s="272">
        <f>IF(AK5-SUM(G5:Z5,Плевен!K5,Плевен!L5,Бургас!H5,'Враца 1'!H5,'Враца 2'!H5)&lt;=0,AK5-SUM(G5:Z5,Плевен!K5,Плевен!L5,Бургас!H5,'Враца 1'!H5,'Враца 2'!H5),IF(AK5-SUM(G5:Z5,Плевен!K5,Плевен!L5,Бургас!H5,'Враца 1'!H5,'Враца 2'!H5)&gt;=0,0))</f>
        <v>0</v>
      </c>
      <c r="AD5" s="278">
        <f>+Цени!L4+Цени!M4+Цени!N4+Цени!O4+Цени!P4</f>
        <v>0</v>
      </c>
      <c r="AE5" s="278">
        <f>+Цени!C4</f>
        <v>14.516</v>
      </c>
      <c r="AF5" s="278">
        <f>+Цени!R4</f>
        <v>0</v>
      </c>
      <c r="AG5" s="278">
        <f>+Цени!Q4</f>
        <v>0</v>
      </c>
      <c r="AH5" s="278">
        <f>+Цени!D4</f>
        <v>4845.5870000000004</v>
      </c>
      <c r="AI5" s="599">
        <f>+Цени!S4</f>
        <v>0</v>
      </c>
      <c r="AJ5" s="279">
        <f>'Борса и балансиране'!C5</f>
        <v>1500</v>
      </c>
      <c r="AK5" s="280">
        <f t="shared" ref="AK5:AK32" si="10">SUM(AD5:AJ5)</f>
        <v>6360.1030000000001</v>
      </c>
      <c r="AM5" s="281">
        <f>SUM(Плевен!K5+Бургас!H5+'Враца 1'!H5+'Враца 2'!H5+Русе!G5+'Велико Търново'!E5)*(Цени!V4+Цени!$L$58)+Перник!G5*(Цени!$T$42-Цени!U4+Цени!$L$58)+Плевен!L5*(Цени!$T$43-Цени!U4+Цени!$L$58)+Плевен!R5+Бургас!O5+'Враца 1'!N5+'Враца 2'!N5+Перник!N5+Русе!M5+'Велико Търново'!J5+Димитровград!J5+ЛКМК!L5+Булмаш!L5+'Борса и балансиране'!H5-'Борса и балансиране'!E5+'Борса и балансиране'!N5+'Борса и балансиране'!O5-('Борса и балансиране'!J5+'Борса и балансиране'!K5-'Борса и балансиране'!C5+'Борса и балансиране'!F5)*Цени!U4+Димитровград!E5*(Цени!$T$44-Цени!U4+Цени!$L$58)+(Алуком!E5+'Русе Кемикълс'!E5+'Доминекс про'!E5+Берус!E5+'Бултекс 1'!E5)*(Цени!$T$46-Цени!U4)+(Илинден!E5+'Ваптех АМ'!E5)*(Цени!$T$46-Цени!U4)+ЛКМК!E5*(Цени!$T$45-Цени!U4+Цени!$L$58)+РВД!E5*(Цени!$T$47-Цени!U4)+(Булмаш!E5)*(Цени!$T$45-Цени!U4+Цени!$L$58)+(Труд!E5)*(Цени!$T$46-Цени!U4)+HERON!D5*(HERON!E5-Цени!U4)+'PPC Гърция'!D5*('PPC Гърция'!E5-Цени!U4)+'МЕТ ВИТОЛ ДХТ'!D5*('МЕТ ВИТОЛ ДХТ'!E5-Цени!U4)+'МЕТ ВИТОЛ ДХТ'!J5*('МЕТ ВИТОЛ ДХТ'!K5-Цени!U4)+'МЕТ ВИТОЛ ДХТ'!P5*('МЕТ ВИТОЛ ДХТ'!Q5-Цени!U4)+'МЕТ ВИТОЛ ДХТ'!V5*('МЕТ ВИТОЛ ДХТ'!W5-Цени!U4)+'МЕТ ВИТОЛ ДХТ'!AB5*('МЕТ ВИТОЛ ДХТ'!AC5-Цени!U4)+'МЕТ ВИТОЛ ДХТ'!AH5*('МЕТ ВИТОЛ ДХТ'!AI5-Цени!U4)+'МЕТ ВИТОЛ ДХТ'!AN5*('МЕТ ВИТОЛ ДХТ'!AO5-Цени!U4)+'МЕТ ВИТОЛ ДХТ'!AT5*('МЕТ ВИТОЛ ДХТ'!AU5-Цени!U4)</f>
        <v>44292.578996499949</v>
      </c>
      <c r="AN5" s="282">
        <v>3890.9</v>
      </c>
      <c r="AO5" s="283">
        <f>AM5-AN5+Перник!T16</f>
        <v>40401.678996499948</v>
      </c>
      <c r="AP5" s="284">
        <v>0</v>
      </c>
      <c r="AQ5" s="285">
        <f>AO5++AP5</f>
        <v>40401.678996499948</v>
      </c>
      <c r="AS5" s="265">
        <f>+AS4+1</f>
        <v>45628</v>
      </c>
      <c r="AT5" s="289">
        <f>+AT4</f>
        <v>75.89</v>
      </c>
      <c r="AU5" s="289">
        <f t="shared" ref="AU5:AU32" si="11">+AZ5</f>
        <v>78.527312584403106</v>
      </c>
      <c r="AV5" s="268">
        <f>47.275*1.95583</f>
        <v>92.461863249999993</v>
      </c>
      <c r="AW5" s="289">
        <f t="shared" ref="AW5:AW30" si="12">+AU5-AV5</f>
        <v>-13.934550665596888</v>
      </c>
      <c r="AY5" s="265">
        <f>+AY4+1</f>
        <v>45628</v>
      </c>
      <c r="AZ5" s="290">
        <f>+'ОБЩО NEW за печат'!BP5</f>
        <v>78.527312584403106</v>
      </c>
      <c r="BA5" s="290">
        <f>+'ОБЩО NEW за печат'!BQ5</f>
        <v>85.270236530760613</v>
      </c>
      <c r="BB5" s="290">
        <f>+(Цени!Z4*Цени!W4+'Борса и балансиране'!G5+'Борса и балансиране'!Q5*-1)/(Цени!Z4+'Борса и балансиране'!E5+'Борса и балансиране'!M5*-1)</f>
        <v>6.6627908961327056E-4</v>
      </c>
      <c r="BD5" s="265">
        <f>+BD4+1</f>
        <v>45628</v>
      </c>
      <c r="BE5" s="291">
        <f>+BE4+Цени!Y4-Цени!D4</f>
        <v>494809.33300000062</v>
      </c>
      <c r="BF5" s="289">
        <f t="shared" ref="BF5" si="13">+BG5/BE5</f>
        <v>102.6448870713515</v>
      </c>
      <c r="BG5" s="289">
        <f>+BG4+Цени!AA4-Цени!D4*Цени!$Z$1</f>
        <v>50789648.107635826</v>
      </c>
      <c r="BI5" s="265">
        <f>+BI4+1</f>
        <v>45628</v>
      </c>
      <c r="BJ5" s="321">
        <v>9359727.9399999995</v>
      </c>
      <c r="BK5" s="321">
        <v>2132214.83</v>
      </c>
      <c r="BL5" s="321">
        <v>638448.84999999974</v>
      </c>
      <c r="BM5" s="321">
        <v>391852.94000000018</v>
      </c>
      <c r="BN5" s="321">
        <v>2184342</v>
      </c>
      <c r="BO5" s="321">
        <v>1418882.8399999999</v>
      </c>
      <c r="BP5" s="321">
        <v>165498.18999999997</v>
      </c>
      <c r="BQ5" s="321">
        <v>0</v>
      </c>
      <c r="BR5" s="294">
        <f>SUM(BJ5:BQ5)</f>
        <v>16290967.589999998</v>
      </c>
      <c r="BT5" s="265">
        <f>+BT4+1</f>
        <v>45628</v>
      </c>
      <c r="BU5" s="293">
        <f t="shared" ref="BU5:BU31" si="14">+CF5-BJ5</f>
        <v>2597045.7600000016</v>
      </c>
      <c r="BV5" s="293">
        <f t="shared" si="3"/>
        <v>0</v>
      </c>
      <c r="BW5" s="293">
        <f t="shared" ref="BW5:BW31" si="15">+CH5-BL5</f>
        <v>0</v>
      </c>
      <c r="BX5" s="293">
        <f t="shared" ref="BX5:BX31" si="16">+CI5-BM5</f>
        <v>0</v>
      </c>
      <c r="BY5" s="293">
        <f t="shared" ref="BY5:BZ31" si="17">+CJ5-BN5</f>
        <v>25079241.090000004</v>
      </c>
      <c r="BZ5" s="293">
        <f t="shared" si="17"/>
        <v>0</v>
      </c>
      <c r="CA5" s="293">
        <f t="shared" ref="CA5:CA31" si="18">+CL5-BP5</f>
        <v>0</v>
      </c>
      <c r="CB5" s="293">
        <f t="shared" ref="CB5:CB31" si="19">+CM5-BQ5</f>
        <v>3567553.1529600001</v>
      </c>
      <c r="CC5" s="294">
        <f t="shared" si="9"/>
        <v>31243840.002960004</v>
      </c>
      <c r="CE5" s="265">
        <f>+CE4+1</f>
        <v>45628</v>
      </c>
      <c r="CF5" s="321">
        <v>11956773.700000001</v>
      </c>
      <c r="CG5" s="321">
        <v>2132214.83</v>
      </c>
      <c r="CH5" s="321">
        <v>638448.84999999974</v>
      </c>
      <c r="CI5" s="321">
        <v>391852.94000000018</v>
      </c>
      <c r="CJ5" s="321">
        <v>27263583.090000004</v>
      </c>
      <c r="CK5" s="321">
        <v>1418882.8399999999</v>
      </c>
      <c r="CL5" s="321">
        <v>165498.18999999997</v>
      </c>
      <c r="CM5" s="321">
        <v>3567553.1529600001</v>
      </c>
      <c r="CN5" s="294">
        <f t="shared" ref="CN5:CN17" si="20">SUM(CF5:CM5)</f>
        <v>47534807.59296</v>
      </c>
    </row>
    <row r="6" spans="2:93" x14ac:dyDescent="0.25">
      <c r="B6" s="47">
        <f t="shared" ref="B6:B34" si="21">+B5+1</f>
        <v>45629</v>
      </c>
      <c r="C6" s="269">
        <f>+Плевен!K6+Плевен!L6</f>
        <v>16.135000000000002</v>
      </c>
      <c r="D6" s="270">
        <f>Бургас!H6</f>
        <v>30.446999999999889</v>
      </c>
      <c r="E6" s="270">
        <f>'Враца 1'!H6</f>
        <v>24.789999999999964</v>
      </c>
      <c r="F6" s="270">
        <f>'Враца 2'!H6</f>
        <v>79.172000000000025</v>
      </c>
      <c r="G6" s="271">
        <f>Русе!G6</f>
        <v>441.92700000000002</v>
      </c>
      <c r="H6" s="271">
        <f>+'Русе Кемикълс'!E6</f>
        <v>2.863</v>
      </c>
      <c r="I6" s="271">
        <f>+ЛКМК!E6</f>
        <v>3.6505348258706469</v>
      </c>
      <c r="J6" s="271">
        <f>+'Доминекс про'!E6</f>
        <v>23.827999999999999</v>
      </c>
      <c r="K6" s="271">
        <f>+Труд!E6</f>
        <v>27.05</v>
      </c>
      <c r="L6" s="271">
        <f>+'Велико Търново'!E6</f>
        <v>0</v>
      </c>
      <c r="M6" s="271">
        <f>+Берус!E6</f>
        <v>0.36899999999999999</v>
      </c>
      <c r="N6" s="271">
        <f>+'Бултекс 1'!E6</f>
        <v>2.2610000000000001</v>
      </c>
      <c r="O6" s="271">
        <f>+Алуком!E6</f>
        <v>3.2370000000000001</v>
      </c>
      <c r="P6" s="271">
        <f>+Илинден!E6</f>
        <v>0</v>
      </c>
      <c r="Q6" s="271">
        <f>+'Ваптех АМ'!E6</f>
        <v>15.896000000000001</v>
      </c>
      <c r="R6" s="271">
        <f>+РВД!E6</f>
        <v>26.585999999999999</v>
      </c>
      <c r="S6" s="271">
        <f>+Димитровград!E6</f>
        <v>0</v>
      </c>
      <c r="T6" s="271">
        <f>+Булмаш!E6</f>
        <v>2.7894651741293535</v>
      </c>
      <c r="U6" s="271">
        <f>+HERON!D6</f>
        <v>0</v>
      </c>
      <c r="V6" s="271">
        <f>+'PPC Гърция'!D6</f>
        <v>1500</v>
      </c>
      <c r="W6" s="271">
        <f>+'МЕТ ВИТОЛ ДХТ'!D6+'МЕТ ВИТОЛ ДХТ'!J6+'МЕТ ВИТОЛ ДХТ'!P6+'МЕТ ВИТОЛ ДХТ'!V6+'МЕТ ВИТОЛ ДХТ'!AB6+'МЕТ ВИТОЛ ДХТ'!AH6+'МЕТ ВИТОЛ ДХТ'!AN6+'МЕТ ВИТОЛ ДХТ'!AT6</f>
        <v>3950</v>
      </c>
      <c r="X6" s="271">
        <f>+Цени!Y5</f>
        <v>0</v>
      </c>
      <c r="Y6" s="272">
        <f>Перник!G6</f>
        <v>0</v>
      </c>
      <c r="Z6" s="273">
        <f>'Борса и балансиране'!F6</f>
        <v>200</v>
      </c>
      <c r="AA6" s="269">
        <f>IF(AK6-SUM(G6:Z6,Плевен!K6,Плевен!L6,Бургас!H6,'Враца 1'!H6,'Враца 2'!H6)&gt;=0,AK6-SUM(G6:Z6,Плевен!K6,Плевен!L6,Бургас!H6,'Враца 1'!H6,'Враца 2'!H6),IF(AK6-SUM(G6:Z6,Плевен!K6,Плевен!L6,Бургас!H6,'Враца 1'!H6,'Враца 2'!H6)&lt;=0,0))</f>
        <v>9.1019999999998618</v>
      </c>
      <c r="AB6" s="272">
        <f>IF(AK6-SUM(G6:Z6,Плевен!K6,Плевен!L6,Бургас!H6,'Враца 1'!H6,'Враца 2'!H6)&lt;=0,AK6-SUM(G6:Z6,Плевен!K6,Плевен!L6,Бургас!H6,'Враца 1'!H6,'Враца 2'!H6),IF(AK6-SUM(G6:Z6,Плевен!K6,Плевен!L6,Бургас!H6,'Враца 1'!H6,'Враца 2'!H6)&gt;=0,0))</f>
        <v>0</v>
      </c>
      <c r="AD6" s="278">
        <f>+Цени!L5+Цени!M5+Цени!N5+Цени!O5+Цени!P5</f>
        <v>0</v>
      </c>
      <c r="AE6" s="278">
        <f>+Цени!C5</f>
        <v>14.516</v>
      </c>
      <c r="AF6" s="278">
        <f>+Цени!R5</f>
        <v>0</v>
      </c>
      <c r="AG6" s="278">
        <f>+Цени!Q5</f>
        <v>0</v>
      </c>
      <c r="AH6" s="278">
        <f>+Цени!D5</f>
        <v>5345.5870000000004</v>
      </c>
      <c r="AI6" s="599">
        <f>+Цени!S5</f>
        <v>0</v>
      </c>
      <c r="AJ6" s="279">
        <f>'Борса и балансиране'!C6</f>
        <v>1000</v>
      </c>
      <c r="AK6" s="280">
        <f t="shared" si="10"/>
        <v>6360.1030000000001</v>
      </c>
      <c r="AM6" s="281">
        <f>SUM(Плевен!K6+Бургас!H6+'Враца 1'!H6+'Враца 2'!H6+Русе!G6+'Велико Търново'!E6)*(Цени!V5+Цени!$L$58)+Перник!G6*(Цени!$T$42-Цени!U5+Цени!$L$58)+Плевен!L6*(Цени!$T$43-Цени!U5+Цени!$L$58)+Плевен!R6+Бургас!O6+'Враца 1'!N6+'Враца 2'!N6+Перник!N6+Русе!M6+'Велико Търново'!J6+Димитровград!J6+ЛКМК!L6+Булмаш!L6+'Борса и балансиране'!H6-'Борса и балансиране'!E6+'Борса и балансиране'!N6+'Борса и балансиране'!O6-('Борса и балансиране'!J6+'Борса и балансиране'!K6-'Борса и балансиране'!C6+'Борса и балансиране'!F6)*Цени!U5+Димитровград!E6*(Цени!$T$44-Цени!U5+Цени!$L$58)+(Алуком!E6+'Русе Кемикълс'!E6+'Доминекс про'!E6+Берус!E6+'Бултекс 1'!E6)*(Цени!$T$46-Цени!U5)+(Илинден!E6+'Ваптех АМ'!E6)*(Цени!$T$46-Цени!U5)+ЛКМК!E6*(Цени!$T$45-Цени!U5+Цени!$L$58)+РВД!E6*(Цени!$T$47-Цени!U5)+(Булмаш!E6)*(Цени!$T$45-Цени!U5+Цени!$L$58)+(Труд!E6)*(Цени!$T$46-Цени!U5)+HERON!D6*(HERON!E6-Цени!U5)+'PPC Гърция'!D6*('PPC Гърция'!E6-Цени!U5)+'МЕТ ВИТОЛ ДХТ'!D6*('МЕТ ВИТОЛ ДХТ'!E6-Цени!U5)+'МЕТ ВИТОЛ ДХТ'!J6*('МЕТ ВИТОЛ ДХТ'!K6-Цени!U5)+'МЕТ ВИТОЛ ДХТ'!P6*('МЕТ ВИТОЛ ДХТ'!Q6-Цени!U5)+'МЕТ ВИТОЛ ДХТ'!V6*('МЕТ ВИТОЛ ДХТ'!W6-Цени!U5)+'МЕТ ВИТОЛ ДХТ'!AB6*('МЕТ ВИТОЛ ДХТ'!AC6-Цени!U5)+'МЕТ ВИТОЛ ДХТ'!AH6*('МЕТ ВИТОЛ ДХТ'!AI6-Цени!U5)+'МЕТ ВИТОЛ ДХТ'!AN6*('МЕТ ВИТОЛ ДХТ'!AO6-Цени!U5)+'МЕТ ВИТОЛ ДХТ'!AT6*('МЕТ ВИТОЛ ДХТ'!AU6-Цени!U5)</f>
        <v>48997.591628499969</v>
      </c>
      <c r="AN6" s="282">
        <v>3890.9</v>
      </c>
      <c r="AO6" s="283">
        <f>AM6-AN6+Перник!T17</f>
        <v>45106.691628499968</v>
      </c>
      <c r="AP6" s="284">
        <v>0</v>
      </c>
      <c r="AQ6" s="285">
        <f t="shared" ref="AQ6:AQ30" si="22">AO6++AP6</f>
        <v>45106.691628499968</v>
      </c>
      <c r="AS6" s="265">
        <f t="shared" ref="AS6:AS34" si="23">+AS5+1</f>
        <v>45629</v>
      </c>
      <c r="AT6" s="289">
        <f t="shared" ref="AT6:AT34" si="24">+AT5</f>
        <v>75.89</v>
      </c>
      <c r="AU6" s="289">
        <f t="shared" si="11"/>
        <v>77.485662787222154</v>
      </c>
      <c r="AV6" s="268">
        <f>47.9*1.95583</f>
        <v>93.684256999999988</v>
      </c>
      <c r="AW6" s="289">
        <f t="shared" si="12"/>
        <v>-16.198594212777834</v>
      </c>
      <c r="AY6" s="265">
        <f t="shared" ref="AY6:AY34" si="25">+AY5+1</f>
        <v>45629</v>
      </c>
      <c r="AZ6" s="290">
        <f>+'ОБЩО NEW за печат'!BP6</f>
        <v>77.485662787222154</v>
      </c>
      <c r="BA6" s="290">
        <f>+'ОБЩО NEW за печат'!BQ6</f>
        <v>84.676029128773564</v>
      </c>
      <c r="BB6" s="290">
        <f>+(Цени!Z5*Цени!W5+'Борса и балансиране'!G6+'Борса и балансиране'!Q6*-1)/(Цени!Z5+'Борса и балансиране'!E6+'Борса и балансиране'!M6*-1)</f>
        <v>1.0699846059997421E-3</v>
      </c>
      <c r="BD6" s="265">
        <f t="shared" ref="BD6:BD34" si="26">+BD5+1</f>
        <v>45629</v>
      </c>
      <c r="BE6" s="291">
        <f>+BE5+Цени!Y5-Цени!D5</f>
        <v>489463.74600000062</v>
      </c>
      <c r="BF6" s="289">
        <f t="shared" ref="BF6" si="27">+BG6/BE6</f>
        <v>102.6448870713515</v>
      </c>
      <c r="BG6" s="289">
        <f>+BG5+Цени!AA5-Цени!D5*Цени!$Z$1</f>
        <v>50240950.933690742</v>
      </c>
      <c r="BI6" s="265">
        <f t="shared" ref="BI6:BI34" si="28">+BI5+1</f>
        <v>45629</v>
      </c>
      <c r="BJ6" s="321">
        <v>9359727.9399999995</v>
      </c>
      <c r="BK6" s="321">
        <v>2132214.83</v>
      </c>
      <c r="BL6" s="321">
        <v>638448.84999999974</v>
      </c>
      <c r="BM6" s="321">
        <v>391852.94000000018</v>
      </c>
      <c r="BN6" s="321">
        <v>2184342</v>
      </c>
      <c r="BO6" s="321">
        <v>0</v>
      </c>
      <c r="BP6" s="321">
        <v>169893.66</v>
      </c>
      <c r="BQ6" s="321">
        <v>0</v>
      </c>
      <c r="BR6" s="294">
        <f>SUM(BJ6:BQ6)</f>
        <v>14876480.219999999</v>
      </c>
      <c r="BT6" s="265">
        <f t="shared" ref="BT6:BT34" si="29">+BT5+1</f>
        <v>45629</v>
      </c>
      <c r="BU6" s="293">
        <f t="shared" si="14"/>
        <v>2597045.7600000016</v>
      </c>
      <c r="BV6" s="293">
        <f t="shared" si="3"/>
        <v>0</v>
      </c>
      <c r="BW6" s="293">
        <f t="shared" si="15"/>
        <v>0</v>
      </c>
      <c r="BX6" s="293">
        <f t="shared" si="16"/>
        <v>0</v>
      </c>
      <c r="BY6" s="293">
        <f t="shared" si="17"/>
        <v>25079241.090000004</v>
      </c>
      <c r="BZ6" s="293">
        <f t="shared" si="17"/>
        <v>0</v>
      </c>
      <c r="CA6" s="293">
        <f t="shared" si="18"/>
        <v>0</v>
      </c>
      <c r="CB6" s="293">
        <f t="shared" si="19"/>
        <v>3567553.1529600001</v>
      </c>
      <c r="CC6" s="294">
        <f t="shared" si="9"/>
        <v>31243840.002960004</v>
      </c>
      <c r="CE6" s="265">
        <f t="shared" ref="CE6:CE34" si="30">+CE5+1</f>
        <v>45629</v>
      </c>
      <c r="CF6" s="321">
        <v>11956773.700000001</v>
      </c>
      <c r="CG6" s="321">
        <v>2132214.83</v>
      </c>
      <c r="CH6" s="321">
        <v>638448.84999999974</v>
      </c>
      <c r="CI6" s="321">
        <v>391852.94000000018</v>
      </c>
      <c r="CJ6" s="321">
        <v>27263583.090000004</v>
      </c>
      <c r="CK6" s="321">
        <v>0</v>
      </c>
      <c r="CL6" s="321">
        <v>169893.66</v>
      </c>
      <c r="CM6" s="321">
        <v>3567553.1529600001</v>
      </c>
      <c r="CN6" s="294">
        <f t="shared" si="20"/>
        <v>46120320.222960003</v>
      </c>
    </row>
    <row r="7" spans="2:93" x14ac:dyDescent="0.25">
      <c r="B7" s="47">
        <f t="shared" si="21"/>
        <v>45630</v>
      </c>
      <c r="C7" s="269">
        <f>+Плевен!K7+Плевен!L7</f>
        <v>0</v>
      </c>
      <c r="D7" s="270">
        <f>Бургас!H7</f>
        <v>91.610999999999876</v>
      </c>
      <c r="E7" s="270">
        <f>'Враца 1'!H7</f>
        <v>22.031999999999982</v>
      </c>
      <c r="F7" s="270">
        <f>'Враца 2'!H7</f>
        <v>32.598000000000013</v>
      </c>
      <c r="G7" s="271">
        <f>Русе!G7</f>
        <v>39.225999999999999</v>
      </c>
      <c r="H7" s="271">
        <f>+'Русе Кемикълс'!E7</f>
        <v>3.0550000000000002</v>
      </c>
      <c r="I7" s="271">
        <f>+ЛКМК!E7</f>
        <v>5.2592504977163603</v>
      </c>
      <c r="J7" s="271">
        <f>+'Доминекс про'!E7</f>
        <v>24.35</v>
      </c>
      <c r="K7" s="271">
        <f>+Труд!E7</f>
        <v>27.564</v>
      </c>
      <c r="L7" s="271">
        <f>+'Велико Търново'!E7</f>
        <v>1.0860000000000127</v>
      </c>
      <c r="M7" s="271">
        <f>+Берус!E7</f>
        <v>0.36</v>
      </c>
      <c r="N7" s="271">
        <f>+'Бултекс 1'!E7</f>
        <v>2.2210000000000001</v>
      </c>
      <c r="O7" s="271">
        <f>+Алуком!E7</f>
        <v>2.3980000000000001</v>
      </c>
      <c r="P7" s="271">
        <f>+Илинден!E7</f>
        <v>0</v>
      </c>
      <c r="Q7" s="271">
        <f>+'Ваптех АМ'!E7</f>
        <v>12.507999999999999</v>
      </c>
      <c r="R7" s="271">
        <f>+РВД!E7</f>
        <v>26.393000000000001</v>
      </c>
      <c r="S7" s="271">
        <f>+Димитровград!E7</f>
        <v>15.874000000000001</v>
      </c>
      <c r="T7" s="271">
        <f>+Булмаш!E7</f>
        <v>3.3687495022836398</v>
      </c>
      <c r="U7" s="271">
        <f>+HERON!D7</f>
        <v>0</v>
      </c>
      <c r="V7" s="271">
        <f>+'PPC Гърция'!D7</f>
        <v>1500</v>
      </c>
      <c r="W7" s="271">
        <f>+'МЕТ ВИТОЛ ДХТ'!D7+'МЕТ ВИТОЛ ДХТ'!J7+'МЕТ ВИТОЛ ДХТ'!P7+'МЕТ ВИТОЛ ДХТ'!V7+'МЕТ ВИТОЛ ДХТ'!AB7+'МЕТ ВИТОЛ ДХТ'!AH7+'МЕТ ВИТОЛ ДХТ'!AN7+'МЕТ ВИТОЛ ДХТ'!AT7</f>
        <v>3950</v>
      </c>
      <c r="X7" s="271">
        <f>+Цени!Y6</f>
        <v>0</v>
      </c>
      <c r="Y7" s="272">
        <f>Перник!G7</f>
        <v>0</v>
      </c>
      <c r="Z7" s="273">
        <f>'Борса и балансиране'!F7</f>
        <v>100</v>
      </c>
      <c r="AA7" s="269">
        <f>IF(AK7-SUM(G7:Z7,Плевен!K7,Плевен!L7,Бургас!H7,'Враца 1'!H7,'Враца 2'!H7)&gt;=0,AK7-SUM(G7:Z7,Плевен!K7,Плевен!L7,Бургас!H7,'Враца 1'!H7,'Враца 2'!H7),IF(AK7-SUM(G7:Z7,Плевен!K7,Плевен!L7,Бургас!H7,'Враца 1'!H7,'Враца 2'!H7)&lt;=0,0))</f>
        <v>0.19899999999961437</v>
      </c>
      <c r="AB7" s="272">
        <f>IF(AK7-SUM(G7:Z7,Плевен!K7,Плевен!L7,Бургас!H7,'Враца 1'!H7,'Враца 2'!H7)&lt;=0,AK7-SUM(G7:Z7,Плевен!K7,Плевен!L7,Бургас!H7,'Враца 1'!H7,'Враца 2'!H7),IF(AK7-SUM(G7:Z7,Плевен!K7,Плевен!L7,Бургас!H7,'Враца 1'!H7,'Враца 2'!H7)&gt;=0,0))</f>
        <v>0</v>
      </c>
      <c r="AD7" s="278">
        <f>+Цени!L6+Цени!M6+Цени!N6+Цени!O6+Цени!P6</f>
        <v>0</v>
      </c>
      <c r="AE7" s="278">
        <f>+Цени!C6</f>
        <v>14.516</v>
      </c>
      <c r="AF7" s="278">
        <f>+Цени!R6</f>
        <v>0</v>
      </c>
      <c r="AG7" s="278">
        <f>+Цени!Q6</f>
        <v>0</v>
      </c>
      <c r="AH7" s="278">
        <f>+Цени!D6</f>
        <v>4845.5870000000004</v>
      </c>
      <c r="AI7" s="599">
        <f>+Цени!S6</f>
        <v>0</v>
      </c>
      <c r="AJ7" s="279">
        <f>'Борса и балансиране'!C7</f>
        <v>1000</v>
      </c>
      <c r="AK7" s="280">
        <f t="shared" si="10"/>
        <v>5860.1030000000001</v>
      </c>
      <c r="AM7" s="281">
        <f>SUM(Плевен!K7+Бургас!H7+'Враца 1'!H7+'Враца 2'!H7+Русе!G7+'Велико Търново'!E7)*(Цени!V6+Цени!$L$58)+Перник!G7*(Цени!$T$42-Цени!U6+Цени!$L$58)+Плевен!L7*(Цени!$T$43-Цени!U6+Цени!$L$58)+Плевен!R7+Бургас!O7+'Враца 1'!N7+'Враца 2'!N7+Перник!N7+Русе!M7+'Велико Търново'!J7+Димитровград!J7+ЛКМК!L7+Булмаш!L7+'Борса и балансиране'!H7-'Борса и балансиране'!E7+'Борса и балансиране'!N7+'Борса и балансиране'!O7-('Борса и балансиране'!J7+'Борса и балансиране'!K7-'Борса и балансиране'!C7+'Борса и балансиране'!F7)*Цени!U6+Димитровград!E7*(Цени!$T$44-Цени!U6+Цени!$L$58)+(Алуком!E7+'Русе Кемикълс'!E7+'Доминекс про'!E7+Берус!E7+'Бултекс 1'!E7)*(Цени!$T$46-Цени!U6)+(Илинден!E7+'Ваптех АМ'!E7)*(Цени!$T$46-Цени!U6)+ЛКМК!E7*(Цени!$T$45-Цени!U6+Цени!$L$58)+РВД!E7*(Цени!$T$47-Цени!U6)+(Булмаш!E7)*(Цени!$T$45-Цени!U6+Цени!$L$58)+(Труд!E7)*(Цени!$T$46-Цени!U6)+HERON!D7*(HERON!E7-Цени!U6)+'PPC Гърция'!D7*('PPC Гърция'!E7-Цени!U6)+'МЕТ ВИТОЛ ДХТ'!D7*('МЕТ ВИТОЛ ДХТ'!E7-Цени!U6)+'МЕТ ВИТОЛ ДХТ'!J7*('МЕТ ВИТОЛ ДХТ'!K7-Цени!U6)+'МЕТ ВИТОЛ ДХТ'!P7*('МЕТ ВИТОЛ ДХТ'!Q7-Цени!U6)+'МЕТ ВИТОЛ ДХТ'!V7*('МЕТ ВИТОЛ ДХТ'!W7-Цени!U6)+'МЕТ ВИТОЛ ДХТ'!AB7*('МЕТ ВИТОЛ ДХТ'!AC7-Цени!U6)+'МЕТ ВИТОЛ ДХТ'!AH7*('МЕТ ВИТОЛ ДХТ'!AI7-Цени!U6)+'МЕТ ВИТОЛ ДХТ'!AN7*('МЕТ ВИТОЛ ДХТ'!AO7-Цени!U6)+'МЕТ ВИТОЛ ДХТ'!AT7*('МЕТ ВИТОЛ ДХТ'!AU7-Цени!U6)</f>
        <v>46292.221632500004</v>
      </c>
      <c r="AN7" s="282">
        <v>3890.9</v>
      </c>
      <c r="AO7" s="283">
        <f>AM7-AN7+Перник!T18</f>
        <v>42401.321632500003</v>
      </c>
      <c r="AP7" s="284">
        <v>0</v>
      </c>
      <c r="AQ7" s="285">
        <f t="shared" si="22"/>
        <v>42401.321632500003</v>
      </c>
      <c r="AS7" s="265">
        <f t="shared" si="23"/>
        <v>45630</v>
      </c>
      <c r="AT7" s="289">
        <f t="shared" si="24"/>
        <v>75.89</v>
      </c>
      <c r="AU7" s="289">
        <f t="shared" si="11"/>
        <v>77.943475797268405</v>
      </c>
      <c r="AV7" s="268">
        <f>47.15*1.95583</f>
        <v>92.217384499999994</v>
      </c>
      <c r="AW7" s="289">
        <f t="shared" si="12"/>
        <v>-14.273908702731589</v>
      </c>
      <c r="AY7" s="265">
        <f t="shared" si="25"/>
        <v>45630</v>
      </c>
      <c r="AZ7" s="290">
        <f>+'ОБЩО NEW за печат'!BP7</f>
        <v>77.943475797268405</v>
      </c>
      <c r="BA7" s="290">
        <f>+'ОБЩО NEW за печат'!BQ7</f>
        <v>85.630627526512768</v>
      </c>
      <c r="BB7" s="289">
        <f t="shared" ref="BB7:BB30" si="31">+BA7-AZ7</f>
        <v>7.6871517292443627</v>
      </c>
      <c r="BD7" s="265">
        <f t="shared" si="26"/>
        <v>45630</v>
      </c>
      <c r="BE7" s="291">
        <f>+BE6+Цени!Y6-Цени!D6</f>
        <v>484618.15900000063</v>
      </c>
      <c r="BF7" s="289">
        <f t="shared" ref="BF7" si="32">+BG7/BE7</f>
        <v>102.6448870713515</v>
      </c>
      <c r="BG7" s="289">
        <f>+BG6+Цени!AA6-Цени!D6*Цени!$Z$1</f>
        <v>49743576.203281336</v>
      </c>
      <c r="BI7" s="265">
        <f t="shared" si="28"/>
        <v>45630</v>
      </c>
      <c r="BJ7" s="321">
        <v>9359727.9399999995</v>
      </c>
      <c r="BK7" s="321">
        <v>2132214.83</v>
      </c>
      <c r="BL7" s="321">
        <v>188448.84999999974</v>
      </c>
      <c r="BM7" s="321">
        <v>391852.94000000018</v>
      </c>
      <c r="BN7" s="321">
        <v>2184342</v>
      </c>
      <c r="BO7" s="321">
        <v>0</v>
      </c>
      <c r="BP7" s="321">
        <v>210429.50999999998</v>
      </c>
      <c r="BQ7" s="321">
        <v>0</v>
      </c>
      <c r="BR7" s="294">
        <f t="shared" ref="BR7:BR17" si="33">SUM(BJ7:BQ7)</f>
        <v>14467016.069999998</v>
      </c>
      <c r="BT7" s="265">
        <f t="shared" si="29"/>
        <v>45630</v>
      </c>
      <c r="BU7" s="293">
        <f t="shared" si="14"/>
        <v>2597045.7600000016</v>
      </c>
      <c r="BV7" s="293">
        <f t="shared" si="3"/>
        <v>0</v>
      </c>
      <c r="BW7" s="293">
        <f t="shared" si="15"/>
        <v>0</v>
      </c>
      <c r="BX7" s="293">
        <f t="shared" si="16"/>
        <v>0</v>
      </c>
      <c r="BY7" s="293">
        <f t="shared" si="17"/>
        <v>25079241.090000004</v>
      </c>
      <c r="BZ7" s="293">
        <f t="shared" si="17"/>
        <v>0</v>
      </c>
      <c r="CA7" s="293">
        <f t="shared" si="18"/>
        <v>0</v>
      </c>
      <c r="CB7" s="293">
        <f t="shared" si="19"/>
        <v>3567553.1529600001</v>
      </c>
      <c r="CC7" s="294">
        <f t="shared" si="9"/>
        <v>31243840.002960004</v>
      </c>
      <c r="CE7" s="265">
        <f t="shared" si="30"/>
        <v>45630</v>
      </c>
      <c r="CF7" s="321">
        <v>11956773.700000001</v>
      </c>
      <c r="CG7" s="321">
        <v>2132214.83</v>
      </c>
      <c r="CH7" s="321">
        <v>188448.84999999974</v>
      </c>
      <c r="CI7" s="321">
        <v>391852.94000000018</v>
      </c>
      <c r="CJ7" s="321">
        <v>27263583.090000004</v>
      </c>
      <c r="CK7" s="321">
        <v>0</v>
      </c>
      <c r="CL7" s="321">
        <v>210429.50999999998</v>
      </c>
      <c r="CM7" s="321">
        <v>3567553.1529600001</v>
      </c>
      <c r="CN7" s="294">
        <f t="shared" si="20"/>
        <v>45710856.072960004</v>
      </c>
      <c r="CO7" s="23"/>
    </row>
    <row r="8" spans="2:93" x14ac:dyDescent="0.25">
      <c r="B8" s="47">
        <f t="shared" si="21"/>
        <v>45631</v>
      </c>
      <c r="C8" s="269">
        <f>+Плевен!K8+Плевен!L8</f>
        <v>138.29900000000001</v>
      </c>
      <c r="D8" s="270">
        <f>Бургас!H8</f>
        <v>93.548999999999978</v>
      </c>
      <c r="E8" s="270">
        <f>'Враца 1'!H8</f>
        <v>41</v>
      </c>
      <c r="F8" s="270">
        <f>'Враца 2'!H8</f>
        <v>60</v>
      </c>
      <c r="G8" s="271">
        <f>Русе!G8</f>
        <v>0</v>
      </c>
      <c r="H8" s="271">
        <f>+'Русе Кемикълс'!E8</f>
        <v>3.0830000000000002</v>
      </c>
      <c r="I8" s="271">
        <f>+ЛКМК!E8</f>
        <v>4.2704244721169458</v>
      </c>
      <c r="J8" s="271">
        <f>+'Доминекс про'!E8</f>
        <v>23.533000000000001</v>
      </c>
      <c r="K8" s="271">
        <f>+Труд!E8</f>
        <v>29.966000000000001</v>
      </c>
      <c r="L8" s="271">
        <f>+'Велико Търново'!E8</f>
        <v>3</v>
      </c>
      <c r="M8" s="271">
        <f>+Берус!E8</f>
        <v>0.36599999999999999</v>
      </c>
      <c r="N8" s="271">
        <f>+'Бултекс 1'!E8</f>
        <v>2.2559999999999998</v>
      </c>
      <c r="O8" s="271">
        <f>+Алуком!E8</f>
        <v>1.3979999999999999</v>
      </c>
      <c r="P8" s="271">
        <f>+Илинден!E8</f>
        <v>0</v>
      </c>
      <c r="Q8" s="271">
        <f>+'Ваптех АМ'!E8</f>
        <v>10.303000000000001</v>
      </c>
      <c r="R8" s="271">
        <f>+РВД!E8</f>
        <v>26.317</v>
      </c>
      <c r="S8" s="271">
        <f>+Димитровград!E8</f>
        <v>0</v>
      </c>
      <c r="T8" s="271">
        <f>+Булмаш!E8</f>
        <v>3.1565755278830534</v>
      </c>
      <c r="U8" s="271">
        <f>+HERON!D8</f>
        <v>0</v>
      </c>
      <c r="V8" s="271">
        <f>+'PPC Гърция'!D8</f>
        <v>1500</v>
      </c>
      <c r="W8" s="271">
        <f>+'МЕТ ВИТОЛ ДХТ'!D8+'МЕТ ВИТОЛ ДХТ'!J8+'МЕТ ВИТОЛ ДХТ'!P8+'МЕТ ВИТОЛ ДХТ'!V8+'МЕТ ВИТОЛ ДХТ'!AB8+'МЕТ ВИТОЛ ДХТ'!AH8+'МЕТ ВИТОЛ ДХТ'!AN8+'МЕТ ВИТОЛ ДХТ'!AT8</f>
        <v>3950</v>
      </c>
      <c r="X8" s="271">
        <f>+Цени!Y7</f>
        <v>0</v>
      </c>
      <c r="Y8" s="272">
        <f>Перник!G8</f>
        <v>50</v>
      </c>
      <c r="Z8" s="273">
        <f>'Борса и балансиране'!F8</f>
        <v>0</v>
      </c>
      <c r="AA8" s="269">
        <f>IF(AK8-SUM(G8:Z8,Плевен!K8,Плевен!L8,Бургас!H8,'Враца 1'!H8,'Враца 2'!H8)&gt;=0,AK8-SUM(G8:Z8,Плевен!K8,Плевен!L8,Бургас!H8,'Враца 1'!H8,'Враца 2'!H8),IF(AK8-SUM(G8:Z8,Плевен!K8,Плевен!L8,Бургас!H8,'Враца 1'!H8,'Враца 2'!H8)&lt;=0,0))</f>
        <v>19.606000000000677</v>
      </c>
      <c r="AB8" s="272">
        <f>IF(AK8-SUM(G8:Z8,Плевен!K8,Плевен!L8,Бургас!H8,'Враца 1'!H8,'Враца 2'!H8)&lt;=0,AK8-SUM(G8:Z8,Плевен!K8,Плевен!L8,Бургас!H8,'Враца 1'!H8,'Враца 2'!H8),IF(AK8-SUM(G8:Z8,Плевен!K8,Плевен!L8,Бургас!H8,'Враца 1'!H8,'Враца 2'!H8)&gt;=0,0))</f>
        <v>0</v>
      </c>
      <c r="AD8" s="278">
        <f>+Цени!L7+Цени!M7+Цени!N7+Цени!O7+Цени!P7</f>
        <v>0</v>
      </c>
      <c r="AE8" s="278">
        <f>+Цени!C7</f>
        <v>14.516</v>
      </c>
      <c r="AF8" s="278">
        <f>+Цени!R7</f>
        <v>0</v>
      </c>
      <c r="AG8" s="278">
        <f>+Цени!Q7</f>
        <v>0</v>
      </c>
      <c r="AH8" s="278">
        <f>+Цени!D7</f>
        <v>4845.5870000000004</v>
      </c>
      <c r="AI8" s="599">
        <f>+Цени!S7</f>
        <v>0</v>
      </c>
      <c r="AJ8" s="279">
        <f>'Борса и балансиране'!C8</f>
        <v>1100</v>
      </c>
      <c r="AK8" s="280">
        <f t="shared" si="10"/>
        <v>5960.1030000000001</v>
      </c>
      <c r="AM8" s="281">
        <f>SUM(Плевен!K8+Бургас!H8+'Враца 1'!H8+'Враца 2'!H8+Русе!G8+'Велико Търново'!E8)*(Цени!V7+Цени!$L$58)+Перник!G8*(Цени!$T$42-Цени!U7+Цени!$L$58)+Плевен!L8*(Цени!$T$43-Цени!U7+Цени!$L$58)+Плевен!R8+Бургас!O8+'Враца 1'!N8+'Враца 2'!N8+Перник!N8+Русе!M8+'Велико Търново'!J8+Димитровград!J8+ЛКМК!L8+Булмаш!L8+'Борса и балансиране'!H8-'Борса и балансиране'!E8+'Борса и балансиране'!N8+'Борса и балансиране'!O8-('Борса и балансиране'!J8+'Борса и балансиране'!K8-'Борса и балансиране'!C8+'Борса и балансиране'!F8)*Цени!U7+Димитровград!E8*(Цени!$T$44-Цени!U7+Цени!$L$58)+(Алуком!E8+'Русе Кемикълс'!E8+'Доминекс про'!E8+Берус!E8+'Бултекс 1'!E8)*(Цени!$T$46-Цени!U7)+(Илинден!E8+'Ваптех АМ'!E8)*(Цени!$T$46-Цени!U7)+ЛКМК!E8*(Цени!$T$45-Цени!U7+Цени!$L$58)+РВД!E8*(Цени!$T$47-Цени!U7)+(Булмаш!E8)*(Цени!$T$45-Цени!U7+Цени!$L$58)+(Труд!E8)*(Цени!$T$46-Цени!U7)+HERON!D8*(HERON!E8-Цени!U7)+'PPC Гърция'!D8*('PPC Гърция'!E8-Цени!U7)+'МЕТ ВИТОЛ ДХТ'!D8*('МЕТ ВИТОЛ ДХТ'!E8-Цени!U7)+'МЕТ ВИТОЛ ДХТ'!J8*('МЕТ ВИТОЛ ДХТ'!K8-Цени!U7)+'МЕТ ВИТОЛ ДХТ'!P8*('МЕТ ВИТОЛ ДХТ'!Q8-Цени!U7)+'МЕТ ВИТОЛ ДХТ'!V8*('МЕТ ВИТОЛ ДХТ'!W8-Цени!U7)+'МЕТ ВИТОЛ ДХТ'!AB8*('МЕТ ВИТОЛ ДХТ'!AC8-Цени!U7)+'МЕТ ВИТОЛ ДХТ'!AH8*('МЕТ ВИТОЛ ДХТ'!AI8-Цени!U7)+'МЕТ ВИТОЛ ДХТ'!AN8*('МЕТ ВИТОЛ ДХТ'!AO8-Цени!U7)+'МЕТ ВИТОЛ ДХТ'!AT8*('МЕТ ВИТОЛ ДХТ'!AU8-Цени!U7)</f>
        <v>46235.683832499897</v>
      </c>
      <c r="AN8" s="282">
        <v>3890.9</v>
      </c>
      <c r="AO8" s="283">
        <f>AM8-AN8+Перник!T19</f>
        <v>42344.783832499896</v>
      </c>
      <c r="AP8" s="284">
        <v>0</v>
      </c>
      <c r="AQ8" s="285">
        <f t="shared" si="22"/>
        <v>42344.783832499896</v>
      </c>
      <c r="AS8" s="265">
        <f t="shared" si="23"/>
        <v>45631</v>
      </c>
      <c r="AT8" s="289">
        <f t="shared" si="24"/>
        <v>75.89</v>
      </c>
      <c r="AU8" s="289">
        <f t="shared" si="11"/>
        <v>78.679981931520302</v>
      </c>
      <c r="AV8" s="268">
        <f>46.225*1.95583</f>
        <v>90.408241750000002</v>
      </c>
      <c r="AW8" s="289">
        <f t="shared" si="12"/>
        <v>-11.7282598184797</v>
      </c>
      <c r="AY8" s="265">
        <f t="shared" si="25"/>
        <v>45631</v>
      </c>
      <c r="AZ8" s="290">
        <f>+'ОБЩО NEW за печат'!BP8</f>
        <v>78.679981931520302</v>
      </c>
      <c r="BA8" s="290">
        <f>+'ОБЩО NEW за печат'!BQ8</f>
        <v>86.191828854299999</v>
      </c>
      <c r="BB8" s="289">
        <f t="shared" si="31"/>
        <v>7.5118469227796965</v>
      </c>
      <c r="BD8" s="265">
        <f t="shared" si="26"/>
        <v>45631</v>
      </c>
      <c r="BE8" s="291">
        <f>+BE7+Цени!Y7-Цени!D7</f>
        <v>479772.57200000063</v>
      </c>
      <c r="BF8" s="289">
        <f t="shared" ref="BF8" si="34">+BG8/BE8</f>
        <v>102.64488707135152</v>
      </c>
      <c r="BG8" s="289">
        <f>+BG7+Цени!AA7-Цени!D7*Цени!$Z$1</f>
        <v>49246201.472871929</v>
      </c>
      <c r="BI8" s="265">
        <f t="shared" si="28"/>
        <v>45631</v>
      </c>
      <c r="BJ8" s="321">
        <v>9359727.9399999995</v>
      </c>
      <c r="BK8" s="321">
        <v>2753236.08</v>
      </c>
      <c r="BL8" s="321">
        <v>1965909.42</v>
      </c>
      <c r="BM8" s="321">
        <v>1014254.12</v>
      </c>
      <c r="BN8" s="321">
        <v>2184342</v>
      </c>
      <c r="BO8" s="321">
        <v>2295842.69</v>
      </c>
      <c r="BP8" s="321">
        <v>172816</v>
      </c>
      <c r="BQ8" s="321">
        <v>0</v>
      </c>
      <c r="BR8" s="294">
        <f>SUM(BJ8:BQ8)</f>
        <v>19746128.25</v>
      </c>
      <c r="BT8" s="265">
        <f t="shared" si="29"/>
        <v>45631</v>
      </c>
      <c r="BU8" s="293">
        <f t="shared" si="14"/>
        <v>2597045.7600000016</v>
      </c>
      <c r="BV8" s="293">
        <f t="shared" si="3"/>
        <v>2132214.83</v>
      </c>
      <c r="BW8" s="293">
        <f t="shared" si="15"/>
        <v>188448.84999999963</v>
      </c>
      <c r="BX8" s="293">
        <f t="shared" si="16"/>
        <v>391852.94000000006</v>
      </c>
      <c r="BY8" s="293">
        <f t="shared" si="17"/>
        <v>25079241.090000004</v>
      </c>
      <c r="BZ8" s="293">
        <f t="shared" si="17"/>
        <v>0</v>
      </c>
      <c r="CA8" s="293">
        <f t="shared" si="18"/>
        <v>0</v>
      </c>
      <c r="CB8" s="293">
        <f t="shared" si="19"/>
        <v>3567553.1529600001</v>
      </c>
      <c r="CC8" s="294">
        <f t="shared" si="9"/>
        <v>33956356.622960009</v>
      </c>
      <c r="CE8" s="265">
        <f t="shared" si="30"/>
        <v>45631</v>
      </c>
      <c r="CF8" s="321">
        <v>11956773.700000001</v>
      </c>
      <c r="CG8" s="321">
        <v>4885450.91</v>
      </c>
      <c r="CH8" s="321">
        <v>2154358.2699999996</v>
      </c>
      <c r="CI8" s="321">
        <v>1406107.06</v>
      </c>
      <c r="CJ8" s="321">
        <v>27263583.090000004</v>
      </c>
      <c r="CK8" s="321">
        <v>2295842.69</v>
      </c>
      <c r="CL8" s="321">
        <v>172816</v>
      </c>
      <c r="CM8" s="321">
        <v>3567553.1529600001</v>
      </c>
      <c r="CN8" s="294">
        <f t="shared" si="20"/>
        <v>53702484.872960001</v>
      </c>
    </row>
    <row r="9" spans="2:93" x14ac:dyDescent="0.25">
      <c r="B9" s="47">
        <f t="shared" si="21"/>
        <v>45632</v>
      </c>
      <c r="C9" s="269">
        <f>+Плевен!K9+Плевен!L9</f>
        <v>0</v>
      </c>
      <c r="D9" s="270">
        <f>Бургас!H9</f>
        <v>0</v>
      </c>
      <c r="E9" s="270">
        <f>'Враца 1'!H9</f>
        <v>0</v>
      </c>
      <c r="F9" s="270">
        <f>'Враца 2'!H9</f>
        <v>0</v>
      </c>
      <c r="G9" s="271">
        <f>Русе!G9</f>
        <v>815</v>
      </c>
      <c r="H9" s="271">
        <f>+'Русе Кемикълс'!E9</f>
        <v>3.077</v>
      </c>
      <c r="I9" s="271">
        <f>+ЛКМК!E9</f>
        <v>0.36913826366559482</v>
      </c>
      <c r="J9" s="271">
        <f>+'Доминекс про'!E9</f>
        <v>23.497</v>
      </c>
      <c r="K9" s="271">
        <f>+Труд!E9</f>
        <v>36.029000000000003</v>
      </c>
      <c r="L9" s="271">
        <f>+'Велико Търново'!E9</f>
        <v>0</v>
      </c>
      <c r="M9" s="271">
        <f>+Берус!E9</f>
        <v>0.36499999999999999</v>
      </c>
      <c r="N9" s="271">
        <f>+'Бултекс 1'!E9</f>
        <v>2.2519999999999998</v>
      </c>
      <c r="O9" s="271">
        <f>+Алуком!E9</f>
        <v>0</v>
      </c>
      <c r="P9" s="271">
        <f>+Илинден!E9</f>
        <v>0</v>
      </c>
      <c r="Q9" s="271">
        <f>+'Ваптех АМ'!E9</f>
        <v>0</v>
      </c>
      <c r="R9" s="271">
        <f>+РВД!E9</f>
        <v>26.123999999999999</v>
      </c>
      <c r="S9" s="271">
        <f>+Димитровград!E9</f>
        <v>0</v>
      </c>
      <c r="T9" s="271">
        <f>+Булмаш!E9</f>
        <v>3.3948617363344047</v>
      </c>
      <c r="U9" s="271">
        <f>+HERON!D9</f>
        <v>0</v>
      </c>
      <c r="V9" s="271">
        <f>+'PPC Гърция'!D9</f>
        <v>1500</v>
      </c>
      <c r="W9" s="271">
        <f>+'МЕТ ВИТОЛ ДХТ'!D9+'МЕТ ВИТОЛ ДХТ'!J9+'МЕТ ВИТОЛ ДХТ'!P9+'МЕТ ВИТОЛ ДХТ'!V9+'МЕТ ВИТОЛ ДХТ'!AB9+'МЕТ ВИТОЛ ДХТ'!AH9+'МЕТ ВИТОЛ ДХТ'!AN9+'МЕТ ВИТОЛ ДХТ'!AT9</f>
        <v>3950</v>
      </c>
      <c r="X9" s="271">
        <f>+Цени!Y8</f>
        <v>0</v>
      </c>
      <c r="Y9" s="272">
        <f>Перник!G9</f>
        <v>0</v>
      </c>
      <c r="Z9" s="273">
        <f>'Борса и балансиране'!F9</f>
        <v>0</v>
      </c>
      <c r="AA9" s="269">
        <f>IF(AK9-SUM(G9:Z9,Плевен!K9,Плевен!L9,Бургас!H9,'Враца 1'!H9,'Враца 2'!H9)&gt;=0,AK9-SUM(G9:Z9,Плевен!K9,Плевен!L9,Бургас!H9,'Враца 1'!H9,'Враца 2'!H9),IF(AK9-SUM(G9:Z9,Плевен!K9,Плевен!L9,Бургас!H9,'Враца 1'!H9,'Враца 2'!H9)&lt;=0,0))</f>
        <v>0</v>
      </c>
      <c r="AB9" s="272">
        <f>IF(AK9-SUM(G9:Z9,Плевен!K9,Плевен!L9,Бургас!H9,'Враца 1'!H9,'Враца 2'!H9)&lt;=0,AK9-SUM(G9:Z9,Плевен!K9,Плевен!L9,Бургас!H9,'Враца 1'!H9,'Враца 2'!H9),IF(AK9-SUM(G9:Z9,Плевен!K9,Плевен!L9,Бургас!H9,'Враца 1'!H9,'Враца 2'!H9)&gt;=0,0))</f>
        <v>-5.0000000001091394E-3</v>
      </c>
      <c r="AD9" s="278">
        <f>+Цени!L8+Цени!M8+Цени!N8+Цени!O8+Цени!P8</f>
        <v>0</v>
      </c>
      <c r="AE9" s="278">
        <f>+Цени!C8</f>
        <v>14.516</v>
      </c>
      <c r="AF9" s="278">
        <f>+Цени!R8</f>
        <v>0</v>
      </c>
      <c r="AG9" s="278">
        <f>+Цени!Q8</f>
        <v>0</v>
      </c>
      <c r="AH9" s="278">
        <f>+Цени!D8</f>
        <v>4845.5870000000004</v>
      </c>
      <c r="AI9" s="599">
        <f>+Цени!S8</f>
        <v>0</v>
      </c>
      <c r="AJ9" s="279">
        <f>'Борса и балансиране'!C9</f>
        <v>1500</v>
      </c>
      <c r="AK9" s="280">
        <f t="shared" si="10"/>
        <v>6360.1030000000001</v>
      </c>
      <c r="AM9" s="281">
        <f>SUM(Плевен!K9+Бургас!H9+'Враца 1'!H9+'Враца 2'!H9+Русе!G9+'Велико Търново'!E9)*(Цени!V8+Цени!$L$58)+Перник!G9*(Цени!$T$42-Цени!U8+Цени!$L$58)+Плевен!L9*(Цени!$T$43-Цени!U8+Цени!$L$58)+Плевен!R9+Бургас!O9+'Враца 1'!N9+'Враца 2'!N9+Перник!N9+Русе!M9+'Велико Търново'!J9+Димитровград!J9+ЛКМК!L9+Булмаш!L9+'Борса и балансиране'!H9-'Борса и балансиране'!E9+'Борса и балансиране'!N9+'Борса и балансиране'!O9-('Борса и балансиране'!J9+'Борса и балансиране'!K9-'Борса и балансиране'!C9+'Борса и балансиране'!F9)*Цени!U8+Димитровград!E9*(Цени!$T$44-Цени!U8+Цени!$L$58)+(Алуком!E9+'Русе Кемикълс'!E9+'Доминекс про'!E9+Берус!E9+'Бултекс 1'!E9)*(Цени!$T$46-Цени!U8)+(Илинден!E9+'Ваптех АМ'!E9)*(Цени!$T$46-Цени!U8)+ЛКМК!E9*(Цени!$T$45-Цени!U8+Цени!$L$58)+РВД!E9*(Цени!$T$47-Цени!U8)+(Булмаш!E9)*(Цени!$T$45-Цени!U8+Цени!$L$58)+(Труд!E9)*(Цени!$T$46-Цени!U8)+HERON!D9*(HERON!E9-Цени!U8)+'PPC Гърция'!D9*('PPC Гърция'!E9-Цени!U8)+'МЕТ ВИТОЛ ДХТ'!D9*('МЕТ ВИТОЛ ДХТ'!E9-Цени!U8)+'МЕТ ВИТОЛ ДХТ'!J9*('МЕТ ВИТОЛ ДХТ'!K9-Цени!U8)+'МЕТ ВИТОЛ ДХТ'!P9*('МЕТ ВИТОЛ ДХТ'!Q9-Цени!U8)+'МЕТ ВИТОЛ ДХТ'!V9*('МЕТ ВИТОЛ ДХТ'!W9-Цени!U8)+'МЕТ ВИТОЛ ДХТ'!AB9*('МЕТ ВИТОЛ ДХТ'!AC9-Цени!U8)+'МЕТ ВИТОЛ ДХТ'!AH9*('МЕТ ВИТОЛ ДХТ'!AI9-Цени!U8)+'МЕТ ВИТОЛ ДХТ'!AN9*('МЕТ ВИТОЛ ДХТ'!AO9-Цени!U8)+'МЕТ ВИТОЛ ДХТ'!AT9*('МЕТ ВИТОЛ ДХТ'!AU9-Цени!U8)</f>
        <v>46604.367203999966</v>
      </c>
      <c r="AN9" s="282">
        <v>3890.9</v>
      </c>
      <c r="AO9" s="283">
        <f>AM9-AN9+Перник!T20</f>
        <v>42713.467203999964</v>
      </c>
      <c r="AP9" s="284">
        <v>0</v>
      </c>
      <c r="AQ9" s="285">
        <f>AO9++AP9</f>
        <v>42713.467203999964</v>
      </c>
      <c r="AS9" s="265">
        <f t="shared" si="23"/>
        <v>45632</v>
      </c>
      <c r="AT9" s="289">
        <f t="shared" si="24"/>
        <v>75.89</v>
      </c>
      <c r="AU9" s="289">
        <f t="shared" si="11"/>
        <v>79.140525027247961</v>
      </c>
      <c r="AV9" s="268">
        <f>46.7*1.95583</f>
        <v>91.337260999999998</v>
      </c>
      <c r="AW9" s="289">
        <f t="shared" si="12"/>
        <v>-12.196735972752037</v>
      </c>
      <c r="AY9" s="265">
        <f t="shared" si="25"/>
        <v>45632</v>
      </c>
      <c r="AZ9" s="290">
        <f>+'ОБЩО NEW за печат'!BP9</f>
        <v>79.140525027247961</v>
      </c>
      <c r="BA9" s="290">
        <f>+'ОБЩО NEW за печат'!BQ9</f>
        <v>85.672390613492723</v>
      </c>
      <c r="BB9" s="289">
        <f t="shared" si="31"/>
        <v>6.5318655862447628</v>
      </c>
      <c r="BD9" s="265">
        <f t="shared" si="26"/>
        <v>45632</v>
      </c>
      <c r="BE9" s="291">
        <f>+BE8+Цени!Y8-Цени!D8</f>
        <v>474926.98500000063</v>
      </c>
      <c r="BF9" s="289">
        <f t="shared" ref="BF9" si="35">+BG9/BE9</f>
        <v>102.64488707135152</v>
      </c>
      <c r="BG9" s="289">
        <f>+BG8+Цени!AA8-Цени!D8*Цени!$Z$1</f>
        <v>48748826.742462523</v>
      </c>
      <c r="BI9" s="265">
        <f t="shared" si="28"/>
        <v>45632</v>
      </c>
      <c r="BJ9" s="321">
        <v>9359727.9399999995</v>
      </c>
      <c r="BK9" s="321">
        <v>2753236.08</v>
      </c>
      <c r="BL9" s="321">
        <v>1965909.42</v>
      </c>
      <c r="BM9" s="321">
        <v>1014254.12</v>
      </c>
      <c r="BN9" s="321">
        <v>2184342</v>
      </c>
      <c r="BO9" s="321">
        <v>2295842.69</v>
      </c>
      <c r="BP9" s="321">
        <v>172816</v>
      </c>
      <c r="BQ9" s="321">
        <v>0</v>
      </c>
      <c r="BR9" s="294">
        <f>SUM(BJ9:BQ9)</f>
        <v>19746128.25</v>
      </c>
      <c r="BT9" s="265">
        <f t="shared" si="29"/>
        <v>45632</v>
      </c>
      <c r="BU9" s="293">
        <f t="shared" si="14"/>
        <v>2597045.7600000016</v>
      </c>
      <c r="BV9" s="293">
        <f t="shared" si="3"/>
        <v>2132214.83</v>
      </c>
      <c r="BW9" s="293">
        <f t="shared" si="15"/>
        <v>188448.84999999963</v>
      </c>
      <c r="BX9" s="293">
        <f t="shared" si="16"/>
        <v>391852.94000000006</v>
      </c>
      <c r="BY9" s="293">
        <f t="shared" si="17"/>
        <v>25079241.090000004</v>
      </c>
      <c r="BZ9" s="293">
        <f t="shared" si="17"/>
        <v>0</v>
      </c>
      <c r="CA9" s="293">
        <f t="shared" si="18"/>
        <v>0</v>
      </c>
      <c r="CB9" s="293">
        <f t="shared" si="19"/>
        <v>3567553.1529600001</v>
      </c>
      <c r="CC9" s="294">
        <f t="shared" si="9"/>
        <v>33956356.622960009</v>
      </c>
      <c r="CE9" s="265">
        <f t="shared" si="30"/>
        <v>45632</v>
      </c>
      <c r="CF9" s="321">
        <v>11956773.700000001</v>
      </c>
      <c r="CG9" s="321">
        <v>4885450.91</v>
      </c>
      <c r="CH9" s="321">
        <v>2154358.2699999996</v>
      </c>
      <c r="CI9" s="321">
        <v>1406107.06</v>
      </c>
      <c r="CJ9" s="321">
        <v>27263583.090000004</v>
      </c>
      <c r="CK9" s="321">
        <v>2295842.69</v>
      </c>
      <c r="CL9" s="321">
        <v>172816</v>
      </c>
      <c r="CM9" s="321">
        <v>3567553.1529600001</v>
      </c>
      <c r="CN9" s="294">
        <f t="shared" si="20"/>
        <v>53702484.872960001</v>
      </c>
    </row>
    <row r="10" spans="2:93" x14ac:dyDescent="0.25">
      <c r="B10" s="47">
        <f t="shared" si="21"/>
        <v>45633</v>
      </c>
      <c r="C10" s="269">
        <f>+Плевен!K10+Плевен!L10</f>
        <v>0</v>
      </c>
      <c r="D10" s="270">
        <f>Бургас!H10</f>
        <v>0</v>
      </c>
      <c r="E10" s="270">
        <f>'Враца 1'!H10</f>
        <v>0</v>
      </c>
      <c r="F10" s="270">
        <f>'Враца 2'!H10</f>
        <v>0</v>
      </c>
      <c r="G10" s="271">
        <f>Русе!G10</f>
        <v>185.25399999999999</v>
      </c>
      <c r="H10" s="271">
        <f>+'Русе Кемикълс'!E10</f>
        <v>0.85599999999999998</v>
      </c>
      <c r="I10" s="271">
        <f>+ЛКМК!E10</f>
        <v>0</v>
      </c>
      <c r="J10" s="271">
        <f>+'Доминекс про'!E10</f>
        <v>6.3179999999999996</v>
      </c>
      <c r="K10" s="271">
        <f>+Труд!E10</f>
        <v>35.533999999999999</v>
      </c>
      <c r="L10" s="271">
        <f>+'Велико Търново'!E10</f>
        <v>1.6659999999999968</v>
      </c>
      <c r="M10" s="271">
        <f>+Берус!E10</f>
        <v>0</v>
      </c>
      <c r="N10" s="271">
        <f>+'Бултекс 1'!E10</f>
        <v>0.38500000000000001</v>
      </c>
      <c r="O10" s="271">
        <f>+Алуком!E10</f>
        <v>0</v>
      </c>
      <c r="P10" s="271">
        <f>+Илинден!E10</f>
        <v>0</v>
      </c>
      <c r="Q10" s="271">
        <f>+'Ваптех АМ'!E10</f>
        <v>0</v>
      </c>
      <c r="R10" s="271">
        <f>+РВД!E10</f>
        <v>28.157</v>
      </c>
      <c r="S10" s="271">
        <f>+Димитровград!E10</f>
        <v>0</v>
      </c>
      <c r="T10" s="271">
        <f>+Булмаш!E10</f>
        <v>0.85799999999999998</v>
      </c>
      <c r="U10" s="271">
        <f>+HERON!D10</f>
        <v>0</v>
      </c>
      <c r="V10" s="271">
        <f>+'PPC Гърция'!D10</f>
        <v>500</v>
      </c>
      <c r="W10" s="271">
        <f>+'МЕТ ВИТОЛ ДХТ'!D10+'МЕТ ВИТОЛ ДХТ'!J10+'МЕТ ВИТОЛ ДХТ'!P10+'МЕТ ВИТОЛ ДХТ'!V10+'МЕТ ВИТОЛ ДХТ'!AB10+'МЕТ ВИТОЛ ДХТ'!AH10+'МЕТ ВИТОЛ ДХТ'!AN10+'МЕТ ВИТОЛ ДХТ'!AT10</f>
        <v>3950</v>
      </c>
      <c r="X10" s="271">
        <f>+Цени!Y9</f>
        <v>0</v>
      </c>
      <c r="Y10" s="272">
        <f>Перник!G10</f>
        <v>200</v>
      </c>
      <c r="Z10" s="273">
        <f>'Борса и балансиране'!F10</f>
        <v>0</v>
      </c>
      <c r="AA10" s="269">
        <f>IF(AK10-SUM(G10:Z10,Плевен!K10,Плевен!L10,Бургас!H10,'Враца 1'!H10,'Враца 2'!H10)&gt;=0,AK10-SUM(G10:Z10,Плевен!K10,Плевен!L10,Бургас!H10,'Враца 1'!H10,'Враца 2'!H10),IF(AK10-SUM(G10:Z10,Плевен!K10,Плевен!L10,Бургас!H10,'Враца 1'!H10,'Враца 2'!H10)&lt;=0,0))</f>
        <v>1.0749999999998181</v>
      </c>
      <c r="AB10" s="272">
        <f>IF(AK10-SUM(G10:Z10,Плевен!K10,Плевен!L10,Бургас!H10,'Враца 1'!H10,'Враца 2'!H10)&lt;=0,AK10-SUM(G10:Z10,Плевен!K10,Плевен!L10,Бургас!H10,'Враца 1'!H10,'Враца 2'!H10),IF(AK10-SUM(G10:Z10,Плевен!K10,Плевен!L10,Бургас!H10,'Враца 1'!H10,'Враца 2'!H10)&gt;=0,0))</f>
        <v>0</v>
      </c>
      <c r="AD10" s="278">
        <f>+Цени!L9+Цени!M9+Цени!N9+Цени!O9+Цени!P9</f>
        <v>0</v>
      </c>
      <c r="AE10" s="278">
        <f>+Цени!C9</f>
        <v>14.516</v>
      </c>
      <c r="AF10" s="278">
        <f>+Цени!R9</f>
        <v>0</v>
      </c>
      <c r="AG10" s="278">
        <f>+Цени!Q9</f>
        <v>0</v>
      </c>
      <c r="AH10" s="278">
        <f>+Цени!D9</f>
        <v>4345.5870000000004</v>
      </c>
      <c r="AI10" s="599">
        <f>+Цени!S9</f>
        <v>0</v>
      </c>
      <c r="AJ10" s="279">
        <f>'Борса и балансиране'!C10</f>
        <v>550</v>
      </c>
      <c r="AK10" s="280">
        <f t="shared" si="10"/>
        <v>4910.1030000000001</v>
      </c>
      <c r="AM10" s="281">
        <f>SUM(Плевен!K10+Бургас!H10+'Враца 1'!H10+'Враца 2'!H10+Русе!G10+'Велико Търново'!E10)*(Цени!V9+Цени!$L$58)+Перник!G10*(Цени!$T$42-Цени!U9+Цени!$L$58)+Плевен!L10*(Цени!$T$43-Цени!U9+Цени!$L$58)+Плевен!R10+Бургас!O10+'Враца 1'!N10+'Враца 2'!N10+Перник!N10+Русе!M10+'Велико Търново'!J10+Димитровград!J10+ЛКМК!L10+Булмаш!L10+'Борса и балансиране'!H10-'Борса и балансиране'!E10+'Борса и балансиране'!N10+'Борса и балансиране'!O10-('Борса и балансиране'!J10+'Борса и балансиране'!K10-'Борса и балансиране'!C10+'Борса и балансиране'!F10)*Цени!U9+Димитровград!E10*(Цени!$T$44-Цени!U9+Цени!$L$58)+(Алуком!E10+'Русе Кемикълс'!E10+'Доминекс про'!E10+Берус!E10+'Бултекс 1'!E10)*(Цени!$T$46-Цени!U9)+(Илинден!E10+'Ваптех АМ'!E10)*(Цени!$T$46-Цени!U9)+ЛКМК!E10*(Цени!$T$45-Цени!U9+Цени!$L$58)+РВД!E10*(Цени!$T$47-Цени!U9)+(Булмаш!E10)*(Цени!$T$45-Цени!U9+Цени!$L$58)+(Труд!E10)*(Цени!$T$46-Цени!U9)+HERON!D10*(HERON!E10-Цени!U9)+'PPC Гърция'!D10*('PPC Гърция'!E10-Цени!U9)+'МЕТ ВИТОЛ ДХТ'!D10*('МЕТ ВИТОЛ ДХТ'!E10-Цени!U9)+'МЕТ ВИТОЛ ДХТ'!J10*('МЕТ ВИТОЛ ДХТ'!K10-Цени!U9)+'МЕТ ВИТОЛ ДХТ'!P10*('МЕТ ВИТОЛ ДХТ'!Q10-Цени!U9)+'МЕТ ВИТОЛ ДХТ'!V10*('МЕТ ВИТОЛ ДХТ'!W10-Цени!U9)+'МЕТ ВИТОЛ ДХТ'!AB10*('МЕТ ВИТОЛ ДХТ'!AC10-Цени!U9)+'МЕТ ВИТОЛ ДХТ'!AH10*('МЕТ ВИТОЛ ДХТ'!AI10-Цени!U9)+'МЕТ ВИТОЛ ДХТ'!AN10*('МЕТ ВИТОЛ ДХТ'!AO10-Цени!U9)+'МЕТ ВИТОЛ ДХТ'!AT10*('МЕТ ВИТОЛ ДХТ'!AU10-Цени!U9)</f>
        <v>43562.684482999983</v>
      </c>
      <c r="AN10" s="282">
        <v>3890.9</v>
      </c>
      <c r="AO10" s="283">
        <f>AM10-AN10+Перник!T21</f>
        <v>39671.784482999981</v>
      </c>
      <c r="AP10" s="284">
        <v>0</v>
      </c>
      <c r="AQ10" s="285">
        <f t="shared" si="22"/>
        <v>39671.784482999981</v>
      </c>
      <c r="AR10" s="4"/>
      <c r="AS10" s="265">
        <f t="shared" si="23"/>
        <v>45633</v>
      </c>
      <c r="AT10" s="289">
        <f t="shared" si="24"/>
        <v>75.89</v>
      </c>
      <c r="AU10" s="289">
        <f t="shared" si="11"/>
        <v>76.423406260520409</v>
      </c>
      <c r="AV10" s="268">
        <f>47.2*1.95583</f>
        <v>92.315176000000008</v>
      </c>
      <c r="AW10" s="289">
        <f t="shared" si="12"/>
        <v>-15.891769739479599</v>
      </c>
      <c r="AY10" s="265">
        <f t="shared" si="25"/>
        <v>45633</v>
      </c>
      <c r="AZ10" s="290">
        <f>+'ОБЩО NEW за печат'!BP10</f>
        <v>76.423406260520409</v>
      </c>
      <c r="BA10" s="290">
        <f>+'ОБЩО NEW за печат'!BQ10</f>
        <v>84.749435178854711</v>
      </c>
      <c r="BB10" s="289">
        <f t="shared" si="31"/>
        <v>8.3260289183343019</v>
      </c>
      <c r="BD10" s="265">
        <f t="shared" si="26"/>
        <v>45633</v>
      </c>
      <c r="BE10" s="291">
        <f>+BE9+Цени!Y9-Цени!D9</f>
        <v>470581.39800000063</v>
      </c>
      <c r="BF10" s="289">
        <f t="shared" ref="BF10" si="36">+BG10/BE10</f>
        <v>102.64488707135152</v>
      </c>
      <c r="BG10" s="289">
        <f>+BG9+Цени!AA9-Цени!D9*Цени!$Z$1</f>
        <v>48302774.455588788</v>
      </c>
      <c r="BI10" s="265">
        <f t="shared" si="28"/>
        <v>45633</v>
      </c>
      <c r="BJ10" s="321">
        <v>9359727.9399999995</v>
      </c>
      <c r="BK10" s="321">
        <v>2753236.08</v>
      </c>
      <c r="BL10" s="321">
        <v>1965909.42</v>
      </c>
      <c r="BM10" s="321">
        <v>1014254.12</v>
      </c>
      <c r="BN10" s="321">
        <v>2184342</v>
      </c>
      <c r="BO10" s="321">
        <v>2295842.69</v>
      </c>
      <c r="BP10" s="321">
        <v>172816</v>
      </c>
      <c r="BQ10" s="321">
        <v>0</v>
      </c>
      <c r="BR10" s="294">
        <f>SUM(BJ10:BQ10)</f>
        <v>19746128.25</v>
      </c>
      <c r="BT10" s="265">
        <f t="shared" si="29"/>
        <v>45633</v>
      </c>
      <c r="BU10" s="293">
        <f t="shared" si="14"/>
        <v>2597045.7600000016</v>
      </c>
      <c r="BV10" s="293">
        <f t="shared" si="3"/>
        <v>2132214.83</v>
      </c>
      <c r="BW10" s="293">
        <f t="shared" si="15"/>
        <v>188448.84999999963</v>
      </c>
      <c r="BX10" s="293">
        <f t="shared" si="16"/>
        <v>391852.94000000006</v>
      </c>
      <c r="BY10" s="293">
        <f t="shared" si="17"/>
        <v>25079241.090000004</v>
      </c>
      <c r="BZ10" s="293">
        <f t="shared" si="17"/>
        <v>0</v>
      </c>
      <c r="CA10" s="293">
        <f t="shared" si="18"/>
        <v>0</v>
      </c>
      <c r="CB10" s="293">
        <f t="shared" si="19"/>
        <v>3567553.1529600001</v>
      </c>
      <c r="CC10" s="294">
        <f t="shared" si="9"/>
        <v>33956356.622960009</v>
      </c>
      <c r="CE10" s="265">
        <f t="shared" si="30"/>
        <v>45633</v>
      </c>
      <c r="CF10" s="321">
        <v>11956773.700000001</v>
      </c>
      <c r="CG10" s="321">
        <v>4885450.91</v>
      </c>
      <c r="CH10" s="321">
        <v>2154358.2699999996</v>
      </c>
      <c r="CI10" s="321">
        <v>1406107.06</v>
      </c>
      <c r="CJ10" s="321">
        <v>27263583.090000004</v>
      </c>
      <c r="CK10" s="321">
        <v>2295842.69</v>
      </c>
      <c r="CL10" s="321">
        <v>172816</v>
      </c>
      <c r="CM10" s="321">
        <v>3567553.1529600001</v>
      </c>
      <c r="CN10" s="294">
        <f t="shared" si="20"/>
        <v>53702484.872960001</v>
      </c>
    </row>
    <row r="11" spans="2:93" x14ac:dyDescent="0.25">
      <c r="B11" s="47">
        <f t="shared" si="21"/>
        <v>45634</v>
      </c>
      <c r="C11" s="269">
        <f>+Плевен!K11+Плевен!L11</f>
        <v>0</v>
      </c>
      <c r="D11" s="270">
        <f>Бургас!H11</f>
        <v>0</v>
      </c>
      <c r="E11" s="270">
        <f>'Враца 1'!H11</f>
        <v>0</v>
      </c>
      <c r="F11" s="270">
        <f>'Враца 2'!H11</f>
        <v>0</v>
      </c>
      <c r="G11" s="271">
        <f>Русе!G11</f>
        <v>0</v>
      </c>
      <c r="H11" s="271">
        <f>+'Русе Кемикълс'!E11</f>
        <v>3.8149999999999999</v>
      </c>
      <c r="I11" s="271">
        <f>+ЛКМК!E11</f>
        <v>0</v>
      </c>
      <c r="J11" s="271">
        <f>+'Доминекс про'!E11</f>
        <v>3.8039999999999998</v>
      </c>
      <c r="K11" s="271">
        <f>+Труд!E11</f>
        <v>29.379000000000001</v>
      </c>
      <c r="L11" s="271">
        <f>+'Велико Търново'!E11</f>
        <v>0</v>
      </c>
      <c r="M11" s="271">
        <f>+Берус!E11</f>
        <v>0.33300000000000002</v>
      </c>
      <c r="N11" s="271">
        <f>+'Бултекс 1'!E11</f>
        <v>0.36599999999999999</v>
      </c>
      <c r="O11" s="271">
        <f>+Алуком!E11</f>
        <v>0</v>
      </c>
      <c r="P11" s="271">
        <f>+Илинден!E11</f>
        <v>0</v>
      </c>
      <c r="Q11" s="271">
        <f>+'Ваптех АМ'!E11</f>
        <v>0</v>
      </c>
      <c r="R11" s="271">
        <f>+РВД!E11</f>
        <v>28.157</v>
      </c>
      <c r="S11" s="271">
        <f>+Димитровград!E11</f>
        <v>377.66199999999998</v>
      </c>
      <c r="T11" s="271">
        <f>+Булмаш!E11</f>
        <v>0.35899999999999999</v>
      </c>
      <c r="U11" s="271">
        <f>+HERON!D11</f>
        <v>0</v>
      </c>
      <c r="V11" s="271">
        <f>+'PPC Гърция'!D11</f>
        <v>500</v>
      </c>
      <c r="W11" s="271">
        <f>+'МЕТ ВИТОЛ ДХТ'!D11+'МЕТ ВИТОЛ ДХТ'!J11+'МЕТ ВИТОЛ ДХТ'!P11+'МЕТ ВИТОЛ ДХТ'!V11+'МЕТ ВИТОЛ ДХТ'!AB11+'МЕТ ВИТОЛ ДХТ'!AH11+'МЕТ ВИТОЛ ДХТ'!AN11+'МЕТ ВИТОЛ ДХТ'!AT11</f>
        <v>3950</v>
      </c>
      <c r="X11" s="271">
        <f>+Цени!Y10</f>
        <v>0</v>
      </c>
      <c r="Y11" s="272">
        <f>Перник!G11</f>
        <v>53.228000000000002</v>
      </c>
      <c r="Z11" s="273">
        <f>'Борса и балансиране'!F11</f>
        <v>0</v>
      </c>
      <c r="AA11" s="269">
        <f>IF(AK11-SUM(G11:Z11,Плевен!K11,Плевен!L11,Бургас!H11,'Враца 1'!H11,'Враца 2'!H11)&gt;=0,AK11-SUM(G11:Z11,Плевен!K11,Плевен!L11,Бургас!H11,'Враца 1'!H11,'Враца 2'!H11),IF(AK11-SUM(G11:Z11,Плевен!K11,Плевен!L11,Бургас!H11,'Враца 1'!H11,'Враца 2'!H11)&lt;=0,0))</f>
        <v>0</v>
      </c>
      <c r="AB11" s="272">
        <f>IF(AK11-SUM(G11:Z11,Плевен!K11,Плевен!L11,Бургас!H11,'Враца 1'!H11,'Враца 2'!H11)&lt;=0,AK11-SUM(G11:Z11,Плевен!K11,Плевен!L11,Бургас!H11,'Враца 1'!H11,'Враца 2'!H11),IF(AK11-SUM(G11:Z11,Плевен!K11,Плевен!L11,Бургас!H11,'Враца 1'!H11,'Враца 2'!H11)&gt;=0,0))</f>
        <v>0</v>
      </c>
      <c r="AD11" s="278">
        <f>+Цени!L10+Цени!M10+Цени!N10+Цени!O10+Цени!P10</f>
        <v>0</v>
      </c>
      <c r="AE11" s="278">
        <f>+Цени!C10</f>
        <v>14.516</v>
      </c>
      <c r="AF11" s="278">
        <f>+Цени!R10</f>
        <v>0</v>
      </c>
      <c r="AG11" s="278">
        <f>+Цени!Q10</f>
        <v>0</v>
      </c>
      <c r="AH11" s="278">
        <f>+Цени!D10</f>
        <v>4345.5870000000004</v>
      </c>
      <c r="AI11" s="599">
        <f>+Цени!S10</f>
        <v>0</v>
      </c>
      <c r="AJ11" s="279">
        <f>'Борса и балансиране'!C11</f>
        <v>587</v>
      </c>
      <c r="AK11" s="280">
        <f t="shared" si="10"/>
        <v>4947.1030000000001</v>
      </c>
      <c r="AM11" s="281">
        <f>SUM(Плевен!K11+Бургас!H11+'Враца 1'!H11+'Враца 2'!H11+Русе!G11+'Велико Търново'!E11)*(Цени!V10+Цени!$L$58)+Перник!G11*(Цени!$T$42-Цени!U10+Цени!$L$58)+Плевен!L11*(Цени!$T$43-Цени!U10+Цени!$L$58)+Плевен!R11+Бургас!O11+'Враца 1'!N11+'Враца 2'!N11+Перник!N11+Русе!M11+'Велико Търново'!J11+Димитровград!J11+ЛКМК!L11+Булмаш!L11+'Борса и балансиране'!H11-'Борса и балансиране'!E11+'Борса и балансиране'!N11+'Борса и балансиране'!O11-('Борса и балансиране'!J11+'Борса и балансиране'!K11-'Борса и балансиране'!C11+'Борса и балансиране'!F11)*Цени!U10+Димитровград!E11*(Цени!$T$44-Цени!U10+Цени!$L$58)+(Алуком!E11+'Русе Кемикълс'!E11+'Доминекс про'!E11+Берус!E11+'Бултекс 1'!E11)*(Цени!$T$46-Цени!U10)+(Илинден!E11+'Ваптех АМ'!E11)*(Цени!$T$46-Цени!U10)+ЛКМК!E11*(Цени!$T$45-Цени!U10+Цени!$L$58)+РВД!E11*(Цени!$T$47-Цени!U10)+(Булмаш!E11)*(Цени!$T$45-Цени!U10+Цени!$L$58)+(Труд!E11)*(Цени!$T$46-Цени!U10)+HERON!D11*(HERON!E11-Цени!U10)+'PPC Гърция'!D11*('PPC Гърция'!E11-Цени!U10)+'МЕТ ВИТОЛ ДХТ'!D11*('МЕТ ВИТОЛ ДХТ'!E11-Цени!U10)+'МЕТ ВИТОЛ ДХТ'!J11*('МЕТ ВИТОЛ ДХТ'!K11-Цени!U10)+'МЕТ ВИТОЛ ДХТ'!P11*('МЕТ ВИТОЛ ДХТ'!Q11-Цени!U10)+'МЕТ ВИТОЛ ДХТ'!V11*('МЕТ ВИТОЛ ДХТ'!W11-Цени!U10)+'МЕТ ВИТОЛ ДХТ'!AB11*('МЕТ ВИТОЛ ДХТ'!AC11-Цени!U10)+'МЕТ ВИТОЛ ДХТ'!AH11*('МЕТ ВИТОЛ ДХТ'!AI11-Цени!U10)+'МЕТ ВИТОЛ ДХТ'!AN11*('МЕТ ВИТОЛ ДХТ'!AO11-Цени!U10)+'МЕТ ВИТОЛ ДХТ'!AT11*('МЕТ ВИТОЛ ДХТ'!AU11-Цени!U10)</f>
        <v>45466.237661499959</v>
      </c>
      <c r="AN11" s="282">
        <v>3890.9</v>
      </c>
      <c r="AO11" s="283">
        <f>AM11-AN11+Перник!T22</f>
        <v>41575.337661499958</v>
      </c>
      <c r="AP11" s="284">
        <v>0</v>
      </c>
      <c r="AQ11" s="285">
        <f t="shared" si="22"/>
        <v>41575.337661499958</v>
      </c>
      <c r="AS11" s="265">
        <f t="shared" si="23"/>
        <v>45634</v>
      </c>
      <c r="AT11" s="289">
        <f t="shared" si="24"/>
        <v>75.89</v>
      </c>
      <c r="AU11" s="289">
        <f t="shared" si="11"/>
        <v>76.531011452561231</v>
      </c>
      <c r="AV11" s="268">
        <f>46*1.95583</f>
        <v>89.968180000000004</v>
      </c>
      <c r="AW11" s="289">
        <f t="shared" si="12"/>
        <v>-13.437168547438773</v>
      </c>
      <c r="AY11" s="265">
        <f t="shared" si="25"/>
        <v>45634</v>
      </c>
      <c r="AZ11" s="290">
        <f>+'ОБЩО NEW за печат'!BP11</f>
        <v>76.531011452561231</v>
      </c>
      <c r="BA11" s="290">
        <f>+'ОБЩО NEW за печат'!BQ11</f>
        <v>85.138722939465779</v>
      </c>
      <c r="BB11" s="289">
        <f t="shared" si="31"/>
        <v>8.6077114869045488</v>
      </c>
      <c r="BD11" s="265">
        <f t="shared" si="26"/>
        <v>45634</v>
      </c>
      <c r="BE11" s="291">
        <f>+BE10+Цени!Y10-Цени!D10</f>
        <v>466235.81100000063</v>
      </c>
      <c r="BF11" s="289">
        <f t="shared" ref="BF11" si="37">+BG11/BE11</f>
        <v>102.64488707135152</v>
      </c>
      <c r="BG11" s="289">
        <f>+BG10+Цени!AA10-Цени!D10*Цени!$Z$1</f>
        <v>47856722.168715052</v>
      </c>
      <c r="BI11" s="265">
        <f t="shared" si="28"/>
        <v>45634</v>
      </c>
      <c r="BJ11" s="321">
        <v>9359727.9399999995</v>
      </c>
      <c r="BK11" s="321">
        <v>2753236.08</v>
      </c>
      <c r="BL11" s="321">
        <v>1965909.42</v>
      </c>
      <c r="BM11" s="321">
        <v>1014254.12</v>
      </c>
      <c r="BN11" s="321">
        <v>2567115.04</v>
      </c>
      <c r="BO11" s="321">
        <v>2295842.69</v>
      </c>
      <c r="BP11" s="321">
        <v>312626.3899999999</v>
      </c>
      <c r="BQ11" s="321">
        <v>0</v>
      </c>
      <c r="BR11" s="294">
        <f t="shared" si="33"/>
        <v>20268711.68</v>
      </c>
      <c r="BT11" s="265">
        <f t="shared" si="29"/>
        <v>45634</v>
      </c>
      <c r="BU11" s="293">
        <f t="shared" si="14"/>
        <v>2597045.7600000016</v>
      </c>
      <c r="BV11" s="293">
        <f t="shared" si="3"/>
        <v>2132214.83</v>
      </c>
      <c r="BW11" s="293">
        <f t="shared" si="15"/>
        <v>196792.96999999974</v>
      </c>
      <c r="BX11" s="293">
        <f t="shared" si="16"/>
        <v>391852.94000000006</v>
      </c>
      <c r="BY11" s="293">
        <f t="shared" si="17"/>
        <v>27263583.090000004</v>
      </c>
      <c r="BZ11" s="293">
        <f t="shared" si="17"/>
        <v>0</v>
      </c>
      <c r="CA11" s="293">
        <f t="shared" si="18"/>
        <v>0</v>
      </c>
      <c r="CB11" s="293">
        <f t="shared" si="19"/>
        <v>3567553.1529600001</v>
      </c>
      <c r="CC11" s="294">
        <f t="shared" si="9"/>
        <v>36149042.742960006</v>
      </c>
      <c r="CE11" s="265">
        <f t="shared" si="30"/>
        <v>45634</v>
      </c>
      <c r="CF11" s="321">
        <v>11956773.700000001</v>
      </c>
      <c r="CG11" s="321">
        <v>4885450.91</v>
      </c>
      <c r="CH11" s="321">
        <v>2162702.3899999997</v>
      </c>
      <c r="CI11" s="321">
        <v>1406107.06</v>
      </c>
      <c r="CJ11" s="321">
        <v>29830698.130000003</v>
      </c>
      <c r="CK11" s="321">
        <v>2295842.69</v>
      </c>
      <c r="CL11" s="321">
        <v>312626.3899999999</v>
      </c>
      <c r="CM11" s="321">
        <v>3567553.1529600001</v>
      </c>
      <c r="CN11" s="294">
        <f t="shared" si="20"/>
        <v>56417754.422959998</v>
      </c>
    </row>
    <row r="12" spans="2:93" x14ac:dyDescent="0.25">
      <c r="B12" s="47">
        <f t="shared" si="21"/>
        <v>45635</v>
      </c>
      <c r="C12" s="269">
        <f>+Плевен!K12+Плевен!L12</f>
        <v>21.826000000000001</v>
      </c>
      <c r="D12" s="270">
        <f>Бургас!H12</f>
        <v>32.226999999999975</v>
      </c>
      <c r="E12" s="270">
        <f>'Враца 1'!H12</f>
        <v>37.115000000000009</v>
      </c>
      <c r="F12" s="270">
        <f>'Враца 2'!H12</f>
        <v>174.96699999999998</v>
      </c>
      <c r="G12" s="271">
        <f>Русе!G12</f>
        <v>0</v>
      </c>
      <c r="H12" s="271">
        <f>+'Русе Кемикълс'!E12</f>
        <v>3.84</v>
      </c>
      <c r="I12" s="271">
        <f>+ЛКМК!E12</f>
        <v>6.2078367629811284</v>
      </c>
      <c r="J12" s="271">
        <f>+'Доминекс про'!E12</f>
        <v>24.521000000000001</v>
      </c>
      <c r="K12" s="271">
        <f>+Труд!E12</f>
        <v>31.716000000000001</v>
      </c>
      <c r="L12" s="271">
        <f>+'Велико Търново'!E12</f>
        <v>0</v>
      </c>
      <c r="M12" s="271">
        <f>+Берус!E12</f>
        <v>0.51600000000000001</v>
      </c>
      <c r="N12" s="271">
        <f>+'Бултекс 1'!E12</f>
        <v>2.3119999999999998</v>
      </c>
      <c r="O12" s="271">
        <f>+Алуком!E12</f>
        <v>3.2589999999999999</v>
      </c>
      <c r="P12" s="271">
        <f>+Илинден!E12</f>
        <v>0</v>
      </c>
      <c r="Q12" s="271">
        <f>+'Ваптех АМ'!E12</f>
        <v>42.622</v>
      </c>
      <c r="R12" s="271">
        <f>+РВД!E12</f>
        <v>25.231000000000002</v>
      </c>
      <c r="S12" s="271">
        <f>+Димитровград!E12</f>
        <v>0</v>
      </c>
      <c r="T12" s="271">
        <f>+Булмаш!E12</f>
        <v>3.7431632370188721</v>
      </c>
      <c r="U12" s="271">
        <f>+HERON!D12</f>
        <v>0</v>
      </c>
      <c r="V12" s="271">
        <f>+'PPC Гърция'!D12</f>
        <v>1500</v>
      </c>
      <c r="W12" s="271">
        <f>+'МЕТ ВИТОЛ ДХТ'!D12+'МЕТ ВИТОЛ ДХТ'!J12+'МЕТ ВИТОЛ ДХТ'!P12+'МЕТ ВИТОЛ ДХТ'!V12+'МЕТ ВИТОЛ ДХТ'!AB12+'МЕТ ВИТОЛ ДХТ'!AH12+'МЕТ ВИТОЛ ДХТ'!AN12+'МЕТ ВИТОЛ ДХТ'!AT12</f>
        <v>3950</v>
      </c>
      <c r="X12" s="271">
        <f>+Цени!Y11</f>
        <v>0</v>
      </c>
      <c r="Y12" s="272">
        <f>Перник!G12</f>
        <v>0</v>
      </c>
      <c r="Z12" s="273">
        <f>'Борса и балансиране'!F12</f>
        <v>0</v>
      </c>
      <c r="AA12" s="269">
        <f>IF(AK12-SUM(G12:Z12,Плевен!K12,Плевен!L12,Бургас!H12,'Враца 1'!H12,'Враца 2'!H12)&gt;=0,AK12-SUM(G12:Z12,Плевен!K12,Плевен!L12,Бургас!H12,'Враца 1'!H12,'Враца 2'!H12),IF(AK12-SUM(G12:Z12,Плевен!K12,Плевен!L12,Бургас!H12,'Враца 1'!H12,'Враца 2'!H12)&lt;=0,0))</f>
        <v>9.0949470177292824E-13</v>
      </c>
      <c r="AB12" s="272">
        <f>IF(AK12-SUM(G12:Z12,Плевен!K12,Плевен!L12,Бургас!H12,'Враца 1'!H12,'Враца 2'!H12)&lt;=0,AK12-SUM(G12:Z12,Плевен!K12,Плевен!L12,Бургас!H12,'Враца 1'!H12,'Враца 2'!H12),IF(AK12-SUM(G12:Z12,Плевен!K12,Плевен!L12,Бургас!H12,'Враца 1'!H12,'Враца 2'!H12)&gt;=0,0))</f>
        <v>0</v>
      </c>
      <c r="AD12" s="278">
        <f>+Цени!L11+Цени!M11+Цени!N11+Цени!O11+Цени!P11</f>
        <v>0</v>
      </c>
      <c r="AE12" s="278">
        <f>+Цени!C11</f>
        <v>14.516</v>
      </c>
      <c r="AF12" s="278">
        <f>+Цени!R11</f>
        <v>0</v>
      </c>
      <c r="AG12" s="278">
        <f>+Цени!Q11</f>
        <v>0</v>
      </c>
      <c r="AH12" s="278">
        <f>+Цени!D11</f>
        <v>4845.5870000000004</v>
      </c>
      <c r="AI12" s="599">
        <f>+Цени!S11</f>
        <v>0</v>
      </c>
      <c r="AJ12" s="279">
        <f>'Борса и балансиране'!C12</f>
        <v>1000</v>
      </c>
      <c r="AK12" s="280">
        <f t="shared" si="10"/>
        <v>5860.1030000000001</v>
      </c>
      <c r="AM12" s="281">
        <f>SUM(Плевен!K12+Бургас!H12+'Враца 1'!H12+'Враца 2'!H12+Русе!G12+'Велико Търново'!E12)*(Цени!V11+Цени!$L$58)+Перник!G12*(Цени!$T$42-Цени!U11+Цени!$L$58)+Плевен!L12*(Цени!$T$43-Цени!U11+Цени!$L$58)+Плевен!R12+Бургас!O12+'Враца 1'!N12+'Враца 2'!N12+Перник!N12+Русе!M12+'Велико Търново'!J12+Димитровград!J12+ЛКМК!L12+Булмаш!L12+'Борса и балансиране'!H12-'Борса и балансиране'!E12+'Борса и балансиране'!N12+'Борса и балансиране'!O12-('Борса и балансиране'!J12+'Борса и балансиране'!K12-'Борса и балансиране'!C12+'Борса и балансиране'!F12)*Цени!U11+Димитровград!E12*(Цени!$T$44-Цени!U11+Цени!$L$58)+(Алуком!E12+'Русе Кемикълс'!E12+'Доминекс про'!E12+Берус!E12+'Бултекс 1'!E12)*(Цени!$T$46-Цени!U11)+(Илинден!E12+'Ваптех АМ'!E12)*(Цени!$T$46-Цени!U11)+ЛКМК!E12*(Цени!$T$45-Цени!U11+Цени!$L$58)+РВД!E12*(Цени!$T$47-Цени!U11)+(Булмаш!E12)*(Цени!$T$45-Цени!U11+Цени!$L$58)+(Труд!E12)*(Цени!$T$46-Цени!U11)+HERON!D12*(HERON!E12-Цени!U11)+'PPC Гърция'!D12*('PPC Гърция'!E12-Цени!U11)+'МЕТ ВИТОЛ ДХТ'!D12*('МЕТ ВИТОЛ ДХТ'!E12-Цени!U11)+'МЕТ ВИТОЛ ДХТ'!J12*('МЕТ ВИТОЛ ДХТ'!K12-Цени!U11)+'МЕТ ВИТОЛ ДХТ'!P12*('МЕТ ВИТОЛ ДХТ'!Q12-Цени!U11)+'МЕТ ВИТОЛ ДХТ'!V12*('МЕТ ВИТОЛ ДХТ'!W12-Цени!U11)+'МЕТ ВИТОЛ ДХТ'!AB12*('МЕТ ВИТОЛ ДХТ'!AC12-Цени!U11)+'МЕТ ВИТОЛ ДХТ'!AH12*('МЕТ ВИТОЛ ДХТ'!AI12-Цени!U11)+'МЕТ ВИТОЛ ДХТ'!AN12*('МЕТ ВИТОЛ ДХТ'!AO12-Цени!U11)+'МЕТ ВИТОЛ ДХТ'!AT12*('МЕТ ВИТОЛ ДХТ'!AU12-Цени!U11)</f>
        <v>46346.072200999894</v>
      </c>
      <c r="AN12" s="282">
        <v>3890.9</v>
      </c>
      <c r="AO12" s="283">
        <f>AM12-AN12+Перник!T23</f>
        <v>42455.172200999892</v>
      </c>
      <c r="AP12" s="284">
        <v>0</v>
      </c>
      <c r="AQ12" s="285">
        <f t="shared" si="22"/>
        <v>42455.172200999892</v>
      </c>
      <c r="AS12" s="265">
        <f t="shared" si="23"/>
        <v>45635</v>
      </c>
      <c r="AT12" s="289">
        <f t="shared" si="24"/>
        <v>75.89</v>
      </c>
      <c r="AU12" s="289">
        <f t="shared" si="11"/>
        <v>77.377786081575707</v>
      </c>
      <c r="AV12" s="268">
        <f>+AV11</f>
        <v>89.968180000000004</v>
      </c>
      <c r="AW12" s="289">
        <f t="shared" si="12"/>
        <v>-12.590393918424297</v>
      </c>
      <c r="AY12" s="265">
        <f t="shared" si="25"/>
        <v>45635</v>
      </c>
      <c r="AZ12" s="290">
        <f>+'ОБЩО NEW за печат'!BP12</f>
        <v>77.377786081575707</v>
      </c>
      <c r="BA12" s="290">
        <f>+'ОБЩО NEW за печат'!BQ12</f>
        <v>85.005920641667899</v>
      </c>
      <c r="BB12" s="289">
        <f t="shared" si="31"/>
        <v>7.6281345600921924</v>
      </c>
      <c r="BD12" s="265">
        <f t="shared" si="26"/>
        <v>45635</v>
      </c>
      <c r="BE12" s="291">
        <f>+BE11+Цени!Y11-Цени!D11</f>
        <v>461390.22400000063</v>
      </c>
      <c r="BF12" s="289">
        <f t="shared" ref="BF12" si="38">+BG12/BE12</f>
        <v>102.64488707135152</v>
      </c>
      <c r="BG12" s="289">
        <f>+BG11+Цени!AA11-Цени!D11*Цени!$Z$1</f>
        <v>47359347.438305646</v>
      </c>
      <c r="BI12" s="265">
        <f t="shared" si="28"/>
        <v>45635</v>
      </c>
      <c r="BJ12" s="321">
        <v>13159019.48</v>
      </c>
      <c r="BK12" s="321">
        <v>2753236.08</v>
      </c>
      <c r="BL12" s="321">
        <v>1965909.42</v>
      </c>
      <c r="BM12" s="321">
        <v>1014254.12</v>
      </c>
      <c r="BN12" s="321">
        <v>2567115.04</v>
      </c>
      <c r="BO12" s="321">
        <v>2295842.69</v>
      </c>
      <c r="BP12" s="321">
        <v>52915.199999999997</v>
      </c>
      <c r="BQ12" s="321">
        <v>0</v>
      </c>
      <c r="BR12" s="294">
        <f t="shared" si="33"/>
        <v>23808292.030000001</v>
      </c>
      <c r="BT12" s="265">
        <f t="shared" si="29"/>
        <v>45635</v>
      </c>
      <c r="BU12" s="293">
        <f t="shared" si="14"/>
        <v>12644149.52999999</v>
      </c>
      <c r="BV12" s="293">
        <f t="shared" si="3"/>
        <v>2082002.6400000025</v>
      </c>
      <c r="BW12" s="293">
        <f t="shared" si="15"/>
        <v>196792.96999999974</v>
      </c>
      <c r="BX12" s="293">
        <f t="shared" si="16"/>
        <v>391852.94000000006</v>
      </c>
      <c r="BY12" s="293">
        <f t="shared" si="17"/>
        <v>27263583.090000004</v>
      </c>
      <c r="BZ12" s="293">
        <f t="shared" si="17"/>
        <v>1501047.7600000002</v>
      </c>
      <c r="CA12" s="293">
        <f t="shared" si="18"/>
        <v>0</v>
      </c>
      <c r="CB12" s="293">
        <f t="shared" si="19"/>
        <v>3567553.1529600001</v>
      </c>
      <c r="CC12" s="294">
        <f t="shared" si="9"/>
        <v>47646982.082959995</v>
      </c>
      <c r="CE12" s="265">
        <f t="shared" si="30"/>
        <v>45635</v>
      </c>
      <c r="CF12" s="321">
        <v>25803169.00999999</v>
      </c>
      <c r="CG12" s="321">
        <v>4835238.7200000025</v>
      </c>
      <c r="CH12" s="321">
        <v>2162702.3899999997</v>
      </c>
      <c r="CI12" s="321">
        <v>1406107.06</v>
      </c>
      <c r="CJ12" s="321">
        <v>29830698.130000003</v>
      </c>
      <c r="CK12" s="321">
        <v>3796890.45</v>
      </c>
      <c r="CL12" s="321">
        <v>52915.199999999997</v>
      </c>
      <c r="CM12" s="321">
        <v>3567553.1529600001</v>
      </c>
      <c r="CN12" s="294">
        <f t="shared" si="20"/>
        <v>71455274.112959996</v>
      </c>
    </row>
    <row r="13" spans="2:93" x14ac:dyDescent="0.25">
      <c r="B13" s="47">
        <f t="shared" si="21"/>
        <v>45636</v>
      </c>
      <c r="C13" s="269">
        <f>+Плевен!K13+Плевен!L13</f>
        <v>47.179000000000002</v>
      </c>
      <c r="D13" s="270">
        <f>Бургас!H13</f>
        <v>45.996000000000095</v>
      </c>
      <c r="E13" s="270">
        <f>'Враца 1'!H13</f>
        <v>17.689000000000021</v>
      </c>
      <c r="F13" s="270">
        <f>'Враца 2'!H13</f>
        <v>209.66899999999998</v>
      </c>
      <c r="G13" s="271">
        <f>Русе!G13</f>
        <v>0</v>
      </c>
      <c r="H13" s="271">
        <f>+'Русе Кемикълс'!E13</f>
        <v>3.097</v>
      </c>
      <c r="I13" s="271">
        <f>+ЛКМК!E13</f>
        <v>4.0049636286442123</v>
      </c>
      <c r="J13" s="271">
        <f>+'Доминекс про'!E13</f>
        <v>26.123999999999999</v>
      </c>
      <c r="K13" s="271">
        <f>+Труд!E13</f>
        <v>1.6779999999999999</v>
      </c>
      <c r="L13" s="271">
        <f>+'Велико Търново'!E13</f>
        <v>3</v>
      </c>
      <c r="M13" s="271">
        <f>+Берус!E13</f>
        <v>0.30099999999999999</v>
      </c>
      <c r="N13" s="271">
        <f>+'Бултекс 1'!E13</f>
        <v>2.2160000000000002</v>
      </c>
      <c r="O13" s="271">
        <f>+Алуком!E13</f>
        <v>1.7529999999999999</v>
      </c>
      <c r="P13" s="271">
        <f>+Илинден!E13</f>
        <v>0</v>
      </c>
      <c r="Q13" s="271">
        <f>+'Ваптех АМ'!E13</f>
        <v>14.068</v>
      </c>
      <c r="R13" s="271">
        <f>+РВД!E13</f>
        <v>25.177</v>
      </c>
      <c r="S13" s="271">
        <f>+Димитровград!E13</f>
        <v>4.7539999999999996</v>
      </c>
      <c r="T13" s="271">
        <f>+Булмаш!E13</f>
        <v>3.0680363713557881</v>
      </c>
      <c r="U13" s="271">
        <f>+HERON!D13</f>
        <v>0</v>
      </c>
      <c r="V13" s="271">
        <f>+'PPC Гърция'!D13</f>
        <v>1500</v>
      </c>
      <c r="W13" s="271">
        <f>+'МЕТ ВИТОЛ ДХТ'!D13+'МЕТ ВИТОЛ ДХТ'!J13+'МЕТ ВИТОЛ ДХТ'!P13+'МЕТ ВИТОЛ ДХТ'!V13+'МЕТ ВИТОЛ ДХТ'!AB13+'МЕТ ВИТОЛ ДХТ'!AH13+'МЕТ ВИТОЛ ДХТ'!AN13+'МЕТ ВИТОЛ ДХТ'!AT13</f>
        <v>3950</v>
      </c>
      <c r="X13" s="271">
        <f>+Цени!Y12</f>
        <v>0</v>
      </c>
      <c r="Y13" s="272">
        <f>Перник!G13</f>
        <v>0</v>
      </c>
      <c r="Z13" s="273">
        <f>'Борса и балансиране'!F13</f>
        <v>0</v>
      </c>
      <c r="AA13" s="269">
        <f>IF(AK13-SUM(G13:Z13,Плевен!K13,Плевен!L13,Бургас!H13,'Враца 1'!H13,'Враца 2'!H13)&gt;=0,AK13-SUM(G13:Z13,Плевен!K13,Плевен!L13,Бургас!H13,'Враца 1'!H13,'Враца 2'!H13),IF(AK13-SUM(G13:Z13,Плевен!K13,Плевен!L13,Бургас!H13,'Враца 1'!H13,'Враца 2'!H13)&lt;=0,0))</f>
        <v>0.32899999999972351</v>
      </c>
      <c r="AB13" s="272">
        <f>IF(AK13-SUM(G13:Z13,Плевен!K13,Плевен!L13,Бургас!H13,'Враца 1'!H13,'Враца 2'!H13)&lt;=0,AK13-SUM(G13:Z13,Плевен!K13,Плевен!L13,Бургас!H13,'Враца 1'!H13,'Враца 2'!H13),IF(AK13-SUM(G13:Z13,Плевен!K13,Плевен!L13,Бургас!H13,'Враца 1'!H13,'Враца 2'!H13)&gt;=0,0))</f>
        <v>0</v>
      </c>
      <c r="AD13" s="278">
        <f>+Цени!L12+Цени!M12+Цени!N12+Цени!O12+Цени!P12</f>
        <v>0</v>
      </c>
      <c r="AE13" s="278">
        <f>+Цени!C12</f>
        <v>14.516</v>
      </c>
      <c r="AF13" s="278">
        <f>+Цени!R12</f>
        <v>0</v>
      </c>
      <c r="AG13" s="278">
        <f>+Цени!Q12</f>
        <v>0</v>
      </c>
      <c r="AH13" s="278">
        <f>+Цени!D12</f>
        <v>4345.5870000000004</v>
      </c>
      <c r="AI13" s="599">
        <f>+Цени!S12</f>
        <v>0</v>
      </c>
      <c r="AJ13" s="279">
        <f>'Борса и балансиране'!C13</f>
        <v>1500</v>
      </c>
      <c r="AK13" s="280">
        <f t="shared" si="10"/>
        <v>5860.1030000000001</v>
      </c>
      <c r="AM13" s="281">
        <f>SUM(Плевен!K13+Бургас!H13+'Враца 1'!H13+'Враца 2'!H13+Русе!G13+'Велико Търново'!E13)*(Цени!V12+Цени!$L$58)+Перник!G13*(Цени!$T$42-Цени!U12+Цени!$L$58)+Плевен!L13*(Цени!$T$43-Цени!U12+Цени!$L$58)+Плевен!R13+Бургас!O13+'Враца 1'!N13+'Враца 2'!N13+Перник!N13+Русе!M13+'Велико Търново'!J13+Димитровград!J13+ЛКМК!L13+Булмаш!L13+'Борса и балансиране'!H13-'Борса и балансиране'!E13+'Борса и балансиране'!N13+'Борса и балансиране'!O13-('Борса и балансиране'!J13+'Борса и балансиране'!K13-'Борса и балансиране'!C13+'Борса и балансиране'!F13)*Цени!U12+Димитровград!E13*(Цени!$T$44-Цени!U12+Цени!$L$58)+(Алуком!E13+'Русе Кемикълс'!E13+'Доминекс про'!E13+Берус!E13+'Бултекс 1'!E13)*(Цени!$T$46-Цени!U12)+(Илинден!E13+'Ваптех АМ'!E13)*(Цени!$T$46-Цени!U12)+ЛКМК!E13*(Цени!$T$45-Цени!U12+Цени!$L$58)+РВД!E13*(Цени!$T$47-Цени!U12)+(Булмаш!E13)*(Цени!$T$45-Цени!U12+Цени!$L$58)+(Труд!E13)*(Цени!$T$46-Цени!U12)+HERON!D13*(HERON!E13-Цени!U12)+'PPC Гърция'!D13*('PPC Гърция'!E13-Цени!U12)+'МЕТ ВИТОЛ ДХТ'!D13*('МЕТ ВИТОЛ ДХТ'!E13-Цени!U12)+'МЕТ ВИТОЛ ДХТ'!J13*('МЕТ ВИТОЛ ДХТ'!K13-Цени!U12)+'МЕТ ВИТОЛ ДХТ'!P13*('МЕТ ВИТОЛ ДХТ'!Q13-Цени!U12)+'МЕТ ВИТОЛ ДХТ'!V13*('МЕТ ВИТОЛ ДХТ'!W13-Цени!U12)+'МЕТ ВИТОЛ ДХТ'!AB13*('МЕТ ВИТОЛ ДХТ'!AC13-Цени!U12)+'МЕТ ВИТОЛ ДХТ'!AH13*('МЕТ ВИТОЛ ДХТ'!AI13-Цени!U12)+'МЕТ ВИТОЛ ДХТ'!AN13*('МЕТ ВИТОЛ ДХТ'!AO13-Цени!U12)+'МЕТ ВИТОЛ ДХТ'!AT13*('МЕТ ВИТОЛ ДХТ'!AU13-Цени!U12)</f>
        <v>42334.005349999999</v>
      </c>
      <c r="AN13" s="282">
        <v>3890.9</v>
      </c>
      <c r="AO13" s="283">
        <f>AM13-AN13+Перник!T24</f>
        <v>38443.105349999998</v>
      </c>
      <c r="AP13" s="284">
        <v>0</v>
      </c>
      <c r="AQ13" s="285">
        <f t="shared" si="22"/>
        <v>38443.105349999998</v>
      </c>
      <c r="AS13" s="265">
        <f t="shared" si="23"/>
        <v>45636</v>
      </c>
      <c r="AT13" s="289">
        <f t="shared" si="24"/>
        <v>75.89</v>
      </c>
      <c r="AU13" s="289">
        <f t="shared" si="11"/>
        <v>77.877777293334248</v>
      </c>
      <c r="AV13" s="268">
        <f>44.175*1.95583</f>
        <v>86.39879024999999</v>
      </c>
      <c r="AW13" s="289">
        <f t="shared" si="12"/>
        <v>-8.5210129566657429</v>
      </c>
      <c r="AY13" s="265">
        <f t="shared" si="25"/>
        <v>45636</v>
      </c>
      <c r="AZ13" s="290">
        <f>+'ОБЩО NEW за печат'!BP13</f>
        <v>77.877777293334248</v>
      </c>
      <c r="BA13" s="290">
        <f>+'ОБЩО NEW за печат'!BQ13</f>
        <v>84.788754917788978</v>
      </c>
      <c r="BB13" s="289">
        <f t="shared" si="31"/>
        <v>6.9109776244547305</v>
      </c>
      <c r="BD13" s="265">
        <f t="shared" si="26"/>
        <v>45636</v>
      </c>
      <c r="BE13" s="291">
        <f>+BE12+Цени!Y12-Цени!D12</f>
        <v>457044.63700000063</v>
      </c>
      <c r="BF13" s="289">
        <f t="shared" ref="BF13" si="39">+BG13/BE13</f>
        <v>102.64488707135152</v>
      </c>
      <c r="BG13" s="289">
        <f>+BG12+Цени!AA12-Цени!D12*Цени!$Z$1</f>
        <v>46913295.151431911</v>
      </c>
      <c r="BI13" s="265">
        <f t="shared" si="28"/>
        <v>45636</v>
      </c>
      <c r="BJ13" s="321">
        <v>13159019.48</v>
      </c>
      <c r="BK13" s="321">
        <v>2753236.08</v>
      </c>
      <c r="BL13" s="321">
        <v>1965909.42</v>
      </c>
      <c r="BM13" s="321">
        <v>1014254.12</v>
      </c>
      <c r="BN13" s="321">
        <v>2567115.04</v>
      </c>
      <c r="BO13" s="321">
        <v>2295842.69</v>
      </c>
      <c r="BP13" s="321">
        <v>420656.25</v>
      </c>
      <c r="BQ13" s="321">
        <v>0</v>
      </c>
      <c r="BR13" s="294">
        <f t="shared" si="33"/>
        <v>24176033.080000002</v>
      </c>
      <c r="BT13" s="265">
        <f t="shared" si="29"/>
        <v>45636</v>
      </c>
      <c r="BU13" s="293">
        <f t="shared" si="14"/>
        <v>12644149.52999999</v>
      </c>
      <c r="BV13" s="293">
        <f t="shared" si="3"/>
        <v>2082002.6400000025</v>
      </c>
      <c r="BW13" s="293">
        <f t="shared" si="15"/>
        <v>196792.96999999974</v>
      </c>
      <c r="BX13" s="293">
        <f t="shared" si="16"/>
        <v>28708.110000000102</v>
      </c>
      <c r="BY13" s="293">
        <f t="shared" si="17"/>
        <v>27263583.090000004</v>
      </c>
      <c r="BZ13" s="293">
        <f t="shared" si="17"/>
        <v>1501047.7600000002</v>
      </c>
      <c r="CA13" s="293">
        <f t="shared" si="18"/>
        <v>0</v>
      </c>
      <c r="CB13" s="293">
        <f t="shared" si="19"/>
        <v>3567553.1529600001</v>
      </c>
      <c r="CC13" s="294">
        <f t="shared" si="9"/>
        <v>47283837.252959996</v>
      </c>
      <c r="CE13" s="265">
        <f t="shared" si="30"/>
        <v>45636</v>
      </c>
      <c r="CF13" s="321">
        <v>25803169.00999999</v>
      </c>
      <c r="CG13" s="321">
        <v>4835238.7200000025</v>
      </c>
      <c r="CH13" s="321">
        <v>2162702.3899999997</v>
      </c>
      <c r="CI13" s="321">
        <v>1042962.2300000001</v>
      </c>
      <c r="CJ13" s="321">
        <v>29830698.130000003</v>
      </c>
      <c r="CK13" s="321">
        <v>3796890.45</v>
      </c>
      <c r="CL13" s="321">
        <v>420656.25</v>
      </c>
      <c r="CM13" s="321">
        <v>3567553.1529600001</v>
      </c>
      <c r="CN13" s="294">
        <f t="shared" si="20"/>
        <v>71459870.332959995</v>
      </c>
    </row>
    <row r="14" spans="2:93" x14ac:dyDescent="0.25">
      <c r="B14" s="47">
        <f t="shared" si="21"/>
        <v>45637</v>
      </c>
      <c r="C14" s="269">
        <f>+Плевен!K14+Плевен!L14</f>
        <v>94.805000000000007</v>
      </c>
      <c r="D14" s="270">
        <f>Бургас!H14</f>
        <v>117.04099999999994</v>
      </c>
      <c r="E14" s="270">
        <f>'Враца 1'!H14</f>
        <v>23.97399999999999</v>
      </c>
      <c r="F14" s="270">
        <f>'Враца 2'!H14</f>
        <v>97.615000000000009</v>
      </c>
      <c r="G14" s="271">
        <f>Русе!G14</f>
        <v>0</v>
      </c>
      <c r="H14" s="271">
        <f>+'Русе Кемикълс'!E14</f>
        <v>2.7</v>
      </c>
      <c r="I14" s="271">
        <f>+ЛКМК!E14</f>
        <v>5.1289007152382107</v>
      </c>
      <c r="J14" s="271">
        <f>+'Доминекс про'!E14</f>
        <v>24.059000000000001</v>
      </c>
      <c r="K14" s="271">
        <f>+Труд!E14</f>
        <v>0.34399999999999997</v>
      </c>
      <c r="L14" s="271">
        <f>+'Велико Търново'!E14</f>
        <v>0</v>
      </c>
      <c r="M14" s="271">
        <f>+Берус!E14</f>
        <v>0.33300000000000002</v>
      </c>
      <c r="N14" s="271">
        <f>+'Бултекс 1'!E14</f>
        <v>2.2799999999999998</v>
      </c>
      <c r="O14" s="271">
        <f>+Алуком!E14</f>
        <v>2.7530000000000001</v>
      </c>
      <c r="P14" s="271">
        <f>+Илинден!E14</f>
        <v>0</v>
      </c>
      <c r="Q14" s="271">
        <f>+'Ваптех АМ'!E14</f>
        <v>9.6259999999999994</v>
      </c>
      <c r="R14" s="271">
        <f>+РВД!E14</f>
        <v>26.274000000000001</v>
      </c>
      <c r="S14" s="271">
        <f>+Димитровград!E14</f>
        <v>0</v>
      </c>
      <c r="T14" s="271">
        <f>+Булмаш!E14</f>
        <v>3.1700992847617893</v>
      </c>
      <c r="U14" s="271">
        <f>+HERON!D14</f>
        <v>0</v>
      </c>
      <c r="V14" s="271">
        <f>+'PPC Гърция'!D14</f>
        <v>1500</v>
      </c>
      <c r="W14" s="271">
        <f>+'МЕТ ВИТОЛ ДХТ'!D14+'МЕТ ВИТОЛ ДХТ'!J14+'МЕТ ВИТОЛ ДХТ'!P14+'МЕТ ВИТОЛ ДХТ'!V14+'МЕТ ВИТОЛ ДХТ'!AB14+'МЕТ ВИТОЛ ДХТ'!AH14+'МЕТ ВИТОЛ ДХТ'!AN14+'МЕТ ВИТОЛ ДХТ'!AT14</f>
        <v>3950</v>
      </c>
      <c r="X14" s="271">
        <f>+Цени!Y13</f>
        <v>0</v>
      </c>
      <c r="Y14" s="272">
        <f>Перник!G14</f>
        <v>0</v>
      </c>
      <c r="Z14" s="273">
        <f>'Борса и балансиране'!F14</f>
        <v>400</v>
      </c>
      <c r="AA14" s="269">
        <f>IF(AK14-SUM(G14:Z14,Плевен!K14,Плевен!L14,Бургас!H14,'Враца 1'!H14,'Враца 2'!H14)&gt;=0,AK14-SUM(G14:Z14,Плевен!K14,Плевен!L14,Бургас!H14,'Враца 1'!H14,'Враца 2'!H14),IF(AK14-SUM(G14:Z14,Плевен!K14,Плевен!L14,Бургас!H14,'Враца 1'!H14,'Враца 2'!H14)&lt;=0,0))</f>
        <v>0</v>
      </c>
      <c r="AB14" s="272">
        <f>IF(AK14-SUM(G14:Z14,Плевен!K14,Плевен!L14,Бургас!H14,'Враца 1'!H14,'Враца 2'!H14)&lt;=0,AK14-SUM(G14:Z14,Плевен!K14,Плевен!L14,Бургас!H14,'Враца 1'!H14,'Враца 2'!H14),IF(AK14-SUM(G14:Z14,Плевен!K14,Плевен!L14,Бургас!H14,'Враца 1'!H14,'Враца 2'!H14)&gt;=0,0))</f>
        <v>0</v>
      </c>
      <c r="AD14" s="278">
        <f>+Цени!L13+Цени!M13+Цени!N13+Цени!O13+Цени!P13</f>
        <v>0</v>
      </c>
      <c r="AE14" s="278">
        <f>+Цени!C13</f>
        <v>14.516</v>
      </c>
      <c r="AF14" s="278">
        <f>+Цени!R13</f>
        <v>0</v>
      </c>
      <c r="AG14" s="278">
        <f>+Цени!Q13</f>
        <v>0</v>
      </c>
      <c r="AH14" s="278">
        <f>+Цени!D13</f>
        <v>4345.5870000000004</v>
      </c>
      <c r="AI14" s="599">
        <f>+Цени!S13</f>
        <v>0</v>
      </c>
      <c r="AJ14" s="279">
        <f>'Борса и балансиране'!C14</f>
        <v>1900</v>
      </c>
      <c r="AK14" s="280">
        <f t="shared" si="10"/>
        <v>6260.1030000000001</v>
      </c>
      <c r="AM14" s="281">
        <f>SUM(Плевен!K14+Бургас!H14+'Враца 1'!H14+'Враца 2'!H14+Русе!G14+'Велико Търново'!E14)*(Цени!V13+Цени!$L$58)+Перник!G14*(Цени!$T$42-Цени!U13+Цени!$L$58)+Плевен!L14*(Цени!$T$43-Цени!U13+Цени!$L$58)+Плевен!R14+Бургас!O14+'Враца 1'!N14+'Враца 2'!N14+Перник!N14+Русе!M14+'Велико Търново'!J14+Димитровград!J14+ЛКМК!L14+Булмаш!L14+'Борса и балансиране'!H14-'Борса и балансиране'!E14+'Борса и балансиране'!N14+'Борса и балансиране'!O14-('Борса и балансиране'!J14+'Борса и балансиране'!K14-'Борса и балансиране'!C14+'Борса и балансиране'!F14)*Цени!U13+Димитровград!E14*(Цени!$T$44-Цени!U13+Цени!$L$58)+(Алуком!E14+'Русе Кемикълс'!E14+'Доминекс про'!E14+Берус!E14+'Бултекс 1'!E14)*(Цени!$T$46-Цени!U13)+(Илинден!E14+'Ваптех АМ'!E14)*(Цени!$T$46-Цени!U13)+ЛКМК!E14*(Цени!$T$45-Цени!U13+Цени!$L$58)+РВД!E14*(Цени!$T$47-Цени!U13)+(Булмаш!E14)*(Цени!$T$45-Цени!U13+Цени!$L$58)+(Труд!E14)*(Цени!$T$46-Цени!U13)+HERON!D14*(HERON!E14-Цени!U13)+'PPC Гърция'!D14*('PPC Гърция'!E14-Цени!U13)+'МЕТ ВИТОЛ ДХТ'!D14*('МЕТ ВИТОЛ ДХТ'!E14-Цени!U13)+'МЕТ ВИТОЛ ДХТ'!J14*('МЕТ ВИТОЛ ДХТ'!K14-Цени!U13)+'МЕТ ВИТОЛ ДХТ'!P14*('МЕТ ВИТОЛ ДХТ'!Q14-Цени!U13)+'МЕТ ВИТОЛ ДХТ'!V14*('МЕТ ВИТОЛ ДХТ'!W14-Цени!U13)+'МЕТ ВИТОЛ ДХТ'!AB14*('МЕТ ВИТОЛ ДХТ'!AC14-Цени!U13)+'МЕТ ВИТОЛ ДХТ'!AH14*('МЕТ ВИТОЛ ДХТ'!AI14-Цени!U13)+'МЕТ ВИТОЛ ДХТ'!AN14*('МЕТ ВИТОЛ ДХТ'!AO14-Цени!U13)+'МЕТ ВИТОЛ ДХТ'!AT14*('МЕТ ВИТОЛ ДХТ'!AU14-Цени!U13)</f>
        <v>42377.855048999969</v>
      </c>
      <c r="AN14" s="282">
        <v>3890.9</v>
      </c>
      <c r="AO14" s="283">
        <f>AM14-AN14+Перник!T25</f>
        <v>38486.955048999967</v>
      </c>
      <c r="AP14" s="284">
        <v>0</v>
      </c>
      <c r="AQ14" s="285">
        <f t="shared" si="22"/>
        <v>38486.955048999967</v>
      </c>
      <c r="AS14" s="265">
        <f t="shared" si="23"/>
        <v>45637</v>
      </c>
      <c r="AT14" s="289">
        <f t="shared" si="24"/>
        <v>75.89</v>
      </c>
      <c r="AU14" s="289">
        <f t="shared" si="11"/>
        <v>77.993412624360957</v>
      </c>
      <c r="AV14" s="268">
        <f>44.75*1.95583</f>
        <v>87.5233925</v>
      </c>
      <c r="AW14" s="289">
        <f t="shared" si="12"/>
        <v>-9.529979875639043</v>
      </c>
      <c r="AY14" s="265">
        <f t="shared" si="25"/>
        <v>45637</v>
      </c>
      <c r="AZ14" s="290">
        <f>+'ОБЩО NEW за печат'!BP14</f>
        <v>77.993412624360957</v>
      </c>
      <c r="BA14" s="290">
        <f>+'ОБЩО NEW за печат'!BQ14</f>
        <v>84.533927791603432</v>
      </c>
      <c r="BB14" s="289">
        <f t="shared" si="31"/>
        <v>6.5405151672424751</v>
      </c>
      <c r="BD14" s="265">
        <f t="shared" si="26"/>
        <v>45637</v>
      </c>
      <c r="BE14" s="291">
        <f>+BE13+Цени!Y13-Цени!D13</f>
        <v>452699.05000000063</v>
      </c>
      <c r="BF14" s="289">
        <f t="shared" ref="BF14" si="40">+BG14/BE14</f>
        <v>102.6448870713515</v>
      </c>
      <c r="BG14" s="289">
        <f>+BG13+Цени!AA13-Цени!D13*Цени!$Z$1</f>
        <v>46467242.864558175</v>
      </c>
      <c r="BI14" s="265">
        <f t="shared" si="28"/>
        <v>45637</v>
      </c>
      <c r="BJ14" s="321">
        <v>13159019.48</v>
      </c>
      <c r="BK14" s="321">
        <v>2753236.08</v>
      </c>
      <c r="BL14" s="321">
        <v>1965909.42</v>
      </c>
      <c r="BM14" s="321">
        <v>1014254.12</v>
      </c>
      <c r="BN14" s="321">
        <v>2567115.04</v>
      </c>
      <c r="BO14" s="321">
        <v>2295842.69</v>
      </c>
      <c r="BP14" s="321">
        <v>391634.65944399999</v>
      </c>
      <c r="BQ14" s="321">
        <v>0</v>
      </c>
      <c r="BR14" s="294">
        <f>SUM(BJ14:BQ14)</f>
        <v>24147011.489444003</v>
      </c>
      <c r="BT14" s="265">
        <f t="shared" si="29"/>
        <v>45637</v>
      </c>
      <c r="BU14" s="293">
        <f t="shared" si="14"/>
        <v>12644149.52999999</v>
      </c>
      <c r="BV14" s="293">
        <f t="shared" si="3"/>
        <v>2082002.6400000025</v>
      </c>
      <c r="BW14" s="293">
        <f t="shared" si="15"/>
        <v>196792.96999999974</v>
      </c>
      <c r="BX14" s="293">
        <f t="shared" si="16"/>
        <v>28708.110000000102</v>
      </c>
      <c r="BY14" s="293">
        <f t="shared" si="17"/>
        <v>27263583.090000004</v>
      </c>
      <c r="BZ14" s="293">
        <f t="shared" si="17"/>
        <v>1501047.7600000002</v>
      </c>
      <c r="CA14" s="293">
        <f t="shared" si="18"/>
        <v>0</v>
      </c>
      <c r="CB14" s="293">
        <f t="shared" si="19"/>
        <v>3567553.1529600001</v>
      </c>
      <c r="CC14" s="294">
        <f t="shared" si="9"/>
        <v>47283837.252959996</v>
      </c>
      <c r="CE14" s="265">
        <f t="shared" si="30"/>
        <v>45637</v>
      </c>
      <c r="CF14" s="321">
        <v>25803169.00999999</v>
      </c>
      <c r="CG14" s="321">
        <v>4835238.7200000025</v>
      </c>
      <c r="CH14" s="321">
        <v>2162702.3899999997</v>
      </c>
      <c r="CI14" s="321">
        <v>1042962.2300000001</v>
      </c>
      <c r="CJ14" s="321">
        <v>29830698.130000003</v>
      </c>
      <c r="CK14" s="321">
        <v>3796890.45</v>
      </c>
      <c r="CL14" s="321">
        <v>391634.65944399999</v>
      </c>
      <c r="CM14" s="321">
        <v>3567553.1529600001</v>
      </c>
      <c r="CN14" s="294">
        <f t="shared" si="20"/>
        <v>71430848.742403999</v>
      </c>
    </row>
    <row r="15" spans="2:93" x14ac:dyDescent="0.25">
      <c r="B15" s="47">
        <f t="shared" si="21"/>
        <v>45638</v>
      </c>
      <c r="C15" s="269">
        <f>+Плевен!K15+Плевен!L15</f>
        <v>62.137999999999998</v>
      </c>
      <c r="D15" s="270">
        <f>Бургас!H15</f>
        <v>90</v>
      </c>
      <c r="E15" s="270">
        <f>'Враца 1'!H15</f>
        <v>55</v>
      </c>
      <c r="F15" s="270">
        <f>'Враца 2'!H15</f>
        <v>75</v>
      </c>
      <c r="G15" s="271">
        <f>Русе!G15</f>
        <v>0</v>
      </c>
      <c r="H15" s="271">
        <f>+'Русе Кемикълс'!E15</f>
        <v>3.097</v>
      </c>
      <c r="I15" s="271">
        <f>+ЛКМК!E15</f>
        <v>3.4577862714508578</v>
      </c>
      <c r="J15" s="271">
        <f>+'Доминекс про'!E15</f>
        <v>25.370999999999999</v>
      </c>
      <c r="K15" s="271">
        <f>+Труд!E15</f>
        <v>0.35499999999999998</v>
      </c>
      <c r="L15" s="271">
        <f>+'Велико Търново'!E15</f>
        <v>0</v>
      </c>
      <c r="M15" s="271">
        <f>+Берус!E15</f>
        <v>0.33300000000000002</v>
      </c>
      <c r="N15" s="271">
        <f>+'Бултекс 1'!E15</f>
        <v>2.3340000000000001</v>
      </c>
      <c r="O15" s="271">
        <f>+Алуком!E15</f>
        <v>0.26900000000000002</v>
      </c>
      <c r="P15" s="271">
        <f>+Илинден!E15</f>
        <v>0.63500000000000001</v>
      </c>
      <c r="Q15" s="271">
        <f>+'Ваптех АМ'!E15</f>
        <v>12.788</v>
      </c>
      <c r="R15" s="271">
        <f>+РВД!E15</f>
        <v>26.113</v>
      </c>
      <c r="S15" s="271">
        <f>+Димитровград!E15</f>
        <v>0</v>
      </c>
      <c r="T15" s="271">
        <f>+Булмаш!E15</f>
        <v>3.2122137285491421</v>
      </c>
      <c r="U15" s="271">
        <f>+HERON!D15</f>
        <v>0</v>
      </c>
      <c r="V15" s="271">
        <f>+'PPC Гърция'!D15</f>
        <v>1500</v>
      </c>
      <c r="W15" s="271">
        <f>+'МЕТ ВИТОЛ ДХТ'!D15+'МЕТ ВИТОЛ ДХТ'!J15+'МЕТ ВИТОЛ ДХТ'!P15+'МЕТ ВИТОЛ ДХТ'!V15+'МЕТ ВИТОЛ ДХТ'!AB15+'МЕТ ВИТОЛ ДХТ'!AH15+'МЕТ ВИТОЛ ДХТ'!AN15+'МЕТ ВИТОЛ ДХТ'!AT15</f>
        <v>3950</v>
      </c>
      <c r="X15" s="271">
        <f>+Цени!Y14</f>
        <v>0</v>
      </c>
      <c r="Y15" s="272">
        <f>Перник!G15</f>
        <v>50</v>
      </c>
      <c r="Z15" s="273">
        <f>'Борса и балансиране'!F15</f>
        <v>0</v>
      </c>
      <c r="AA15" s="269">
        <f>IF(AK15-SUM(G15:Z15,Плевен!K15,Плевен!L15,Бургас!H15,'Враца 1'!H15,'Враца 2'!H15)&gt;=0,AK15-SUM(G15:Z15,Плевен!K15,Плевен!L15,Бургас!H15,'Враца 1'!H15,'Враца 2'!H15),IF(AK15-SUM(G15:Z15,Плевен!K15,Плевен!L15,Бургас!H15,'Враца 1'!H15,'Враца 2'!H15)&lt;=0,0))</f>
        <v>0</v>
      </c>
      <c r="AB15" s="272">
        <f>IF(AK15-SUM(G15:Z15,Плевен!K15,Плевен!L15,Бургас!H15,'Враца 1'!H15,'Враца 2'!H15)&lt;=0,AK15-SUM(G15:Z15,Плевен!K15,Плевен!L15,Бургас!H15,'Враца 1'!H15,'Враца 2'!H15),IF(AK15-SUM(G15:Z15,Плевен!K15,Плевен!L15,Бургас!H15,'Враца 1'!H15,'Враца 2'!H15)&gt;=0,0))</f>
        <v>0</v>
      </c>
      <c r="AD15" s="278">
        <f>+Цени!L14+Цени!M14+Цени!N14+Цени!O14+Цени!P14</f>
        <v>0</v>
      </c>
      <c r="AE15" s="278">
        <f>+Цени!C14</f>
        <v>14.516</v>
      </c>
      <c r="AF15" s="278">
        <f>+Цени!R14</f>
        <v>0</v>
      </c>
      <c r="AG15" s="278">
        <f>+Цени!Q14</f>
        <v>0</v>
      </c>
      <c r="AH15" s="278">
        <f>+Цени!D14</f>
        <v>4345.5870000000004</v>
      </c>
      <c r="AI15" s="599">
        <f>+Цени!S14</f>
        <v>0</v>
      </c>
      <c r="AJ15" s="279">
        <f>'Борса и балансиране'!C15</f>
        <v>1500</v>
      </c>
      <c r="AK15" s="280">
        <f t="shared" si="10"/>
        <v>5860.1030000000001</v>
      </c>
      <c r="AM15" s="281">
        <f>SUM(Плевен!K15+Бургас!H15+'Враца 1'!H15+'Враца 2'!H15+Русе!G15+'Велико Търново'!E15)*(Цени!V14+Цени!$L$58)+Перник!G15*(Цени!$T$42-Цени!U14+Цени!$L$58)+Плевен!L15*(Цени!$T$43-Цени!U14+Цени!$L$58)+Плевен!R15+Бургас!O15+'Враца 1'!N15+'Враца 2'!N15+Перник!N15+Русе!M15+'Велико Търново'!J15+Димитровград!J15+ЛКМК!L15+Булмаш!L15+'Борса и балансиране'!H15-'Борса и балансиране'!E15+'Борса и балансиране'!N15+'Борса и балансиране'!O15-('Борса и балансиране'!J15+'Борса и балансиране'!K15-'Борса и балансиране'!C15+'Борса и балансиране'!F15)*Цени!U14+Димитровград!E15*(Цени!$T$44-Цени!U14+Цени!$L$58)+(Алуком!E15+'Русе Кемикълс'!E15+'Доминекс про'!E15+Берус!E15+'Бултекс 1'!E15)*(Цени!$T$46-Цени!U14)+(Илинден!E15+'Ваптех АМ'!E15)*(Цени!$T$46-Цени!U14)+ЛКМК!E15*(Цени!$T$45-Цени!U14+Цени!$L$58)+РВД!E15*(Цени!$T$47-Цени!U14)+(Булмаш!E15)*(Цени!$T$45-Цени!U14+Цени!$L$58)+(Труд!E15)*(Цени!$T$46-Цени!U14)+HERON!D15*(HERON!E15-Цени!U14)+'PPC Гърция'!D15*('PPC Гърция'!E15-Цени!U14)+'МЕТ ВИТОЛ ДХТ'!D15*('МЕТ ВИТОЛ ДХТ'!E15-Цени!U14)+'МЕТ ВИТОЛ ДХТ'!J15*('МЕТ ВИТОЛ ДХТ'!K15-Цени!U14)+'МЕТ ВИТОЛ ДХТ'!P15*('МЕТ ВИТОЛ ДХТ'!Q15-Цени!U14)+'МЕТ ВИТОЛ ДХТ'!V15*('МЕТ ВИТОЛ ДХТ'!W15-Цени!U14)+'МЕТ ВИТОЛ ДХТ'!AB15*('МЕТ ВИТОЛ ДХТ'!AC15-Цени!U14)+'МЕТ ВИТОЛ ДХТ'!AH15*('МЕТ ВИТОЛ ДХТ'!AI15-Цени!U14)+'МЕТ ВИТОЛ ДХТ'!AN15*('МЕТ ВИТОЛ ДХТ'!AO15-Цени!U14)+'МЕТ ВИТОЛ ДХТ'!AT15*('МЕТ ВИТОЛ ДХТ'!AU15-Цени!U14)</f>
        <v>42102.427987999959</v>
      </c>
      <c r="AN15" s="282">
        <v>3890.9</v>
      </c>
      <c r="AO15" s="283">
        <f>AM15-AN15+Перник!T26</f>
        <v>38211.527987999958</v>
      </c>
      <c r="AP15" s="284">
        <v>0</v>
      </c>
      <c r="AQ15" s="285">
        <f t="shared" si="22"/>
        <v>38211.527987999958</v>
      </c>
      <c r="AS15" s="265">
        <f t="shared" si="23"/>
        <v>45638</v>
      </c>
      <c r="AT15" s="289">
        <f t="shared" si="24"/>
        <v>75.89</v>
      </c>
      <c r="AU15" s="289">
        <f t="shared" si="11"/>
        <v>77.763444831942365</v>
      </c>
      <c r="AV15" s="268">
        <f>44.75*1.95583</f>
        <v>87.5233925</v>
      </c>
      <c r="AW15" s="289">
        <f t="shared" si="12"/>
        <v>-9.7599476680576345</v>
      </c>
      <c r="AY15" s="265">
        <f t="shared" si="25"/>
        <v>45638</v>
      </c>
      <c r="AZ15" s="290">
        <f>+'ОБЩО NEW за печат'!BP15</f>
        <v>77.763444831942365</v>
      </c>
      <c r="BA15" s="290">
        <f>+'ОБЩО NEW за печат'!BQ15</f>
        <v>84.699793189641895</v>
      </c>
      <c r="BB15" s="289">
        <f t="shared" si="31"/>
        <v>6.9363483576995293</v>
      </c>
      <c r="BD15" s="265">
        <f t="shared" si="26"/>
        <v>45638</v>
      </c>
      <c r="BE15" s="291">
        <f>+BE14+Цени!Y14-Цени!D14</f>
        <v>448353.46300000063</v>
      </c>
      <c r="BF15" s="289">
        <f t="shared" ref="BF15" si="41">+BG15/BE15</f>
        <v>102.6448870713515</v>
      </c>
      <c r="BG15" s="289">
        <f>+BG14+Цени!AA14-Цени!D14*Цени!$Z$1</f>
        <v>46021190.57768444</v>
      </c>
      <c r="BI15" s="265">
        <f t="shared" si="28"/>
        <v>45638</v>
      </c>
      <c r="BJ15" s="321">
        <v>13159019.48</v>
      </c>
      <c r="BK15" s="321">
        <v>2753236.08</v>
      </c>
      <c r="BL15" s="321">
        <v>1965909.42</v>
      </c>
      <c r="BM15" s="321">
        <v>1014254.12</v>
      </c>
      <c r="BN15" s="321">
        <v>2567115.04</v>
      </c>
      <c r="BO15" s="321">
        <v>2295842.69</v>
      </c>
      <c r="BP15" s="321">
        <v>214211.4</v>
      </c>
      <c r="BQ15" s="321">
        <v>0</v>
      </c>
      <c r="BR15" s="294">
        <f t="shared" si="33"/>
        <v>23969588.23</v>
      </c>
      <c r="BT15" s="265">
        <f t="shared" si="29"/>
        <v>45638</v>
      </c>
      <c r="BU15" s="293">
        <f t="shared" si="14"/>
        <v>12644149.52999999</v>
      </c>
      <c r="BV15" s="293">
        <f t="shared" si="3"/>
        <v>2082002.6400000025</v>
      </c>
      <c r="BW15" s="293">
        <f t="shared" si="15"/>
        <v>196792.96999999974</v>
      </c>
      <c r="BX15" s="293">
        <f t="shared" si="16"/>
        <v>28708.110000000102</v>
      </c>
      <c r="BY15" s="293">
        <f t="shared" si="17"/>
        <v>27263583.090000004</v>
      </c>
      <c r="BZ15" s="293">
        <f t="shared" si="17"/>
        <v>1501047.7600000002</v>
      </c>
      <c r="CA15" s="293">
        <f t="shared" si="18"/>
        <v>0</v>
      </c>
      <c r="CB15" s="293">
        <f t="shared" si="19"/>
        <v>3567553.1529600001</v>
      </c>
      <c r="CC15" s="294">
        <f t="shared" si="9"/>
        <v>47283837.252959996</v>
      </c>
      <c r="CE15" s="265">
        <f t="shared" si="30"/>
        <v>45638</v>
      </c>
      <c r="CF15" s="321">
        <v>25803169.00999999</v>
      </c>
      <c r="CG15" s="321">
        <v>4835238.7200000025</v>
      </c>
      <c r="CH15" s="321">
        <v>2162702.3899999997</v>
      </c>
      <c r="CI15" s="321">
        <v>1042962.2300000001</v>
      </c>
      <c r="CJ15" s="321">
        <v>29830698.130000003</v>
      </c>
      <c r="CK15" s="321">
        <v>3796890.45</v>
      </c>
      <c r="CL15" s="321">
        <v>214211.4</v>
      </c>
      <c r="CM15" s="321">
        <v>3567553.1529600001</v>
      </c>
      <c r="CN15" s="294">
        <f t="shared" si="20"/>
        <v>71253425.482960001</v>
      </c>
      <c r="CO15" s="23"/>
    </row>
    <row r="16" spans="2:93" x14ac:dyDescent="0.25">
      <c r="B16" s="47">
        <f t="shared" si="21"/>
        <v>45639</v>
      </c>
      <c r="C16" s="269">
        <f>+Плевен!K16+Плевен!L16</f>
        <v>137.31899999999999</v>
      </c>
      <c r="D16" s="270">
        <f>Бургас!H16</f>
        <v>100</v>
      </c>
      <c r="E16" s="270">
        <f>'Враца 1'!H16</f>
        <v>45</v>
      </c>
      <c r="F16" s="270">
        <f>'Враца 2'!H16</f>
        <v>56.246000000000009</v>
      </c>
      <c r="G16" s="271">
        <f>Русе!G16</f>
        <v>0</v>
      </c>
      <c r="H16" s="271">
        <f>+'Русе Кемикълс'!E16</f>
        <v>3.2269999999999999</v>
      </c>
      <c r="I16" s="271">
        <f>+ЛКМК!E16</f>
        <v>0.43190377804014163</v>
      </c>
      <c r="J16" s="271">
        <f>+'Доминекс про'!E16</f>
        <v>24.704000000000001</v>
      </c>
      <c r="K16" s="271">
        <f>+Труд!E16</f>
        <v>0.35499999999999998</v>
      </c>
      <c r="L16" s="271">
        <f>+'Велико Търново'!E16</f>
        <v>0</v>
      </c>
      <c r="M16" s="271">
        <f>+Берус!E16</f>
        <v>0.33300000000000002</v>
      </c>
      <c r="N16" s="271">
        <f>+'Бултекс 1'!E16</f>
        <v>2.2589999999999999</v>
      </c>
      <c r="O16" s="271">
        <f>+Алуком!E16</f>
        <v>4.3019999999999996</v>
      </c>
      <c r="P16" s="271">
        <f>+Илинден!E16</f>
        <v>1.409</v>
      </c>
      <c r="Q16" s="271">
        <f>+'Ваптех АМ'!E16</f>
        <v>9.3460000000000001</v>
      </c>
      <c r="R16" s="271">
        <f>+РВД!E16</f>
        <v>28.995000000000001</v>
      </c>
      <c r="S16" s="271">
        <f>+Димитровград!E16</f>
        <v>373.94099999999997</v>
      </c>
      <c r="T16" s="271">
        <f>+Булмаш!E16</f>
        <v>2.9710962219598582</v>
      </c>
      <c r="U16" s="271">
        <f>+HERON!D16</f>
        <v>0</v>
      </c>
      <c r="V16" s="271">
        <f>+'PPC Гърция'!D16</f>
        <v>1500</v>
      </c>
      <c r="W16" s="271">
        <f>+'МЕТ ВИТОЛ ДХТ'!D16+'МЕТ ВИТОЛ ДХТ'!J16+'МЕТ ВИТОЛ ДХТ'!P16+'МЕТ ВИТОЛ ДХТ'!V16+'МЕТ ВИТОЛ ДХТ'!AB16+'МЕТ ВИТОЛ ДХТ'!AH16+'МЕТ ВИТОЛ ДХТ'!AN16+'МЕТ ВИТОЛ ДХТ'!AT16</f>
        <v>3950</v>
      </c>
      <c r="X16" s="271">
        <f>+Цени!Y15</f>
        <v>0</v>
      </c>
      <c r="Y16" s="272">
        <f>Перник!G16</f>
        <v>0</v>
      </c>
      <c r="Z16" s="273">
        <f>'Борса и балансиране'!F16</f>
        <v>0</v>
      </c>
      <c r="AA16" s="269">
        <f>IF(AK16-SUM(G16:Z16,Плевен!K16,Плевен!L16,Бургас!H16,'Враца 1'!H16,'Враца 2'!H16)&gt;=0,AK16-SUM(G16:Z16,Плевен!K16,Плевен!L16,Бургас!H16,'Враца 1'!H16,'Враца 2'!H16),IF(AK16-SUM(G16:Z16,Плевен!K16,Плевен!L16,Бургас!H16,'Враца 1'!H16,'Враца 2'!H16)&lt;=0,0))</f>
        <v>0</v>
      </c>
      <c r="AB16" s="272">
        <f>IF(AK16-SUM(G16:Z16,Плевен!K16,Плевен!L16,Бургас!H16,'Враца 1'!H16,'Враца 2'!H16)&lt;=0,AK16-SUM(G16:Z16,Плевен!K16,Плевен!L16,Бургас!H16,'Враца 1'!H16,'Враца 2'!H16),IF(AK16-SUM(G16:Z16,Плевен!K16,Плевен!L16,Бургас!H16,'Враца 1'!H16,'Враца 2'!H16)&gt;=0,0))</f>
        <v>-0.73599999999987631</v>
      </c>
      <c r="AD16" s="278">
        <f>+Цени!L15+Цени!M15+Цени!N15+Цени!O15+Цени!P15</f>
        <v>0</v>
      </c>
      <c r="AE16" s="278">
        <f>+Цени!C15</f>
        <v>14.516</v>
      </c>
      <c r="AF16" s="278">
        <f>+Цени!R15</f>
        <v>0</v>
      </c>
      <c r="AG16" s="278">
        <f>+Цени!Q15</f>
        <v>0</v>
      </c>
      <c r="AH16" s="278">
        <f>+Цени!D15</f>
        <v>4345.5870000000004</v>
      </c>
      <c r="AI16" s="599">
        <f>+Цени!S15</f>
        <v>0</v>
      </c>
      <c r="AJ16" s="279">
        <f>'Борса и балансиране'!C16</f>
        <v>1880</v>
      </c>
      <c r="AK16" s="280">
        <f t="shared" si="10"/>
        <v>6240.1030000000001</v>
      </c>
      <c r="AM16" s="281">
        <f>SUM(Плевен!K16+Бургас!H16+'Враца 1'!H16+'Враца 2'!H16+Русе!G16+'Велико Търново'!E16)*(Цени!V15+Цени!$L$58)+Перник!G16*(Цени!$T$42-Цени!U15+Цени!$L$58)+Плевен!L16*(Цени!$T$43-Цени!U15+Цени!$L$58)+Плевен!R16+Бургас!O16+'Враца 1'!N16+'Враца 2'!N16+Перник!N16+Русе!M16+'Велико Търново'!J16+Димитровград!J16+ЛКМК!L16+Булмаш!L16+'Борса и балансиране'!H16-'Борса и балансиране'!E16+'Борса и балансиране'!N16+'Борса и балансиране'!O16-('Борса и балансиране'!J16+'Борса и балансиране'!K16-'Борса и балансиране'!C16+'Борса и балансиране'!F16)*Цени!U15+Димитровград!E16*(Цени!$T$44-Цени!U15+Цени!$L$58)+(Алуком!E16+'Русе Кемикълс'!E16+'Доминекс про'!E16+Берус!E16+'Бултекс 1'!E16)*(Цени!$T$46-Цени!U15)+(Илинден!E16+'Ваптех АМ'!E16)*(Цени!$T$46-Цени!U15)+ЛКМК!E16*(Цени!$T$45-Цени!U15+Цени!$L$58)+РВД!E16*(Цени!$T$47-Цени!U15)+(Булмаш!E16)*(Цени!$T$45-Цени!U15+Цени!$L$58)+(Труд!E16)*(Цени!$T$46-Цени!U15)+HERON!D16*(HERON!E16-Цени!U15)+'PPC Гърция'!D16*('PPC Гърция'!E16-Цени!U15)+'МЕТ ВИТОЛ ДХТ'!D16*('МЕТ ВИТОЛ ДХТ'!E16-Цени!U15)+'МЕТ ВИТОЛ ДХТ'!J16*('МЕТ ВИТОЛ ДХТ'!K16-Цени!U15)+'МЕТ ВИТОЛ ДХТ'!P16*('МЕТ ВИТОЛ ДХТ'!Q16-Цени!U15)+'МЕТ ВИТОЛ ДХТ'!V16*('МЕТ ВИТОЛ ДХТ'!W16-Цени!U15)+'МЕТ ВИТОЛ ДХТ'!AB16*('МЕТ ВИТОЛ ДХТ'!AC16-Цени!U15)+'МЕТ ВИТОЛ ДХТ'!AH16*('МЕТ ВИТОЛ ДХТ'!AI16-Цени!U15)+'МЕТ ВИТОЛ ДХТ'!AN16*('МЕТ ВИТОЛ ДХТ'!AO16-Цени!U15)+'МЕТ ВИТОЛ ДХТ'!AT16*('МЕТ ВИТОЛ ДХТ'!AU16-Цени!U15)</f>
        <v>44522.926001499931</v>
      </c>
      <c r="AN16" s="282">
        <v>3890.9</v>
      </c>
      <c r="AO16" s="283">
        <f>AM16-AN16+Перник!T27</f>
        <v>40632.026001499929</v>
      </c>
      <c r="AP16" s="284">
        <v>0</v>
      </c>
      <c r="AQ16" s="285">
        <f t="shared" si="22"/>
        <v>40632.026001499929</v>
      </c>
      <c r="AR16" s="4"/>
      <c r="AS16" s="265">
        <f t="shared" si="23"/>
        <v>45639</v>
      </c>
      <c r="AT16" s="289">
        <f t="shared" si="24"/>
        <v>75.89</v>
      </c>
      <c r="AU16" s="289">
        <f t="shared" si="11"/>
        <v>77.840930738639472</v>
      </c>
      <c r="AV16" s="268">
        <f>42.525*1.95583</f>
        <v>83.17167074999999</v>
      </c>
      <c r="AW16" s="289">
        <f t="shared" si="12"/>
        <v>-5.3307400113605183</v>
      </c>
      <c r="AY16" s="265">
        <f t="shared" si="25"/>
        <v>45639</v>
      </c>
      <c r="AZ16" s="290">
        <f>+'ОБЩО NEW за печат'!BP16</f>
        <v>77.840930738639472</v>
      </c>
      <c r="BA16" s="290">
        <f>+'ОБЩО NEW за печат'!BQ16</f>
        <v>84.441022723066553</v>
      </c>
      <c r="BB16" s="289">
        <f t="shared" si="31"/>
        <v>6.6000919844270811</v>
      </c>
      <c r="BD16" s="265">
        <f t="shared" si="26"/>
        <v>45639</v>
      </c>
      <c r="BE16" s="291">
        <f>+BE15+Цени!Y15-Цени!D15</f>
        <v>444007.87600000063</v>
      </c>
      <c r="BF16" s="289">
        <f t="shared" ref="BF16" si="42">+BG16/BE16</f>
        <v>102.6448870713515</v>
      </c>
      <c r="BG16" s="289">
        <f>+BG15+Цени!AA15-Цени!D15*Цени!$Z$1</f>
        <v>45575138.290810704</v>
      </c>
      <c r="BI16" s="265">
        <f t="shared" si="28"/>
        <v>45639</v>
      </c>
      <c r="BJ16" s="321">
        <v>13159019.48</v>
      </c>
      <c r="BK16" s="321">
        <v>2753236.08</v>
      </c>
      <c r="BL16" s="321">
        <v>1965909.42</v>
      </c>
      <c r="BM16" s="321">
        <v>1014254.12</v>
      </c>
      <c r="BN16" s="321">
        <v>2567115.04</v>
      </c>
      <c r="BO16" s="321">
        <v>2295842.69</v>
      </c>
      <c r="BP16" s="321">
        <v>214211.4</v>
      </c>
      <c r="BQ16" s="321">
        <v>0</v>
      </c>
      <c r="BR16" s="294">
        <f t="shared" si="33"/>
        <v>23969588.23</v>
      </c>
      <c r="BT16" s="265">
        <f t="shared" si="29"/>
        <v>45639</v>
      </c>
      <c r="BU16" s="293">
        <f t="shared" si="14"/>
        <v>12644149.52999999</v>
      </c>
      <c r="BV16" s="293">
        <f t="shared" si="3"/>
        <v>2082002.6400000025</v>
      </c>
      <c r="BW16" s="293">
        <f t="shared" si="15"/>
        <v>196792.96999999974</v>
      </c>
      <c r="BX16" s="293">
        <f t="shared" si="16"/>
        <v>28708.110000000102</v>
      </c>
      <c r="BY16" s="293">
        <f t="shared" si="17"/>
        <v>27263583.090000004</v>
      </c>
      <c r="BZ16" s="293">
        <f t="shared" si="17"/>
        <v>1501047.7600000002</v>
      </c>
      <c r="CA16" s="293">
        <f t="shared" si="18"/>
        <v>0</v>
      </c>
      <c r="CB16" s="293">
        <f t="shared" si="19"/>
        <v>3567553.1529600001</v>
      </c>
      <c r="CC16" s="294">
        <f t="shared" si="9"/>
        <v>47283837.252959996</v>
      </c>
      <c r="CE16" s="265">
        <f t="shared" si="30"/>
        <v>45639</v>
      </c>
      <c r="CF16" s="321">
        <v>25803169.00999999</v>
      </c>
      <c r="CG16" s="321">
        <v>4835238.7200000025</v>
      </c>
      <c r="CH16" s="321">
        <v>2162702.3899999997</v>
      </c>
      <c r="CI16" s="321">
        <v>1042962.2300000001</v>
      </c>
      <c r="CJ16" s="321">
        <v>29830698.130000003</v>
      </c>
      <c r="CK16" s="321">
        <v>3796890.45</v>
      </c>
      <c r="CL16" s="321">
        <v>214211.4</v>
      </c>
      <c r="CM16" s="321">
        <v>3567553.1529600001</v>
      </c>
      <c r="CN16" s="294">
        <f t="shared" si="20"/>
        <v>71253425.482960001</v>
      </c>
      <c r="CO16" s="23"/>
    </row>
    <row r="17" spans="2:93" x14ac:dyDescent="0.25">
      <c r="B17" s="47">
        <f t="shared" si="21"/>
        <v>45640</v>
      </c>
      <c r="C17" s="269">
        <f>+Плевен!K17+Плевен!L17</f>
        <v>101.581</v>
      </c>
      <c r="D17" s="270">
        <f>Бургас!H17</f>
        <v>40</v>
      </c>
      <c r="E17" s="270">
        <f>'Враца 1'!H17</f>
        <v>78</v>
      </c>
      <c r="F17" s="270">
        <f>'Враца 2'!H17</f>
        <v>75.584000000000003</v>
      </c>
      <c r="G17" s="271">
        <f>Русе!G17</f>
        <v>32.835000000000001</v>
      </c>
      <c r="H17" s="271">
        <f>+'Русе Кемикълс'!E17</f>
        <v>2.1509999999999998</v>
      </c>
      <c r="I17" s="271">
        <f>+ЛКМК!E17</f>
        <v>0</v>
      </c>
      <c r="J17" s="271">
        <f>+'Доминекс про'!E17</f>
        <v>6.55</v>
      </c>
      <c r="K17" s="271">
        <f>+Труд!E17</f>
        <v>0</v>
      </c>
      <c r="L17" s="271">
        <f>+'Велико Търново'!E17</f>
        <v>0</v>
      </c>
      <c r="M17" s="271">
        <f>+Берус!E17</f>
        <v>0.32300000000000001</v>
      </c>
      <c r="N17" s="271">
        <f>+'Бултекс 1'!E17</f>
        <v>0.38700000000000001</v>
      </c>
      <c r="O17" s="271">
        <f>+Алуком!E17</f>
        <v>3.4420000000000002</v>
      </c>
      <c r="P17" s="271">
        <f>+Илинден!E17</f>
        <v>0</v>
      </c>
      <c r="Q17" s="271">
        <f>+'Ваптех АМ'!E17</f>
        <v>4.3769999999999998</v>
      </c>
      <c r="R17" s="271">
        <f>+РВД!E17</f>
        <v>28.242999999999999</v>
      </c>
      <c r="S17" s="271">
        <f>+Димитровград!E17</f>
        <v>0</v>
      </c>
      <c r="T17" s="271">
        <f>+Булмаш!E17</f>
        <v>0.997</v>
      </c>
      <c r="U17" s="271">
        <f>+HERON!D17</f>
        <v>0</v>
      </c>
      <c r="V17" s="271">
        <f>+'PPC Гърция'!D17</f>
        <v>1500</v>
      </c>
      <c r="W17" s="271">
        <f>+'МЕТ ВИТОЛ ДХТ'!D17+'МЕТ ВИТОЛ ДХТ'!J17+'МЕТ ВИТОЛ ДХТ'!P17+'МЕТ ВИТОЛ ДХТ'!V17+'МЕТ ВИТОЛ ДХТ'!AB17+'МЕТ ВИТОЛ ДХТ'!AH17+'МЕТ ВИТОЛ ДХТ'!AN17+'МЕТ ВИТОЛ ДХТ'!AT17</f>
        <v>3950</v>
      </c>
      <c r="X17" s="271">
        <f>+Цени!Y16</f>
        <v>0</v>
      </c>
      <c r="Y17" s="272">
        <f>Перник!G17</f>
        <v>36</v>
      </c>
      <c r="Z17" s="273">
        <f>'Борса и балансиране'!F17</f>
        <v>0</v>
      </c>
      <c r="AA17" s="269">
        <f>IF(AK17-SUM(G17:Z17,Плевен!K17,Плевен!L17,Бургас!H17,'Враца 1'!H17,'Враца 2'!H17)&gt;=0,AK17-SUM(G17:Z17,Плевен!K17,Плевен!L17,Бургас!H17,'Враца 1'!H17,'Враца 2'!H17),IF(AK17-SUM(G17:Z17,Плевен!K17,Плевен!L17,Бургас!H17,'Враца 1'!H17,'Враца 2'!H17)&lt;=0,0))</f>
        <v>0</v>
      </c>
      <c r="AB17" s="272">
        <f>IF(AK17-SUM(G17:Z17,Плевен!K17,Плевен!L17,Бургас!H17,'Враца 1'!H17,'Враца 2'!H17)&lt;=0,AK17-SUM(G17:Z17,Плевен!K17,Плевен!L17,Бургас!H17,'Враца 1'!H17,'Враца 2'!H17),IF(AK17-SUM(G17:Z17,Плевен!K17,Плевен!L17,Бургас!H17,'Враца 1'!H17,'Враца 2'!H17)&gt;=0,0))</f>
        <v>-0.36700000000018917</v>
      </c>
      <c r="AD17" s="278">
        <f>+Цени!L16+Цени!M16+Цени!N16+Цени!O16+Цени!P16</f>
        <v>0</v>
      </c>
      <c r="AE17" s="278">
        <f>+Цени!C16</f>
        <v>14.516</v>
      </c>
      <c r="AF17" s="278">
        <f>+Цени!R16</f>
        <v>0</v>
      </c>
      <c r="AG17" s="278">
        <f>+Цени!Q16</f>
        <v>0</v>
      </c>
      <c r="AH17" s="278">
        <f>+Цени!D16</f>
        <v>4345.5870000000004</v>
      </c>
      <c r="AI17" s="599">
        <f>+Цени!S16</f>
        <v>0</v>
      </c>
      <c r="AJ17" s="279">
        <f>'Борса и балансиране'!C17</f>
        <v>1500</v>
      </c>
      <c r="AK17" s="280">
        <f t="shared" si="10"/>
        <v>5860.1030000000001</v>
      </c>
      <c r="AM17" s="281">
        <f>SUM(Плевен!K17+Бургас!H17+'Враца 1'!H17+'Враца 2'!H17+Русе!G17+'Велико Търново'!E17)*(Цени!V16+Цени!$L$58)+Перник!G17*(Цени!$T$42-Цени!U16+Цени!$L$58)+Плевен!L17*(Цени!$T$43-Цени!U16+Цени!$L$58)+Плевен!R17+Бургас!O17+'Враца 1'!N17+'Враца 2'!N17+Перник!N17+Русе!M17+'Велико Търново'!J17+Димитровград!J17+ЛКМК!L17+Булмаш!L17+'Борса и балансиране'!H17-'Борса и балансиране'!E17+'Борса и балансиране'!N17+'Борса и балансиране'!O17-('Борса и балансиране'!J17+'Борса и балансиране'!K17-'Борса и балансиране'!C17+'Борса и балансиране'!F17)*Цени!U16+Димитровград!E17*(Цени!$T$44-Цени!U16+Цени!$L$58)+(Алуком!E17+'Русе Кемикълс'!E17+'Доминекс про'!E17+Берус!E17+'Бултекс 1'!E17)*(Цени!$T$46-Цени!U16)+(Илинден!E17+'Ваптех АМ'!E17)*(Цени!$T$46-Цени!U16)+ЛКМК!E17*(Цени!$T$45-Цени!U16+Цени!$L$58)+РВД!E17*(Цени!$T$47-Цени!U16)+(Булмаш!E17)*(Цени!$T$45-Цени!U16+Цени!$L$58)+(Труд!E17)*(Цени!$T$46-Цени!U16)+HERON!D17*(HERON!E17-Цени!U16)+'PPC Гърция'!D17*('PPC Гърция'!E17-Цени!U16)+'МЕТ ВИТОЛ ДХТ'!D17*('МЕТ ВИТОЛ ДХТ'!E17-Цени!U16)+'МЕТ ВИТОЛ ДХТ'!J17*('МЕТ ВИТОЛ ДХТ'!K17-Цени!U16)+'МЕТ ВИТОЛ ДХТ'!P17*('МЕТ ВИТОЛ ДХТ'!Q17-Цени!U16)+'МЕТ ВИТОЛ ДХТ'!V17*('МЕТ ВИТОЛ ДХТ'!W17-Цени!U16)+'МЕТ ВИТОЛ ДХТ'!AB17*('МЕТ ВИТОЛ ДХТ'!AC17-Цени!U16)+'МЕТ ВИТОЛ ДХТ'!AH17*('МЕТ ВИТОЛ ДХТ'!AI17-Цени!U16)+'МЕТ ВИТОЛ ДХТ'!AN17*('МЕТ ВИТОЛ ДХТ'!AO17-Цени!U16)+'МЕТ ВИТОЛ ДХТ'!AT17*('МЕТ ВИТОЛ ДХТ'!AU17-Цени!U16)</f>
        <v>42232.107109499972</v>
      </c>
      <c r="AN17" s="282">
        <v>3890.9</v>
      </c>
      <c r="AO17" s="283">
        <f>AM17-AN17+Перник!T28</f>
        <v>38341.20710949997</v>
      </c>
      <c r="AP17" s="284">
        <v>0</v>
      </c>
      <c r="AQ17" s="285">
        <f t="shared" si="22"/>
        <v>38341.20710949997</v>
      </c>
      <c r="AS17" s="265">
        <f t="shared" si="23"/>
        <v>45640</v>
      </c>
      <c r="AT17" s="289">
        <f t="shared" si="24"/>
        <v>75.89</v>
      </c>
      <c r="AU17" s="289">
        <f t="shared" si="11"/>
        <v>77.466381766308828</v>
      </c>
      <c r="AV17" s="268">
        <f>40.225*1.95583</f>
        <v>78.673261749999995</v>
      </c>
      <c r="AW17" s="268">
        <f>31.375*1.95583</f>
        <v>61.364166249999997</v>
      </c>
      <c r="AY17" s="265">
        <f t="shared" si="25"/>
        <v>45640</v>
      </c>
      <c r="AZ17" s="290">
        <f>+'ОБЩО NEW за печат'!BP17</f>
        <v>77.466381766308828</v>
      </c>
      <c r="BA17" s="290">
        <f>+'ОБЩО NEW за печат'!BQ17</f>
        <v>84.443599131127698</v>
      </c>
      <c r="BB17" s="289">
        <f t="shared" si="31"/>
        <v>6.9772173648188698</v>
      </c>
      <c r="BD17" s="265">
        <f t="shared" si="26"/>
        <v>45640</v>
      </c>
      <c r="BE17" s="291">
        <f>+BE16+Цени!Y16-Цени!D16</f>
        <v>439662.28900000063</v>
      </c>
      <c r="BF17" s="289">
        <f t="shared" ref="BF17" si="43">+BG17/BE17</f>
        <v>102.64488707135149</v>
      </c>
      <c r="BG17" s="289">
        <f>+BG16+Цени!AA16-Цени!D16*Цени!$Z$1</f>
        <v>45129086.003936969</v>
      </c>
      <c r="BI17" s="265">
        <f t="shared" si="28"/>
        <v>45640</v>
      </c>
      <c r="BJ17" s="321">
        <v>13159019.48</v>
      </c>
      <c r="BK17" s="321">
        <v>2753236.08</v>
      </c>
      <c r="BL17" s="321">
        <v>1965909.42</v>
      </c>
      <c r="BM17" s="321">
        <v>1014254.12</v>
      </c>
      <c r="BN17" s="321">
        <v>2567115.04</v>
      </c>
      <c r="BO17" s="321">
        <v>2295842.69</v>
      </c>
      <c r="BP17" s="321">
        <v>214211.4</v>
      </c>
      <c r="BQ17" s="321">
        <v>0</v>
      </c>
      <c r="BR17" s="294">
        <f t="shared" si="33"/>
        <v>23969588.23</v>
      </c>
      <c r="BT17" s="265">
        <f t="shared" si="29"/>
        <v>45640</v>
      </c>
      <c r="BU17" s="293">
        <f t="shared" si="14"/>
        <v>12644149.52999999</v>
      </c>
      <c r="BV17" s="293">
        <f t="shared" si="3"/>
        <v>2082002.6400000025</v>
      </c>
      <c r="BW17" s="293">
        <f t="shared" si="15"/>
        <v>196792.96999999974</v>
      </c>
      <c r="BX17" s="293">
        <f t="shared" si="16"/>
        <v>28708.110000000102</v>
      </c>
      <c r="BY17" s="293">
        <f t="shared" si="17"/>
        <v>27263583.090000004</v>
      </c>
      <c r="BZ17" s="293">
        <f t="shared" si="17"/>
        <v>1501047.7600000002</v>
      </c>
      <c r="CA17" s="293">
        <f t="shared" si="18"/>
        <v>0</v>
      </c>
      <c r="CB17" s="293">
        <f t="shared" si="19"/>
        <v>3567553.1529600001</v>
      </c>
      <c r="CC17" s="294">
        <f t="shared" si="9"/>
        <v>47283837.252959996</v>
      </c>
      <c r="CE17" s="265">
        <f t="shared" si="30"/>
        <v>45640</v>
      </c>
      <c r="CF17" s="321">
        <v>25803169.00999999</v>
      </c>
      <c r="CG17" s="321">
        <v>4835238.7200000025</v>
      </c>
      <c r="CH17" s="321">
        <v>2162702.3899999997</v>
      </c>
      <c r="CI17" s="321">
        <v>1042962.2300000001</v>
      </c>
      <c r="CJ17" s="321">
        <v>29830698.130000003</v>
      </c>
      <c r="CK17" s="321">
        <v>3796890.45</v>
      </c>
      <c r="CL17" s="321">
        <v>214211.4</v>
      </c>
      <c r="CM17" s="321">
        <v>3567553.1529600001</v>
      </c>
      <c r="CN17" s="294">
        <f t="shared" si="20"/>
        <v>71253425.482960001</v>
      </c>
      <c r="CO17" s="23"/>
    </row>
    <row r="18" spans="2:93" x14ac:dyDescent="0.25">
      <c r="B18" s="47">
        <f t="shared" si="21"/>
        <v>45641</v>
      </c>
      <c r="C18" s="269">
        <f>+Плевен!K18+Плевен!L18</f>
        <v>63.911000000000001</v>
      </c>
      <c r="D18" s="270">
        <f>Бургас!H18</f>
        <v>40</v>
      </c>
      <c r="E18" s="270">
        <f>'Враца 1'!H18</f>
        <v>82.277000000000044</v>
      </c>
      <c r="F18" s="270">
        <f>'Враца 2'!H18</f>
        <v>100</v>
      </c>
      <c r="G18" s="271">
        <f>Русе!G18</f>
        <v>32.125</v>
      </c>
      <c r="H18" s="271">
        <f>+'Русе Кемикълс'!E18</f>
        <v>3.84</v>
      </c>
      <c r="I18" s="271">
        <f>+ЛКМК!E18</f>
        <v>0</v>
      </c>
      <c r="J18" s="271">
        <f>+'Доминекс про'!E18</f>
        <v>3.8929999999999998</v>
      </c>
      <c r="K18" s="271">
        <f>+Труд!E18</f>
        <v>0</v>
      </c>
      <c r="L18" s="271">
        <f>+'Велико Търново'!E18</f>
        <v>0</v>
      </c>
      <c r="M18" s="271">
        <f>+Берус!E18</f>
        <v>0.32300000000000001</v>
      </c>
      <c r="N18" s="271">
        <f>+'Бултекс 1'!E18</f>
        <v>0.151</v>
      </c>
      <c r="O18" s="271">
        <f>+Алуком!E18</f>
        <v>0</v>
      </c>
      <c r="P18" s="271">
        <f>+Илинден!E18</f>
        <v>0</v>
      </c>
      <c r="Q18" s="271">
        <f>+'Ваптех АМ'!E18</f>
        <v>5.2380000000000004</v>
      </c>
      <c r="R18" s="271">
        <f>+РВД!E18</f>
        <v>27.984999999999999</v>
      </c>
      <c r="S18" s="271">
        <f>+Димитровград!E18</f>
        <v>0</v>
      </c>
      <c r="T18" s="271">
        <f>+Булмаш!E18</f>
        <v>0.36</v>
      </c>
      <c r="U18" s="271">
        <f>+HERON!D18</f>
        <v>0</v>
      </c>
      <c r="V18" s="271">
        <f>+'PPC Гърция'!D18</f>
        <v>1500</v>
      </c>
      <c r="W18" s="271">
        <f>+'МЕТ ВИТОЛ ДХТ'!D18+'МЕТ ВИТОЛ ДХТ'!J18+'МЕТ ВИТОЛ ДХТ'!P18+'МЕТ ВИТОЛ ДХТ'!V18+'МЕТ ВИТОЛ ДХТ'!AB18+'МЕТ ВИТОЛ ДХТ'!AH18+'МЕТ ВИТОЛ ДХТ'!AN18+'МЕТ ВИТОЛ ДХТ'!AT18</f>
        <v>3950</v>
      </c>
      <c r="X18" s="271">
        <f>+Цени!Y17</f>
        <v>0</v>
      </c>
      <c r="Y18" s="272">
        <f>Перник!G18</f>
        <v>50</v>
      </c>
      <c r="Z18" s="273">
        <f>'Борса и балансиране'!F18</f>
        <v>0</v>
      </c>
      <c r="AA18" s="269">
        <f>IF(AK18-SUM(G18:Z18,Плевен!K18,Плевен!L18,Бургас!H18,'Враца 1'!H18,'Враца 2'!H18)&gt;=0,AK18-SUM(G18:Z18,Плевен!K18,Плевен!L18,Бургас!H18,'Враца 1'!H18,'Враца 2'!H18),IF(AK18-SUM(G18:Z18,Плевен!K18,Плевен!L18,Бургас!H18,'Враца 1'!H18,'Враца 2'!H18)&lt;=0,0))</f>
        <v>0</v>
      </c>
      <c r="AB18" s="272">
        <f>IF(AK18-SUM(G18:Z18,Плевен!K18,Плевен!L18,Бургас!H18,'Враца 1'!H18,'Враца 2'!H18)&lt;=0,AK18-SUM(G18:Z18,Плевен!K18,Плевен!L18,Бургас!H18,'Враца 1'!H18,'Враца 2'!H18),IF(AK18-SUM(G18:Z18,Плевен!K18,Плевен!L18,Бургас!H18,'Враца 1'!H18,'Враца 2'!H18)&gt;=0,0))</f>
        <v>0</v>
      </c>
      <c r="AD18" s="278">
        <f>+Цени!L17+Цени!M17+Цени!N17+Цени!O17+Цени!P17</f>
        <v>0</v>
      </c>
      <c r="AE18" s="278">
        <f>+Цени!C17</f>
        <v>14.516</v>
      </c>
      <c r="AF18" s="278">
        <f>+Цени!R17</f>
        <v>0</v>
      </c>
      <c r="AG18" s="278">
        <f>+Цени!Q17</f>
        <v>0</v>
      </c>
      <c r="AH18" s="278">
        <f>+Цени!D17</f>
        <v>4345.5870000000004</v>
      </c>
      <c r="AI18" s="599">
        <f>+Цени!S17</f>
        <v>0</v>
      </c>
      <c r="AJ18" s="279">
        <f>'Борса и балансиране'!C18</f>
        <v>1500</v>
      </c>
      <c r="AK18" s="280">
        <f t="shared" si="10"/>
        <v>5860.1030000000001</v>
      </c>
      <c r="AM18" s="281">
        <f>SUM(Плевен!K18+Бургас!H18+'Враца 1'!H18+'Враца 2'!H18+Русе!G18+'Велико Търново'!E18)*(Цени!V17+Цени!$L$58)+Перник!G18*(Цени!$T$42-Цени!U17+Цени!$L$58)+Плевен!L18*(Цени!$T$43-Цени!U17+Цени!$L$58)+Плевен!R18+Бургас!O18+'Враца 1'!N18+'Враца 2'!N18+Перник!N18+Русе!M18+'Велико Търново'!J18+Димитровград!J18+ЛКМК!L18+Булмаш!L18+'Борса и балансиране'!H18-'Борса и балансиране'!E18+'Борса и балансиране'!N18+'Борса и балансиране'!O18-('Борса и балансиране'!J18+'Борса и балансиране'!K18-'Борса и балансиране'!C18+'Борса и балансиране'!F18)*Цени!U17+Димитровград!E18*(Цени!$T$44-Цени!U17+Цени!$L$58)+(Алуком!E18+'Русе Кемикълс'!E18+'Доминекс про'!E18+Берус!E18+'Бултекс 1'!E18)*(Цени!$T$46-Цени!U17)+(Илинден!E18+'Ваптех АМ'!E18)*(Цени!$T$46-Цени!U17)+ЛКМК!E18*(Цени!$T$45-Цени!U17+Цени!$L$58)+РВД!E18*(Цени!$T$47-Цени!U17)+(Булмаш!E18)*(Цени!$T$45-Цени!U17+Цени!$L$58)+(Труд!E18)*(Цени!$T$46-Цени!U17)+HERON!D18*(HERON!E18-Цени!U17)+'PPC Гърция'!D18*('PPC Гърция'!E18-Цени!U17)+'МЕТ ВИТОЛ ДХТ'!D18*('МЕТ ВИТОЛ ДХТ'!E18-Цени!U17)+'МЕТ ВИТОЛ ДХТ'!J18*('МЕТ ВИТОЛ ДХТ'!K18-Цени!U17)+'МЕТ ВИТОЛ ДХТ'!P18*('МЕТ ВИТОЛ ДХТ'!Q18-Цени!U17)+'МЕТ ВИТОЛ ДХТ'!V18*('МЕТ ВИТОЛ ДХТ'!W18-Цени!U17)+'МЕТ ВИТОЛ ДХТ'!AB18*('МЕТ ВИТОЛ ДХТ'!AC18-Цени!U17)+'МЕТ ВИТОЛ ДХТ'!AH18*('МЕТ ВИТОЛ ДХТ'!AI18-Цени!U17)+'МЕТ ВИТОЛ ДХТ'!AN18*('МЕТ ВИТОЛ ДХТ'!AO18-Цени!U17)+'МЕТ ВИТОЛ ДХТ'!AT18*('МЕТ ВИТОЛ ДХТ'!AU18-Цени!U17)</f>
        <v>42229.881325499948</v>
      </c>
      <c r="AN18" s="282">
        <v>3890.9</v>
      </c>
      <c r="AO18" s="283">
        <f>AM18-AN18+Перник!T29</f>
        <v>38338.981325499946</v>
      </c>
      <c r="AP18" s="284">
        <v>0</v>
      </c>
      <c r="AQ18" s="285">
        <f t="shared" si="22"/>
        <v>38338.981325499946</v>
      </c>
      <c r="AS18" s="265">
        <f t="shared" si="23"/>
        <v>45641</v>
      </c>
      <c r="AT18" s="289">
        <f t="shared" si="24"/>
        <v>75.89</v>
      </c>
      <c r="AU18" s="289">
        <f t="shared" si="11"/>
        <v>77.465668495929151</v>
      </c>
      <c r="AV18" s="268">
        <f>40.95*1.95583</f>
        <v>80.091238500000003</v>
      </c>
      <c r="AW18" s="289">
        <f t="shared" si="12"/>
        <v>-2.6255700040708518</v>
      </c>
      <c r="AY18" s="265">
        <f t="shared" si="25"/>
        <v>45641</v>
      </c>
      <c r="AZ18" s="290">
        <f>+'ОБЩО NEW за печат'!BP18</f>
        <v>77.465668495929151</v>
      </c>
      <c r="BA18" s="290">
        <f>+'ОБЩО NEW за печат'!BQ18</f>
        <v>84.437279971017574</v>
      </c>
      <c r="BB18" s="289">
        <f t="shared" si="31"/>
        <v>6.971611475088423</v>
      </c>
      <c r="BD18" s="265">
        <f t="shared" si="26"/>
        <v>45641</v>
      </c>
      <c r="BE18" s="291">
        <f>+BE17+Цени!Y17-Цени!D17</f>
        <v>435316.70200000063</v>
      </c>
      <c r="BF18" s="289">
        <f t="shared" ref="BF18" si="44">+BG18/BE18</f>
        <v>102.64488707135149</v>
      </c>
      <c r="BG18" s="289">
        <f>+BG17+Цени!AA17-Цени!D17*Цени!$Z$1</f>
        <v>44683033.717063233</v>
      </c>
      <c r="BI18" s="265">
        <f t="shared" si="28"/>
        <v>45641</v>
      </c>
      <c r="BJ18" s="321">
        <v>13159019.48</v>
      </c>
      <c r="BK18" s="321">
        <v>2753236.08</v>
      </c>
      <c r="BL18" s="321">
        <v>1965909.42</v>
      </c>
      <c r="BM18" s="321">
        <v>1014254.12</v>
      </c>
      <c r="BN18" s="321">
        <v>2567115.04</v>
      </c>
      <c r="BO18" s="321">
        <v>2295842.69</v>
      </c>
      <c r="BP18" s="321">
        <v>139080</v>
      </c>
      <c r="BQ18" s="321">
        <v>0</v>
      </c>
      <c r="BR18" s="294">
        <f>SUM(BJ18:BQ18)</f>
        <v>23894456.830000002</v>
      </c>
      <c r="BT18" s="265">
        <f t="shared" si="29"/>
        <v>45641</v>
      </c>
      <c r="BU18" s="293">
        <f t="shared" si="14"/>
        <v>12644149.52999999</v>
      </c>
      <c r="BV18" s="293">
        <f t="shared" si="3"/>
        <v>2082002.6400000025</v>
      </c>
      <c r="BW18" s="293">
        <f t="shared" si="15"/>
        <v>196792.96999999974</v>
      </c>
      <c r="BX18" s="293">
        <f t="shared" si="16"/>
        <v>28708.110000000102</v>
      </c>
      <c r="BY18" s="293">
        <f t="shared" si="17"/>
        <v>27263583.090000004</v>
      </c>
      <c r="BZ18" s="293">
        <f t="shared" si="17"/>
        <v>1501047.7600000002</v>
      </c>
      <c r="CA18" s="293">
        <f t="shared" si="18"/>
        <v>0</v>
      </c>
      <c r="CB18" s="293">
        <f t="shared" si="19"/>
        <v>3567553.1529600001</v>
      </c>
      <c r="CC18" s="294">
        <f>SUM(BU18:CB18)</f>
        <v>47283837.252959996</v>
      </c>
      <c r="CE18" s="265">
        <f t="shared" si="30"/>
        <v>45641</v>
      </c>
      <c r="CF18" s="321">
        <v>25803169.00999999</v>
      </c>
      <c r="CG18" s="321">
        <v>4835238.7200000025</v>
      </c>
      <c r="CH18" s="321">
        <v>2162702.3899999997</v>
      </c>
      <c r="CI18" s="321">
        <v>1042962.2300000001</v>
      </c>
      <c r="CJ18" s="321">
        <v>29830698.130000003</v>
      </c>
      <c r="CK18" s="321">
        <v>3796890.45</v>
      </c>
      <c r="CL18" s="321">
        <v>139080</v>
      </c>
      <c r="CM18" s="321">
        <v>3567553.1529600001</v>
      </c>
      <c r="CN18" s="294">
        <f>SUM(CF18:CM18)</f>
        <v>71178294.082959995</v>
      </c>
      <c r="CO18" s="23"/>
    </row>
    <row r="19" spans="2:93" x14ac:dyDescent="0.25">
      <c r="B19" s="47">
        <f t="shared" si="21"/>
        <v>45642</v>
      </c>
      <c r="C19" s="269">
        <f>+Плевен!K19+Плевен!L19</f>
        <v>134.16499999999999</v>
      </c>
      <c r="D19" s="270">
        <f>Бургас!H19</f>
        <v>85</v>
      </c>
      <c r="E19" s="270">
        <f>'Враца 1'!H19</f>
        <v>60</v>
      </c>
      <c r="F19" s="270">
        <f>'Враца 2'!H19</f>
        <v>50</v>
      </c>
      <c r="G19" s="271">
        <f>Русе!G19</f>
        <v>5.782</v>
      </c>
      <c r="H19" s="271">
        <f>+'Русе Кемикълс'!E19</f>
        <v>4.1079999999999997</v>
      </c>
      <c r="I19" s="271">
        <f>+ЛКМК!E19</f>
        <v>52.354341867197391</v>
      </c>
      <c r="J19" s="271">
        <f>+'Доминекс про'!E19</f>
        <v>26.317</v>
      </c>
      <c r="K19" s="271">
        <f>+Труд!E19</f>
        <v>0.34399999999999997</v>
      </c>
      <c r="L19" s="271">
        <f>+'Велико Търново'!E19</f>
        <v>3</v>
      </c>
      <c r="M19" s="271">
        <f>+Берус!E19</f>
        <v>0.32300000000000001</v>
      </c>
      <c r="N19" s="271">
        <f>+'Бултекс 1'!E19</f>
        <v>2.226</v>
      </c>
      <c r="O19" s="271">
        <f>+Алуком!E19</f>
        <v>0.28000000000000003</v>
      </c>
      <c r="P19" s="271">
        <f>+Илинден!E19</f>
        <v>15.595000000000001</v>
      </c>
      <c r="Q19" s="271">
        <f>+'Ваптех АМ'!E19</f>
        <v>19.047000000000001</v>
      </c>
      <c r="R19" s="271">
        <f>+РВД!E19</f>
        <v>28.189</v>
      </c>
      <c r="S19" s="271">
        <f>+Димитровград!E19</f>
        <v>0</v>
      </c>
      <c r="T19" s="271">
        <f>+Булмаш!E19</f>
        <v>3.3726581328026057</v>
      </c>
      <c r="U19" s="271">
        <f>+HERON!D19</f>
        <v>0</v>
      </c>
      <c r="V19" s="271">
        <f>+'PPC Гърция'!D19</f>
        <v>1500</v>
      </c>
      <c r="W19" s="271">
        <f>+'МЕТ ВИТОЛ ДХТ'!D19+'МЕТ ВИТОЛ ДХТ'!J19+'МЕТ ВИТОЛ ДХТ'!P19+'МЕТ ВИТОЛ ДХТ'!V19+'МЕТ ВИТОЛ ДХТ'!AB19+'МЕТ ВИТОЛ ДХТ'!AH19+'МЕТ ВИТОЛ ДХТ'!AN19+'МЕТ ВИТОЛ ДХТ'!AT19</f>
        <v>3950</v>
      </c>
      <c r="X19" s="271">
        <f>+Цени!Y18</f>
        <v>0</v>
      </c>
      <c r="Y19" s="272">
        <f>Перник!G19</f>
        <v>50</v>
      </c>
      <c r="Z19" s="273">
        <f>'Борса и балансиране'!F19</f>
        <v>0</v>
      </c>
      <c r="AA19" s="269">
        <f>IF(AK19-SUM(G19:Z19,Плевен!K19,Плевен!L19,Бургас!H19,'Враца 1'!H19,'Враца 2'!H19)&gt;=0,AK19-SUM(G19:Z19,Плевен!K19,Плевен!L19,Бургас!H19,'Враца 1'!H19,'Враца 2'!H19),IF(AK19-SUM(G19:Z19,Плевен!K19,Плевен!L19,Бургас!H19,'Враца 1'!H19,'Враца 2'!H19)&lt;=0,0))</f>
        <v>0</v>
      </c>
      <c r="AB19" s="272">
        <f>IF(AK19-SUM(G19:Z19,Плевен!K19,Плевен!L19,Бургас!H19,'Враца 1'!H19,'Враца 2'!H19)&lt;=0,AK19-SUM(G19:Z19,Плевен!K19,Плевен!L19,Бургас!H19,'Враца 1'!H19,'Враца 2'!H19),IF(AK19-SUM(G19:Z19,Плевен!K19,Плевен!L19,Бургас!H19,'Враца 1'!H19,'Враца 2'!H19)&gt;=0,0))</f>
        <v>0</v>
      </c>
      <c r="AD19" s="278">
        <f>+Цени!L18+Цени!M18+Цени!N18+Цени!O18+Цени!P18</f>
        <v>0</v>
      </c>
      <c r="AE19" s="278">
        <f>+Цени!C18</f>
        <v>14.516</v>
      </c>
      <c r="AF19" s="278">
        <f>+Цени!R18</f>
        <v>0</v>
      </c>
      <c r="AG19" s="278">
        <f>+Цени!Q18</f>
        <v>0</v>
      </c>
      <c r="AH19" s="278">
        <f>+Цени!D18</f>
        <v>4345.5870000000004</v>
      </c>
      <c r="AI19" s="599">
        <f>+Цени!S18</f>
        <v>0</v>
      </c>
      <c r="AJ19" s="279">
        <f>'Борса и балансиране'!C19</f>
        <v>1630</v>
      </c>
      <c r="AK19" s="280">
        <f t="shared" si="10"/>
        <v>5990.1030000000001</v>
      </c>
      <c r="AM19" s="281">
        <f>SUM(Плевен!K19+Бургас!H19+'Враца 1'!H19+'Враца 2'!H19+Русе!G19+'Велико Търново'!E19)*(Цени!V18+Цени!$L$58)+Перник!G19*(Цени!$T$42-Цени!U18+Цени!$L$58)+Плевен!L19*(Цени!$T$43-Цени!U18+Цени!$L$58)+Плевен!R19+Бургас!O19+'Враца 1'!N19+'Враца 2'!N19+Перник!N19+Русе!M19+'Велико Търново'!J19+Димитровград!J19+ЛКМК!L19+Булмаш!L19+'Борса и балансиране'!H19-'Борса и балансиране'!E19+'Борса и балансиране'!N19+'Борса и балансиране'!O19-('Борса и балансиране'!J19+'Борса и балансиране'!K19-'Борса и балансиране'!C19+'Борса и балансиране'!F19)*Цени!U18+Димитровград!E19*(Цени!$T$44-Цени!U18+Цени!$L$58)+(Алуком!E19+'Русе Кемикълс'!E19+'Доминекс про'!E19+Берус!E19+'Бултекс 1'!E19)*(Цени!$T$46-Цени!U18)+(Илинден!E19+'Ваптех АМ'!E19)*(Цени!$T$46-Цени!U18)+ЛКМК!E19*(Цени!$T$45-Цени!U18+Цени!$L$58)+РВД!E19*(Цени!$T$47-Цени!U18)+(Булмаш!E19)*(Цени!$T$45-Цени!U18+Цени!$L$58)+(Труд!E19)*(Цени!$T$46-Цени!U18)+HERON!D19*(HERON!E19-Цени!U18)+'PPC Гърция'!D19*('PPC Гърция'!E19-Цени!U18)+'МЕТ ВИТОЛ ДХТ'!D19*('МЕТ ВИТОЛ ДХТ'!E19-Цени!U18)+'МЕТ ВИТОЛ ДХТ'!J19*('МЕТ ВИТОЛ ДХТ'!K19-Цени!U18)+'МЕТ ВИТОЛ ДХТ'!P19*('МЕТ ВИТОЛ ДХТ'!Q19-Цени!U18)+'МЕТ ВИТОЛ ДХТ'!V19*('МЕТ ВИТОЛ ДХТ'!W19-Цени!U18)+'МЕТ ВИТОЛ ДХТ'!AB19*('МЕТ ВИТОЛ ДХТ'!AC19-Цени!U18)+'МЕТ ВИТОЛ ДХТ'!AH19*('МЕТ ВИТОЛ ДХТ'!AI19-Цени!U18)+'МЕТ ВИТОЛ ДХТ'!AN19*('МЕТ ВИТОЛ ДХТ'!AO19-Цени!U18)+'МЕТ ВИТОЛ ДХТ'!AT19*('МЕТ ВИТОЛ ДХТ'!AU19-Цени!U18)</f>
        <v>44252.037418999964</v>
      </c>
      <c r="AN19" s="282">
        <v>3890.9</v>
      </c>
      <c r="AO19" s="283">
        <f>AM19-AN19+Перник!T30</f>
        <v>40361.137418999962</v>
      </c>
      <c r="AP19" s="284">
        <v>0</v>
      </c>
      <c r="AQ19" s="285">
        <f t="shared" si="22"/>
        <v>40361.137418999962</v>
      </c>
      <c r="AS19" s="265">
        <f t="shared" si="23"/>
        <v>45642</v>
      </c>
      <c r="AT19" s="289">
        <f t="shared" si="24"/>
        <v>75.89</v>
      </c>
      <c r="AU19" s="289">
        <f t="shared" si="11"/>
        <v>77.387116106350746</v>
      </c>
      <c r="AV19" s="268">
        <f>+AV18</f>
        <v>80.091238500000003</v>
      </c>
      <c r="AW19" s="289">
        <f t="shared" si="12"/>
        <v>-2.7041223936492571</v>
      </c>
      <c r="AY19" s="265">
        <f t="shared" si="25"/>
        <v>45642</v>
      </c>
      <c r="AZ19" s="290">
        <f>+'ОБЩО NEW за печат'!BP19</f>
        <v>77.387116106350746</v>
      </c>
      <c r="BA19" s="290">
        <f>+'ОБЩО NEW за печат'!BQ19</f>
        <v>84.456051418481451</v>
      </c>
      <c r="BB19" s="289">
        <f t="shared" si="31"/>
        <v>7.068935312130705</v>
      </c>
      <c r="BD19" s="265">
        <f t="shared" si="26"/>
        <v>45642</v>
      </c>
      <c r="BE19" s="291">
        <f>+BE18+Цени!Y18-Цени!D18</f>
        <v>430971.11500000063</v>
      </c>
      <c r="BF19" s="289">
        <f t="shared" ref="BF19" si="45">+BG19/BE19</f>
        <v>102.64488707135148</v>
      </c>
      <c r="BG19" s="289">
        <f>+BG18+Цени!AA18-Цени!D18*Цени!$Z$1</f>
        <v>44236981.430189498</v>
      </c>
      <c r="BI19" s="265">
        <f t="shared" si="28"/>
        <v>45642</v>
      </c>
      <c r="BJ19" s="321">
        <v>13159019.48</v>
      </c>
      <c r="BK19" s="321">
        <v>2753236.08</v>
      </c>
      <c r="BL19" s="321">
        <v>1965909.42</v>
      </c>
      <c r="BM19" s="321">
        <v>1014254.12</v>
      </c>
      <c r="BN19" s="321">
        <v>2567115.04</v>
      </c>
      <c r="BO19" s="321">
        <v>2295842.69</v>
      </c>
      <c r="BP19" s="321">
        <v>266157.44664400001</v>
      </c>
      <c r="BQ19" s="321">
        <v>0</v>
      </c>
      <c r="BR19" s="294">
        <f>SUM(BJ19:BQ19)</f>
        <v>24021534.276644003</v>
      </c>
      <c r="BT19" s="265">
        <f t="shared" si="29"/>
        <v>45642</v>
      </c>
      <c r="BU19" s="293">
        <f t="shared" si="14"/>
        <v>12644149.52999999</v>
      </c>
      <c r="BV19" s="293">
        <f t="shared" si="3"/>
        <v>2082002.6400000025</v>
      </c>
      <c r="BW19" s="293">
        <f t="shared" si="15"/>
        <v>196792.96999999974</v>
      </c>
      <c r="BX19" s="293">
        <f t="shared" si="16"/>
        <v>28708.110000000102</v>
      </c>
      <c r="BY19" s="293">
        <f t="shared" si="17"/>
        <v>27522808.350000001</v>
      </c>
      <c r="BZ19" s="293">
        <f t="shared" si="17"/>
        <v>1501047.7600000002</v>
      </c>
      <c r="CA19" s="293">
        <f t="shared" si="18"/>
        <v>0</v>
      </c>
      <c r="CB19" s="293">
        <f t="shared" si="19"/>
        <v>3567553.1529600001</v>
      </c>
      <c r="CC19" s="294">
        <f t="shared" ref="CC19:CC30" si="46">SUM(BU19:CB19)</f>
        <v>47543062.512959994</v>
      </c>
      <c r="CE19" s="265">
        <f t="shared" si="30"/>
        <v>45642</v>
      </c>
      <c r="CF19" s="321">
        <v>25803169.00999999</v>
      </c>
      <c r="CG19" s="321">
        <v>4835238.7200000025</v>
      </c>
      <c r="CH19" s="321">
        <v>2162702.3899999997</v>
      </c>
      <c r="CI19" s="321">
        <v>1042962.2300000001</v>
      </c>
      <c r="CJ19" s="321">
        <v>30089923.390000001</v>
      </c>
      <c r="CK19" s="321">
        <v>3796890.45</v>
      </c>
      <c r="CL19" s="321">
        <v>266157.44664400001</v>
      </c>
      <c r="CM19" s="321">
        <v>3567553.1529600001</v>
      </c>
      <c r="CN19" s="294">
        <f>SUM(CF19:CM19)</f>
        <v>71564596.789603993</v>
      </c>
    </row>
    <row r="20" spans="2:93" x14ac:dyDescent="0.25">
      <c r="B20" s="47">
        <f t="shared" si="21"/>
        <v>45643</v>
      </c>
      <c r="C20" s="269">
        <f>+Плевен!K20+Плевен!L20</f>
        <v>0</v>
      </c>
      <c r="D20" s="270">
        <f>Бургас!H20</f>
        <v>0</v>
      </c>
      <c r="E20" s="270">
        <f>'Враца 1'!H20</f>
        <v>0</v>
      </c>
      <c r="F20" s="270">
        <f>'Враца 2'!H20</f>
        <v>0</v>
      </c>
      <c r="G20" s="271">
        <f>Русе!G20</f>
        <v>0</v>
      </c>
      <c r="H20" s="271">
        <f>+'Русе Кемикълс'!E20</f>
        <v>0</v>
      </c>
      <c r="I20" s="271">
        <f>+ЛКМК!E20</f>
        <v>0</v>
      </c>
      <c r="J20" s="271">
        <f>+'Доминекс про'!E20</f>
        <v>0</v>
      </c>
      <c r="K20" s="271">
        <f>+Труд!E20</f>
        <v>0</v>
      </c>
      <c r="L20" s="271">
        <f>+'Велико Търново'!E20</f>
        <v>0</v>
      </c>
      <c r="M20" s="271">
        <f>+Берус!E20</f>
        <v>0</v>
      </c>
      <c r="N20" s="271">
        <f>+'Бултекс 1'!E20</f>
        <v>0</v>
      </c>
      <c r="O20" s="271">
        <f>+Алуком!E20</f>
        <v>0</v>
      </c>
      <c r="P20" s="271">
        <f>+Илинден!E20</f>
        <v>0</v>
      </c>
      <c r="Q20" s="271">
        <f>+'Ваптех АМ'!E20</f>
        <v>0</v>
      </c>
      <c r="R20" s="271">
        <f>+РВД!E20</f>
        <v>0</v>
      </c>
      <c r="S20" s="271">
        <f>+Димитровград!E20</f>
        <v>0</v>
      </c>
      <c r="T20" s="271">
        <f>+Булмаш!E20</f>
        <v>0</v>
      </c>
      <c r="U20" s="271">
        <f>+HERON!D20</f>
        <v>0</v>
      </c>
      <c r="V20" s="271">
        <f>+'PPC Гърция'!D20</f>
        <v>0</v>
      </c>
      <c r="W20" s="271">
        <f>+'МЕТ ВИТОЛ ДХТ'!D20+'МЕТ ВИТОЛ ДХТ'!J20+'МЕТ ВИТОЛ ДХТ'!P20+'МЕТ ВИТОЛ ДХТ'!V20+'МЕТ ВИТОЛ ДХТ'!AB20+'МЕТ ВИТОЛ ДХТ'!AH20+'МЕТ ВИТОЛ ДХТ'!AN20+'МЕТ ВИТОЛ ДХТ'!AT20</f>
        <v>0</v>
      </c>
      <c r="X20" s="271">
        <f>+Цени!Y19</f>
        <v>0</v>
      </c>
      <c r="Y20" s="272">
        <f>Перник!G20</f>
        <v>0</v>
      </c>
      <c r="Z20" s="273">
        <f>'Борса и балансиране'!F20</f>
        <v>0</v>
      </c>
      <c r="AA20" s="269">
        <f>IF(AK20-SUM(G20:Z20,Плевен!K20,Плевен!L20,Бургас!H20,'Враца 1'!H20,'Враца 2'!H20)&gt;=0,AK20-SUM(G20:Z20,Плевен!K20,Плевен!L20,Бургас!H20,'Враца 1'!H20,'Враца 2'!H20),IF(AK20-SUM(G20:Z20,Плевен!K20,Плевен!L20,Бургас!H20,'Враца 1'!H20,'Враца 2'!H20)&lt;=0,0))</f>
        <v>0</v>
      </c>
      <c r="AB20" s="272">
        <f>IF(AK20-SUM(G20:Z20,Плевен!K20,Плевен!L20,Бургас!H20,'Враца 1'!H20,'Враца 2'!H20)&lt;=0,AK20-SUM(G20:Z20,Плевен!K20,Плевен!L20,Бургас!H20,'Враца 1'!H20,'Враца 2'!H20),IF(AK20-SUM(G20:Z20,Плевен!K20,Плевен!L20,Бургас!H20,'Враца 1'!H20,'Враца 2'!H20)&gt;=0,0))</f>
        <v>0</v>
      </c>
      <c r="AD20" s="278">
        <f>+Цени!L19+Цени!M19+Цени!N19+Цени!O19+Цени!P19</f>
        <v>0</v>
      </c>
      <c r="AE20" s="278">
        <f>+Цени!C19</f>
        <v>0</v>
      </c>
      <c r="AF20" s="278">
        <f>+Цени!R19</f>
        <v>0</v>
      </c>
      <c r="AG20" s="278">
        <f>+Цени!Q19</f>
        <v>0</v>
      </c>
      <c r="AH20" s="278">
        <f>+Цени!D19</f>
        <v>0</v>
      </c>
      <c r="AI20" s="599">
        <f>+Цени!S19</f>
        <v>0</v>
      </c>
      <c r="AJ20" s="279">
        <f>'Борса и балансиране'!C20</f>
        <v>0</v>
      </c>
      <c r="AK20" s="280">
        <f t="shared" si="10"/>
        <v>0</v>
      </c>
      <c r="AM20" s="281"/>
      <c r="AN20" s="282"/>
      <c r="AO20" s="283">
        <f>AM20-AN20+Перник!T31</f>
        <v>0</v>
      </c>
      <c r="AP20" s="284">
        <v>0</v>
      </c>
      <c r="AQ20" s="285">
        <f t="shared" si="22"/>
        <v>0</v>
      </c>
      <c r="AS20" s="265">
        <f t="shared" si="23"/>
        <v>45643</v>
      </c>
      <c r="AT20" s="289">
        <f t="shared" si="24"/>
        <v>75.89</v>
      </c>
      <c r="AU20" s="289">
        <f t="shared" si="11"/>
        <v>0</v>
      </c>
      <c r="AV20" s="268"/>
      <c r="AW20" s="289">
        <f t="shared" si="12"/>
        <v>0</v>
      </c>
      <c r="AY20" s="265">
        <f t="shared" si="25"/>
        <v>45643</v>
      </c>
      <c r="AZ20" s="290">
        <f>+'ОБЩО NEW за печат'!BP20</f>
        <v>0</v>
      </c>
      <c r="BA20" s="290">
        <f>+'ОБЩО NEW за печат'!BQ20</f>
        <v>0</v>
      </c>
      <c r="BB20" s="289">
        <f t="shared" si="31"/>
        <v>0</v>
      </c>
      <c r="BD20" s="265">
        <f t="shared" si="26"/>
        <v>45643</v>
      </c>
      <c r="BE20" s="291"/>
      <c r="BF20" s="289"/>
      <c r="BG20" s="289"/>
      <c r="BI20" s="265">
        <f t="shared" si="28"/>
        <v>45643</v>
      </c>
      <c r="BJ20" s="321"/>
      <c r="BK20" s="321"/>
      <c r="BL20" s="321"/>
      <c r="BM20" s="321"/>
      <c r="BN20" s="321"/>
      <c r="BO20" s="321"/>
      <c r="BP20" s="321"/>
      <c r="BQ20" s="321"/>
      <c r="BR20" s="294">
        <f>SUM(BJ20:BQ20)</f>
        <v>0</v>
      </c>
      <c r="BT20" s="265">
        <f t="shared" si="29"/>
        <v>45643</v>
      </c>
      <c r="BU20" s="293">
        <f t="shared" si="14"/>
        <v>0</v>
      </c>
      <c r="BV20" s="293">
        <f t="shared" si="3"/>
        <v>0</v>
      </c>
      <c r="BW20" s="293">
        <f t="shared" si="15"/>
        <v>0</v>
      </c>
      <c r="BX20" s="293">
        <f t="shared" si="16"/>
        <v>0</v>
      </c>
      <c r="BY20" s="293">
        <f t="shared" si="17"/>
        <v>0</v>
      </c>
      <c r="BZ20" s="293">
        <f t="shared" si="17"/>
        <v>0</v>
      </c>
      <c r="CA20" s="293">
        <f t="shared" si="18"/>
        <v>0</v>
      </c>
      <c r="CB20" s="293">
        <f t="shared" si="19"/>
        <v>0</v>
      </c>
      <c r="CC20" s="294">
        <f t="shared" si="46"/>
        <v>0</v>
      </c>
      <c r="CE20" s="265">
        <f t="shared" si="30"/>
        <v>45643</v>
      </c>
      <c r="CF20" s="321"/>
      <c r="CG20" s="321"/>
      <c r="CH20" s="321"/>
      <c r="CI20" s="321"/>
      <c r="CJ20" s="321"/>
      <c r="CK20" s="321"/>
      <c r="CL20" s="321"/>
      <c r="CM20" s="321"/>
      <c r="CN20" s="294">
        <f t="shared" ref="CN20:CN30" si="47">SUM(CF20:CM20)</f>
        <v>0</v>
      </c>
    </row>
    <row r="21" spans="2:93" x14ac:dyDescent="0.25">
      <c r="B21" s="47">
        <f t="shared" si="21"/>
        <v>45644</v>
      </c>
      <c r="C21" s="269">
        <f>+Плевен!K21+Плевен!L21</f>
        <v>0</v>
      </c>
      <c r="D21" s="270">
        <f>Бургас!H21</f>
        <v>0</v>
      </c>
      <c r="E21" s="270">
        <f>'Враца 1'!H21</f>
        <v>0</v>
      </c>
      <c r="F21" s="270">
        <f>'Враца 2'!H21</f>
        <v>0</v>
      </c>
      <c r="G21" s="271">
        <f>Русе!G21</f>
        <v>0</v>
      </c>
      <c r="H21" s="271">
        <f>+'Русе Кемикълс'!E21</f>
        <v>0</v>
      </c>
      <c r="I21" s="271">
        <f>+ЛКМК!E21</f>
        <v>0</v>
      </c>
      <c r="J21" s="271">
        <f>+'Доминекс про'!E21</f>
        <v>0</v>
      </c>
      <c r="K21" s="271">
        <f>+Труд!E21</f>
        <v>0</v>
      </c>
      <c r="L21" s="271">
        <f>+'Велико Търново'!E21</f>
        <v>0</v>
      </c>
      <c r="M21" s="271">
        <f>+Берус!E21</f>
        <v>0</v>
      </c>
      <c r="N21" s="271">
        <f>+'Бултекс 1'!E21</f>
        <v>0</v>
      </c>
      <c r="O21" s="271">
        <f>+Алуком!E21</f>
        <v>0</v>
      </c>
      <c r="P21" s="271">
        <f>+Илинден!E21</f>
        <v>0</v>
      </c>
      <c r="Q21" s="271">
        <f>+'Ваптех АМ'!E21</f>
        <v>0</v>
      </c>
      <c r="R21" s="271">
        <f>+РВД!E21</f>
        <v>0</v>
      </c>
      <c r="S21" s="271">
        <f>+Димитровград!E21</f>
        <v>0</v>
      </c>
      <c r="T21" s="271">
        <f>+Булмаш!E21</f>
        <v>0</v>
      </c>
      <c r="U21" s="271">
        <f>+HERON!D21</f>
        <v>0</v>
      </c>
      <c r="V21" s="271">
        <f>+'PPC Гърция'!D21</f>
        <v>0</v>
      </c>
      <c r="W21" s="271">
        <f>+'МЕТ ВИТОЛ ДХТ'!D21+'МЕТ ВИТОЛ ДХТ'!J21+'МЕТ ВИТОЛ ДХТ'!P21+'МЕТ ВИТОЛ ДХТ'!V21+'МЕТ ВИТОЛ ДХТ'!AB21+'МЕТ ВИТОЛ ДХТ'!AH21+'МЕТ ВИТОЛ ДХТ'!AN21+'МЕТ ВИТОЛ ДХТ'!AT21</f>
        <v>0</v>
      </c>
      <c r="X21" s="271">
        <f>+Цени!Y20</f>
        <v>0</v>
      </c>
      <c r="Y21" s="272">
        <f>Перник!G21</f>
        <v>0</v>
      </c>
      <c r="Z21" s="273">
        <f>'Борса и балансиране'!F21</f>
        <v>0</v>
      </c>
      <c r="AA21" s="269">
        <f>IF(AK21-SUM(G21:Z21,Плевен!K21,Плевен!L21,Бургас!H21,'Враца 1'!H21,'Враца 2'!H21)&gt;=0,AK21-SUM(G21:Z21,Плевен!K21,Плевен!L21,Бургас!H21,'Враца 1'!H21,'Враца 2'!H21),IF(AK21-SUM(G21:Z21,Плевен!K21,Плевен!L21,Бургас!H21,'Враца 1'!H21,'Враца 2'!H21)&lt;=0,0))</f>
        <v>0</v>
      </c>
      <c r="AB21" s="272">
        <f>IF(AK21-SUM(G21:Z21,Плевен!K21,Плевен!L21,Бургас!H21,'Враца 1'!H21,'Враца 2'!H21)&lt;=0,AK21-SUM(G21:Z21,Плевен!K21,Плевен!L21,Бургас!H21,'Враца 1'!H21,'Враца 2'!H21),IF(AK21-SUM(G21:Z21,Плевен!K21,Плевен!L21,Бургас!H21,'Враца 1'!H21,'Враца 2'!H21)&gt;=0,0))</f>
        <v>0</v>
      </c>
      <c r="AD21" s="278">
        <f>+Цени!L20+Цени!M20+Цени!N20+Цени!O20+Цени!P20</f>
        <v>0</v>
      </c>
      <c r="AE21" s="278">
        <f>+Цени!C20</f>
        <v>0</v>
      </c>
      <c r="AF21" s="278">
        <f>+Цени!R20</f>
        <v>0</v>
      </c>
      <c r="AG21" s="278">
        <f>+Цени!Q20</f>
        <v>0</v>
      </c>
      <c r="AH21" s="278">
        <f>+Цени!D20</f>
        <v>0</v>
      </c>
      <c r="AI21" s="599">
        <f>+Цени!S20</f>
        <v>0</v>
      </c>
      <c r="AJ21" s="279">
        <f>'Борса и балансиране'!C21</f>
        <v>0</v>
      </c>
      <c r="AK21" s="280">
        <f t="shared" si="10"/>
        <v>0</v>
      </c>
      <c r="AM21" s="281"/>
      <c r="AN21" s="282"/>
      <c r="AO21" s="283">
        <f>AM21-AN21+Перник!T32</f>
        <v>0</v>
      </c>
      <c r="AP21" s="284">
        <v>0</v>
      </c>
      <c r="AQ21" s="285">
        <f t="shared" si="22"/>
        <v>0</v>
      </c>
      <c r="AS21" s="265">
        <f t="shared" si="23"/>
        <v>45644</v>
      </c>
      <c r="AT21" s="289">
        <f t="shared" si="24"/>
        <v>75.89</v>
      </c>
      <c r="AU21" s="289">
        <f t="shared" si="11"/>
        <v>0</v>
      </c>
      <c r="AV21" s="268"/>
      <c r="AW21" s="289">
        <f t="shared" si="12"/>
        <v>0</v>
      </c>
      <c r="AY21" s="265">
        <f t="shared" si="25"/>
        <v>45644</v>
      </c>
      <c r="AZ21" s="290">
        <f>+'ОБЩО NEW за печат'!BP21</f>
        <v>0</v>
      </c>
      <c r="BA21" s="290">
        <f>+'ОБЩО NEW за печат'!BQ21</f>
        <v>0</v>
      </c>
      <c r="BB21" s="289">
        <f t="shared" si="31"/>
        <v>0</v>
      </c>
      <c r="BD21" s="265">
        <f t="shared" si="26"/>
        <v>45644</v>
      </c>
      <c r="BE21" s="291"/>
      <c r="BF21" s="289"/>
      <c r="BG21" s="289"/>
      <c r="BI21" s="265">
        <f t="shared" si="28"/>
        <v>45644</v>
      </c>
      <c r="BJ21" s="321"/>
      <c r="BK21" s="321"/>
      <c r="BL21" s="321"/>
      <c r="BM21" s="321"/>
      <c r="BN21" s="321"/>
      <c r="BO21" s="321"/>
      <c r="BP21" s="321"/>
      <c r="BQ21" s="321"/>
      <c r="BR21" s="294">
        <f>SUM(BJ21:BQ21)</f>
        <v>0</v>
      </c>
      <c r="BT21" s="265">
        <f t="shared" si="29"/>
        <v>45644</v>
      </c>
      <c r="BU21" s="293">
        <f t="shared" si="14"/>
        <v>0</v>
      </c>
      <c r="BV21" s="293">
        <f t="shared" si="3"/>
        <v>0</v>
      </c>
      <c r="BW21" s="293">
        <f t="shared" si="15"/>
        <v>0</v>
      </c>
      <c r="BX21" s="293">
        <f t="shared" si="16"/>
        <v>0</v>
      </c>
      <c r="BY21" s="293">
        <f t="shared" si="17"/>
        <v>0</v>
      </c>
      <c r="BZ21" s="293">
        <f t="shared" si="17"/>
        <v>0</v>
      </c>
      <c r="CA21" s="293">
        <f t="shared" si="18"/>
        <v>0</v>
      </c>
      <c r="CB21" s="293">
        <f t="shared" si="19"/>
        <v>0</v>
      </c>
      <c r="CC21" s="294">
        <f t="shared" si="46"/>
        <v>0</v>
      </c>
      <c r="CD21" s="23"/>
      <c r="CE21" s="265">
        <f t="shared" si="30"/>
        <v>45644</v>
      </c>
      <c r="CF21" s="321"/>
      <c r="CG21" s="321"/>
      <c r="CH21" s="321"/>
      <c r="CI21" s="321"/>
      <c r="CJ21" s="321"/>
      <c r="CK21" s="321"/>
      <c r="CL21" s="321"/>
      <c r="CM21" s="321"/>
      <c r="CN21" s="294">
        <f t="shared" ref="CN21" si="48">SUM(CF21:CM21)</f>
        <v>0</v>
      </c>
      <c r="CO21" s="23"/>
    </row>
    <row r="22" spans="2:93" x14ac:dyDescent="0.25">
      <c r="B22" s="47">
        <f t="shared" si="21"/>
        <v>45645</v>
      </c>
      <c r="C22" s="269">
        <f>+Плевен!K22+Плевен!L22</f>
        <v>0</v>
      </c>
      <c r="D22" s="270">
        <f>Бургас!H22</f>
        <v>0</v>
      </c>
      <c r="E22" s="270">
        <f>'Враца 1'!H22</f>
        <v>0</v>
      </c>
      <c r="F22" s="270">
        <f>'Враца 2'!H22</f>
        <v>0</v>
      </c>
      <c r="G22" s="271">
        <f>Русе!G22</f>
        <v>0</v>
      </c>
      <c r="H22" s="271">
        <f>+'Русе Кемикълс'!E22</f>
        <v>0</v>
      </c>
      <c r="I22" s="271">
        <f>+ЛКМК!E22</f>
        <v>0</v>
      </c>
      <c r="J22" s="271">
        <f>+'Доминекс про'!E22</f>
        <v>0</v>
      </c>
      <c r="K22" s="271">
        <f>+Труд!E22</f>
        <v>0</v>
      </c>
      <c r="L22" s="271">
        <f>+'Велико Търново'!E22</f>
        <v>0</v>
      </c>
      <c r="M22" s="271">
        <f>+Берус!E22</f>
        <v>0</v>
      </c>
      <c r="N22" s="271">
        <f>+'Бултекс 1'!E22</f>
        <v>0</v>
      </c>
      <c r="O22" s="271">
        <f>+Алуком!E22</f>
        <v>0</v>
      </c>
      <c r="P22" s="271">
        <f>+Илинден!E22</f>
        <v>0</v>
      </c>
      <c r="Q22" s="271">
        <f>+'Ваптех АМ'!E22</f>
        <v>0</v>
      </c>
      <c r="R22" s="271">
        <f>+РВД!E22</f>
        <v>0</v>
      </c>
      <c r="S22" s="271">
        <f>+Димитровград!E22</f>
        <v>0</v>
      </c>
      <c r="T22" s="271">
        <f>+Булмаш!E22</f>
        <v>0</v>
      </c>
      <c r="U22" s="271">
        <f>+HERON!D22</f>
        <v>0</v>
      </c>
      <c r="V22" s="271">
        <f>+'PPC Гърция'!D22</f>
        <v>0</v>
      </c>
      <c r="W22" s="271">
        <f>+'МЕТ ВИТОЛ ДХТ'!D22+'МЕТ ВИТОЛ ДХТ'!J22+'МЕТ ВИТОЛ ДХТ'!P22+'МЕТ ВИТОЛ ДХТ'!V22+'МЕТ ВИТОЛ ДХТ'!AB22+'МЕТ ВИТОЛ ДХТ'!AH22+'МЕТ ВИТОЛ ДХТ'!AN22+'МЕТ ВИТОЛ ДХТ'!AT22</f>
        <v>0</v>
      </c>
      <c r="X22" s="271">
        <f>+Цени!Y21</f>
        <v>0</v>
      </c>
      <c r="Y22" s="272">
        <f>Перник!G22</f>
        <v>0</v>
      </c>
      <c r="Z22" s="273">
        <f>'Борса и балансиране'!F22</f>
        <v>0</v>
      </c>
      <c r="AA22" s="269">
        <f>IF(AK22-SUM(G22:Z22,Плевен!K22,Плевен!L22,Бургас!H22,'Враца 1'!H22,'Враца 2'!H22)&gt;=0,AK22-SUM(G22:Z22,Плевен!K22,Плевен!L22,Бургас!H22,'Враца 1'!H22,'Враца 2'!H22),IF(AK22-SUM(G22:Z22,Плевен!K22,Плевен!L22,Бургас!H22,'Враца 1'!H22,'Враца 2'!H22)&lt;=0,0))</f>
        <v>0</v>
      </c>
      <c r="AB22" s="272">
        <f>IF(AK22-SUM(G22:Z22,Плевен!K22,Плевен!L22,Бургас!H22,'Враца 1'!H22,'Враца 2'!H22)&lt;=0,AK22-SUM(G22:Z22,Плевен!K22,Плевен!L22,Бургас!H22,'Враца 1'!H22,'Враца 2'!H22),IF(AK22-SUM(G22:Z22,Плевен!K22,Плевен!L22,Бургас!H22,'Враца 1'!H22,'Враца 2'!H22)&gt;=0,0))</f>
        <v>0</v>
      </c>
      <c r="AD22" s="278">
        <f>+Цени!L21+Цени!M21+Цени!N21+Цени!O21+Цени!P21</f>
        <v>0</v>
      </c>
      <c r="AE22" s="278">
        <f>+Цени!C21</f>
        <v>0</v>
      </c>
      <c r="AF22" s="278">
        <f>+Цени!R21</f>
        <v>0</v>
      </c>
      <c r="AG22" s="278">
        <f>+Цени!Q21</f>
        <v>0</v>
      </c>
      <c r="AH22" s="278">
        <f>+Цени!D21</f>
        <v>0</v>
      </c>
      <c r="AI22" s="599">
        <f>+Цени!S21</f>
        <v>0</v>
      </c>
      <c r="AJ22" s="279">
        <f>'Борса и балансиране'!C22</f>
        <v>0</v>
      </c>
      <c r="AK22" s="280">
        <f t="shared" si="10"/>
        <v>0</v>
      </c>
      <c r="AM22" s="281"/>
      <c r="AN22" s="282"/>
      <c r="AO22" s="283">
        <f>AM22-AN22+Перник!T33</f>
        <v>0</v>
      </c>
      <c r="AP22" s="284">
        <v>0</v>
      </c>
      <c r="AQ22" s="285">
        <f t="shared" si="22"/>
        <v>0</v>
      </c>
      <c r="AS22" s="265">
        <f t="shared" si="23"/>
        <v>45645</v>
      </c>
      <c r="AT22" s="289">
        <f t="shared" si="24"/>
        <v>75.89</v>
      </c>
      <c r="AU22" s="289">
        <f t="shared" si="11"/>
        <v>0</v>
      </c>
      <c r="AV22" s="268"/>
      <c r="AW22" s="289">
        <f t="shared" si="12"/>
        <v>0</v>
      </c>
      <c r="AY22" s="265">
        <f t="shared" si="25"/>
        <v>45645</v>
      </c>
      <c r="AZ22" s="290">
        <f>+'ОБЩО NEW за печат'!BP22</f>
        <v>0</v>
      </c>
      <c r="BA22" s="290">
        <f>+'ОБЩО NEW за печат'!BQ22</f>
        <v>0</v>
      </c>
      <c r="BB22" s="289">
        <f t="shared" si="31"/>
        <v>0</v>
      </c>
      <c r="BD22" s="265">
        <f t="shared" si="26"/>
        <v>45645</v>
      </c>
      <c r="BE22" s="291"/>
      <c r="BF22" s="289"/>
      <c r="BG22" s="289"/>
      <c r="BI22" s="265">
        <f t="shared" si="28"/>
        <v>45645</v>
      </c>
      <c r="BJ22" s="321"/>
      <c r="BK22" s="321"/>
      <c r="BL22" s="321"/>
      <c r="BM22" s="321"/>
      <c r="BN22" s="321"/>
      <c r="BO22" s="321"/>
      <c r="BP22" s="321"/>
      <c r="BQ22" s="321"/>
      <c r="BR22" s="294">
        <f t="shared" ref="BR22:BR30" si="49">SUM(BJ22:BQ22)</f>
        <v>0</v>
      </c>
      <c r="BT22" s="265">
        <f t="shared" si="29"/>
        <v>45645</v>
      </c>
      <c r="BU22" s="293">
        <f t="shared" si="14"/>
        <v>0</v>
      </c>
      <c r="BV22" s="293">
        <f t="shared" si="3"/>
        <v>0</v>
      </c>
      <c r="BW22" s="293">
        <f t="shared" si="15"/>
        <v>0</v>
      </c>
      <c r="BX22" s="293">
        <f t="shared" si="16"/>
        <v>0</v>
      </c>
      <c r="BY22" s="293">
        <f t="shared" si="17"/>
        <v>0</v>
      </c>
      <c r="BZ22" s="293">
        <f t="shared" si="17"/>
        <v>0</v>
      </c>
      <c r="CA22" s="293">
        <f t="shared" si="18"/>
        <v>0</v>
      </c>
      <c r="CB22" s="293">
        <f t="shared" si="19"/>
        <v>0</v>
      </c>
      <c r="CC22" s="294">
        <f t="shared" si="46"/>
        <v>0</v>
      </c>
      <c r="CE22" s="265">
        <f t="shared" si="30"/>
        <v>45645</v>
      </c>
      <c r="CF22" s="321"/>
      <c r="CG22" s="321"/>
      <c r="CH22" s="321"/>
      <c r="CI22" s="321"/>
      <c r="CJ22" s="321"/>
      <c r="CK22" s="321"/>
      <c r="CL22" s="321"/>
      <c r="CM22" s="321"/>
      <c r="CN22" s="294">
        <f t="shared" si="47"/>
        <v>0</v>
      </c>
    </row>
    <row r="23" spans="2:93" x14ac:dyDescent="0.25">
      <c r="B23" s="47">
        <f t="shared" si="21"/>
        <v>45646</v>
      </c>
      <c r="C23" s="269">
        <f>+Плевен!K23+Плевен!L23</f>
        <v>0</v>
      </c>
      <c r="D23" s="270">
        <f>Бургас!H23</f>
        <v>0</v>
      </c>
      <c r="E23" s="270">
        <f>'Враца 1'!H23</f>
        <v>0</v>
      </c>
      <c r="F23" s="270">
        <f>'Враца 2'!H23</f>
        <v>0</v>
      </c>
      <c r="G23" s="271">
        <f>Русе!G23</f>
        <v>0</v>
      </c>
      <c r="H23" s="271">
        <f>+'Русе Кемикълс'!E23</f>
        <v>0</v>
      </c>
      <c r="I23" s="271">
        <f>+ЛКМК!E23</f>
        <v>0</v>
      </c>
      <c r="J23" s="271">
        <f>+'Доминекс про'!E23</f>
        <v>0</v>
      </c>
      <c r="K23" s="271">
        <f>+Труд!E23</f>
        <v>0</v>
      </c>
      <c r="L23" s="271">
        <f>+'Велико Търново'!E23</f>
        <v>0</v>
      </c>
      <c r="M23" s="271">
        <f>+Берус!E23</f>
        <v>0</v>
      </c>
      <c r="N23" s="271">
        <f>+'Бултекс 1'!E23</f>
        <v>0</v>
      </c>
      <c r="O23" s="271">
        <f>+Алуком!E23</f>
        <v>0</v>
      </c>
      <c r="P23" s="271">
        <f>+Илинден!E23</f>
        <v>0</v>
      </c>
      <c r="Q23" s="271">
        <f>+'Ваптех АМ'!E23</f>
        <v>0</v>
      </c>
      <c r="R23" s="271">
        <f>+РВД!E23</f>
        <v>0</v>
      </c>
      <c r="S23" s="271">
        <f>+Димитровград!E23</f>
        <v>0</v>
      </c>
      <c r="T23" s="271">
        <f>+Булмаш!E23</f>
        <v>0</v>
      </c>
      <c r="U23" s="271">
        <f>+HERON!D23</f>
        <v>0</v>
      </c>
      <c r="V23" s="271">
        <f>+'PPC Гърция'!D23</f>
        <v>0</v>
      </c>
      <c r="W23" s="271">
        <f>+'МЕТ ВИТОЛ ДХТ'!D23+'МЕТ ВИТОЛ ДХТ'!J23+'МЕТ ВИТОЛ ДХТ'!P23+'МЕТ ВИТОЛ ДХТ'!V23+'МЕТ ВИТОЛ ДХТ'!AB23+'МЕТ ВИТОЛ ДХТ'!AH23+'МЕТ ВИТОЛ ДХТ'!AN23+'МЕТ ВИТОЛ ДХТ'!AT23</f>
        <v>0</v>
      </c>
      <c r="X23" s="271">
        <f>+Цени!Y22</f>
        <v>0</v>
      </c>
      <c r="Y23" s="272">
        <f>Перник!G23</f>
        <v>0</v>
      </c>
      <c r="Z23" s="273">
        <f>'Борса и балансиране'!F23</f>
        <v>0</v>
      </c>
      <c r="AA23" s="269">
        <f>IF(AK23-SUM(G23:Z23,Плевен!K23,Плевен!L23,Бургас!H23,'Враца 1'!H23,'Враца 2'!H23)&gt;=0,AK23-SUM(G23:Z23,Плевен!K23,Плевен!L23,Бургас!H23,'Враца 1'!H23,'Враца 2'!H23),IF(AK23-SUM(G23:Z23,Плевен!K23,Плевен!L23,Бургас!H23,'Враца 1'!H23,'Враца 2'!H23)&lt;=0,0))</f>
        <v>0</v>
      </c>
      <c r="AB23" s="272">
        <f>IF(AK23-SUM(G23:Z23,Плевен!K23,Плевен!L23,Бургас!H23,'Враца 1'!H23,'Враца 2'!H23)&lt;=0,AK23-SUM(G23:Z23,Плевен!K23,Плевен!L23,Бургас!H23,'Враца 1'!H23,'Враца 2'!H23),IF(AK23-SUM(G23:Z23,Плевен!K23,Плевен!L23,Бургас!H23,'Враца 1'!H23,'Враца 2'!H23)&gt;=0,0))</f>
        <v>0</v>
      </c>
      <c r="AD23" s="278">
        <f>+Цени!L22+Цени!M22+Цени!N22+Цени!O22+Цени!P22</f>
        <v>0</v>
      </c>
      <c r="AE23" s="278">
        <f>+Цени!C22</f>
        <v>0</v>
      </c>
      <c r="AF23" s="278">
        <f>+Цени!R22</f>
        <v>0</v>
      </c>
      <c r="AG23" s="278">
        <f>+Цени!Q22</f>
        <v>0</v>
      </c>
      <c r="AH23" s="278">
        <f>+Цени!D22</f>
        <v>0</v>
      </c>
      <c r="AI23" s="599">
        <f>+Цени!S22</f>
        <v>0</v>
      </c>
      <c r="AJ23" s="279">
        <f>'Борса и балансиране'!C23</f>
        <v>0</v>
      </c>
      <c r="AK23" s="280">
        <f t="shared" si="10"/>
        <v>0</v>
      </c>
      <c r="AM23" s="281"/>
      <c r="AN23" s="282"/>
      <c r="AO23" s="283">
        <f>AM23-AN23+Перник!T34</f>
        <v>0</v>
      </c>
      <c r="AP23" s="284">
        <v>0</v>
      </c>
      <c r="AQ23" s="285">
        <f t="shared" si="22"/>
        <v>0</v>
      </c>
      <c r="AS23" s="265">
        <f t="shared" si="23"/>
        <v>45646</v>
      </c>
      <c r="AT23" s="289">
        <f t="shared" si="24"/>
        <v>75.89</v>
      </c>
      <c r="AU23" s="289">
        <f t="shared" si="11"/>
        <v>0</v>
      </c>
      <c r="AV23" s="268"/>
      <c r="AW23" s="289">
        <f t="shared" si="12"/>
        <v>0</v>
      </c>
      <c r="AY23" s="265">
        <f t="shared" si="25"/>
        <v>45646</v>
      </c>
      <c r="AZ23" s="290">
        <f>+'ОБЩО NEW за печат'!BP23</f>
        <v>0</v>
      </c>
      <c r="BA23" s="290">
        <f>+'ОБЩО NEW за печат'!BQ23</f>
        <v>0</v>
      </c>
      <c r="BB23" s="289">
        <f t="shared" si="31"/>
        <v>0</v>
      </c>
      <c r="BD23" s="265">
        <f t="shared" si="26"/>
        <v>45646</v>
      </c>
      <c r="BE23" s="291"/>
      <c r="BF23" s="289"/>
      <c r="BG23" s="289"/>
      <c r="BI23" s="265">
        <f t="shared" si="28"/>
        <v>45646</v>
      </c>
      <c r="BJ23" s="321"/>
      <c r="BK23" s="321"/>
      <c r="BL23" s="321"/>
      <c r="BM23" s="321"/>
      <c r="BN23" s="321"/>
      <c r="BO23" s="321"/>
      <c r="BP23" s="321"/>
      <c r="BQ23" s="321"/>
      <c r="BR23" s="294">
        <f t="shared" si="49"/>
        <v>0</v>
      </c>
      <c r="BT23" s="265">
        <f t="shared" si="29"/>
        <v>45646</v>
      </c>
      <c r="BU23" s="293">
        <f t="shared" si="14"/>
        <v>0</v>
      </c>
      <c r="BV23" s="293">
        <f t="shared" si="3"/>
        <v>0</v>
      </c>
      <c r="BW23" s="293">
        <f t="shared" si="15"/>
        <v>0</v>
      </c>
      <c r="BX23" s="293">
        <f t="shared" si="16"/>
        <v>0</v>
      </c>
      <c r="BY23" s="293">
        <f t="shared" si="17"/>
        <v>0</v>
      </c>
      <c r="BZ23" s="293">
        <f t="shared" si="17"/>
        <v>0</v>
      </c>
      <c r="CA23" s="293">
        <f t="shared" si="18"/>
        <v>0</v>
      </c>
      <c r="CB23" s="293">
        <f t="shared" si="19"/>
        <v>0</v>
      </c>
      <c r="CC23" s="294">
        <f t="shared" si="46"/>
        <v>0</v>
      </c>
      <c r="CE23" s="265">
        <f t="shared" si="30"/>
        <v>45646</v>
      </c>
      <c r="CF23" s="321"/>
      <c r="CG23" s="321"/>
      <c r="CH23" s="321"/>
      <c r="CI23" s="321"/>
      <c r="CJ23" s="321"/>
      <c r="CK23" s="321"/>
      <c r="CL23" s="321"/>
      <c r="CM23" s="321"/>
      <c r="CN23" s="294">
        <f t="shared" si="47"/>
        <v>0</v>
      </c>
    </row>
    <row r="24" spans="2:93" x14ac:dyDescent="0.25">
      <c r="B24" s="47">
        <f t="shared" si="21"/>
        <v>45647</v>
      </c>
      <c r="C24" s="269">
        <f>+Плевен!K24+Плевен!L24</f>
        <v>0</v>
      </c>
      <c r="D24" s="270">
        <f>Бургас!H24</f>
        <v>0</v>
      </c>
      <c r="E24" s="270">
        <f>'Враца 1'!H24</f>
        <v>0</v>
      </c>
      <c r="F24" s="270">
        <f>'Враца 2'!H24</f>
        <v>0</v>
      </c>
      <c r="G24" s="271">
        <f>Русе!G24</f>
        <v>0</v>
      </c>
      <c r="H24" s="271">
        <f>+'Русе Кемикълс'!E24</f>
        <v>0</v>
      </c>
      <c r="I24" s="271">
        <f>+ЛКМК!E24</f>
        <v>0</v>
      </c>
      <c r="J24" s="271">
        <f>+'Доминекс про'!E24</f>
        <v>0</v>
      </c>
      <c r="K24" s="271">
        <f>+Труд!E24</f>
        <v>0</v>
      </c>
      <c r="L24" s="271">
        <f>+'Велико Търново'!E24</f>
        <v>0</v>
      </c>
      <c r="M24" s="271">
        <f>+Берус!E24</f>
        <v>0</v>
      </c>
      <c r="N24" s="271">
        <f>+'Бултекс 1'!E24</f>
        <v>0</v>
      </c>
      <c r="O24" s="271">
        <f>+Алуком!E24</f>
        <v>0</v>
      </c>
      <c r="P24" s="271">
        <f>+Илинден!E24</f>
        <v>0</v>
      </c>
      <c r="Q24" s="271">
        <f>+'Ваптех АМ'!E24</f>
        <v>0</v>
      </c>
      <c r="R24" s="271">
        <f>+РВД!E24</f>
        <v>0</v>
      </c>
      <c r="S24" s="271">
        <f>+Димитровград!E24</f>
        <v>0</v>
      </c>
      <c r="T24" s="271">
        <f>+Булмаш!E24</f>
        <v>0</v>
      </c>
      <c r="U24" s="271">
        <f>+HERON!D24</f>
        <v>0</v>
      </c>
      <c r="V24" s="271">
        <f>+'PPC Гърция'!D24</f>
        <v>0</v>
      </c>
      <c r="W24" s="271">
        <f>+'МЕТ ВИТОЛ ДХТ'!D24+'МЕТ ВИТОЛ ДХТ'!J24+'МЕТ ВИТОЛ ДХТ'!P24+'МЕТ ВИТОЛ ДХТ'!V24+'МЕТ ВИТОЛ ДХТ'!AB24+'МЕТ ВИТОЛ ДХТ'!AH24+'МЕТ ВИТОЛ ДХТ'!AN24+'МЕТ ВИТОЛ ДХТ'!AT24</f>
        <v>0</v>
      </c>
      <c r="X24" s="271">
        <f>+Цени!Y23</f>
        <v>0</v>
      </c>
      <c r="Y24" s="272">
        <f>Перник!G24</f>
        <v>0</v>
      </c>
      <c r="Z24" s="273">
        <f>'Борса и балансиране'!F24</f>
        <v>0</v>
      </c>
      <c r="AA24" s="269">
        <f>IF(AK24-SUM(G24:Z24,Плевен!K24,Плевен!L24,Бургас!H24,'Враца 1'!H24,'Враца 2'!H24)&gt;=0,AK24-SUM(G24:Z24,Плевен!K24,Плевен!L24,Бургас!H24,'Враца 1'!H24,'Враца 2'!H24),IF(AK24-SUM(G24:Z24,Плевен!K24,Плевен!L24,Бургас!H24,'Враца 1'!H24,'Враца 2'!H24)&lt;=0,0))</f>
        <v>0</v>
      </c>
      <c r="AB24" s="272">
        <f>IF(AK24-SUM(G24:Z24,Плевен!K24,Плевен!L24,Бургас!H24,'Враца 1'!H24,'Враца 2'!H24)&lt;=0,AK24-SUM(G24:Z24,Плевен!K24,Плевен!L24,Бургас!H24,'Враца 1'!H24,'Враца 2'!H24),IF(AK24-SUM(G24:Z24,Плевен!K24,Плевен!L24,Бургас!H24,'Враца 1'!H24,'Враца 2'!H24)&gt;=0,0))</f>
        <v>0</v>
      </c>
      <c r="AD24" s="278">
        <f>+Цени!L23+Цени!M23+Цени!N23+Цени!O23+Цени!P23</f>
        <v>0</v>
      </c>
      <c r="AE24" s="278">
        <f>+Цени!C23</f>
        <v>0</v>
      </c>
      <c r="AF24" s="278">
        <f>+Цени!R23</f>
        <v>0</v>
      </c>
      <c r="AG24" s="278">
        <f>+Цени!Q23</f>
        <v>0</v>
      </c>
      <c r="AH24" s="278">
        <f>+Цени!D23</f>
        <v>0</v>
      </c>
      <c r="AI24" s="599">
        <f>+Цени!S23</f>
        <v>0</v>
      </c>
      <c r="AJ24" s="279">
        <f>'Борса и балансиране'!C24</f>
        <v>0</v>
      </c>
      <c r="AK24" s="280">
        <f t="shared" si="10"/>
        <v>0</v>
      </c>
      <c r="AM24" s="281"/>
      <c r="AN24" s="282"/>
      <c r="AO24" s="283">
        <f>AM24-AN24+Перник!T35</f>
        <v>0</v>
      </c>
      <c r="AP24" s="284">
        <v>0</v>
      </c>
      <c r="AQ24" s="285">
        <f t="shared" si="22"/>
        <v>0</v>
      </c>
      <c r="AR24" s="4"/>
      <c r="AS24" s="265">
        <f t="shared" si="23"/>
        <v>45647</v>
      </c>
      <c r="AT24" s="289">
        <f t="shared" si="24"/>
        <v>75.89</v>
      </c>
      <c r="AU24" s="289">
        <f t="shared" si="11"/>
        <v>0</v>
      </c>
      <c r="AV24" s="268"/>
      <c r="AW24" s="289">
        <f t="shared" si="12"/>
        <v>0</v>
      </c>
      <c r="AY24" s="265">
        <f t="shared" si="25"/>
        <v>45647</v>
      </c>
      <c r="AZ24" s="290">
        <f>+'ОБЩО NEW за печат'!BP24</f>
        <v>0</v>
      </c>
      <c r="BA24" s="290">
        <f>+'ОБЩО NEW за печат'!BQ24</f>
        <v>0</v>
      </c>
      <c r="BB24" s="289">
        <f t="shared" si="31"/>
        <v>0</v>
      </c>
      <c r="BD24" s="265">
        <f t="shared" si="26"/>
        <v>45647</v>
      </c>
      <c r="BE24" s="291"/>
      <c r="BF24" s="289"/>
      <c r="BG24" s="289"/>
      <c r="BI24" s="265">
        <f t="shared" si="28"/>
        <v>45647</v>
      </c>
      <c r="BJ24" s="321"/>
      <c r="BK24" s="321"/>
      <c r="BL24" s="321"/>
      <c r="BM24" s="321"/>
      <c r="BN24" s="321"/>
      <c r="BO24" s="321"/>
      <c r="BP24" s="321"/>
      <c r="BQ24" s="321"/>
      <c r="BR24" s="294">
        <f t="shared" si="49"/>
        <v>0</v>
      </c>
      <c r="BS24" s="1" t="s">
        <v>73</v>
      </c>
      <c r="BT24" s="265">
        <f t="shared" si="29"/>
        <v>45647</v>
      </c>
      <c r="BU24" s="293">
        <f t="shared" si="14"/>
        <v>0</v>
      </c>
      <c r="BV24" s="293">
        <f t="shared" si="3"/>
        <v>0</v>
      </c>
      <c r="BW24" s="293">
        <f t="shared" si="15"/>
        <v>0</v>
      </c>
      <c r="BX24" s="293">
        <f t="shared" si="16"/>
        <v>0</v>
      </c>
      <c r="BY24" s="293">
        <f t="shared" si="17"/>
        <v>0</v>
      </c>
      <c r="BZ24" s="293">
        <f t="shared" si="17"/>
        <v>0</v>
      </c>
      <c r="CA24" s="293">
        <f t="shared" si="18"/>
        <v>0</v>
      </c>
      <c r="CB24" s="293">
        <f t="shared" si="19"/>
        <v>0</v>
      </c>
      <c r="CC24" s="294">
        <f t="shared" si="46"/>
        <v>0</v>
      </c>
      <c r="CE24" s="265">
        <f t="shared" si="30"/>
        <v>45647</v>
      </c>
      <c r="CF24" s="321"/>
      <c r="CG24" s="321"/>
      <c r="CH24" s="321"/>
      <c r="CI24" s="321"/>
      <c r="CJ24" s="321"/>
      <c r="CK24" s="321"/>
      <c r="CL24" s="321"/>
      <c r="CM24" s="321"/>
      <c r="CN24" s="294">
        <f t="shared" si="47"/>
        <v>0</v>
      </c>
      <c r="CO24" s="4"/>
    </row>
    <row r="25" spans="2:93" x14ac:dyDescent="0.25">
      <c r="B25" s="47">
        <f t="shared" si="21"/>
        <v>45648</v>
      </c>
      <c r="C25" s="269">
        <f>+Плевен!K25+Плевен!L25</f>
        <v>0</v>
      </c>
      <c r="D25" s="270">
        <f>Бургас!H25</f>
        <v>0</v>
      </c>
      <c r="E25" s="270">
        <f>'Враца 1'!H25</f>
        <v>0</v>
      </c>
      <c r="F25" s="270">
        <f>'Враца 2'!H25</f>
        <v>0</v>
      </c>
      <c r="G25" s="271">
        <f>Русе!G25</f>
        <v>0</v>
      </c>
      <c r="H25" s="271">
        <f>+'Русе Кемикълс'!E25</f>
        <v>0</v>
      </c>
      <c r="I25" s="271">
        <f>+ЛКМК!E25</f>
        <v>0</v>
      </c>
      <c r="J25" s="271">
        <f>+'Доминекс про'!E25</f>
        <v>0</v>
      </c>
      <c r="K25" s="271">
        <f>+Труд!E25</f>
        <v>0</v>
      </c>
      <c r="L25" s="271">
        <f>+'Велико Търново'!E25</f>
        <v>0</v>
      </c>
      <c r="M25" s="271">
        <f>+Берус!E25</f>
        <v>0</v>
      </c>
      <c r="N25" s="271">
        <f>+'Бултекс 1'!E25</f>
        <v>0</v>
      </c>
      <c r="O25" s="271">
        <f>+Алуком!E25</f>
        <v>0</v>
      </c>
      <c r="P25" s="271">
        <f>+Илинден!E25</f>
        <v>0</v>
      </c>
      <c r="Q25" s="271">
        <f>+'Ваптех АМ'!E25</f>
        <v>0</v>
      </c>
      <c r="R25" s="271">
        <f>+РВД!E25</f>
        <v>0</v>
      </c>
      <c r="S25" s="271">
        <f>+Димитровград!E25</f>
        <v>0</v>
      </c>
      <c r="T25" s="271">
        <f>+Булмаш!E25</f>
        <v>0</v>
      </c>
      <c r="U25" s="271">
        <f>+HERON!D25</f>
        <v>0</v>
      </c>
      <c r="V25" s="271">
        <f>+'PPC Гърция'!D25</f>
        <v>0</v>
      </c>
      <c r="W25" s="271">
        <f>+'МЕТ ВИТОЛ ДХТ'!D25+'МЕТ ВИТОЛ ДХТ'!J25+'МЕТ ВИТОЛ ДХТ'!P25+'МЕТ ВИТОЛ ДХТ'!V25+'МЕТ ВИТОЛ ДХТ'!AB25+'МЕТ ВИТОЛ ДХТ'!AH25+'МЕТ ВИТОЛ ДХТ'!AN25+'МЕТ ВИТОЛ ДХТ'!AT25</f>
        <v>0</v>
      </c>
      <c r="X25" s="271">
        <f>+Цени!Y24</f>
        <v>0</v>
      </c>
      <c r="Y25" s="272">
        <f>Перник!G25</f>
        <v>0</v>
      </c>
      <c r="Z25" s="273">
        <f>'Борса и балансиране'!F25</f>
        <v>0</v>
      </c>
      <c r="AA25" s="269">
        <f>IF(AK25-SUM(G25:Z25,Плевен!K25,Плевен!L25,Бургас!H25,'Враца 1'!H25,'Враца 2'!H25)&gt;=0,AK25-SUM(G25:Z25,Плевен!K25,Плевен!L25,Бургас!H25,'Враца 1'!H25,'Враца 2'!H25),IF(AK25-SUM(G25:Z25,Плевен!K25,Плевен!L25,Бургас!H25,'Враца 1'!H25,'Враца 2'!H25)&lt;=0,0))</f>
        <v>0</v>
      </c>
      <c r="AB25" s="272">
        <f>IF(AK25-SUM(G25:Z25,Плевен!K25,Плевен!L25,Бургас!H25,'Враца 1'!H25,'Враца 2'!H25)&lt;=0,AK25-SUM(G25:Z25,Плевен!K25,Плевен!L25,Бургас!H25,'Враца 1'!H25,'Враца 2'!H25),IF(AK25-SUM(G25:Z25,Плевен!K25,Плевен!L25,Бургас!H25,'Враца 1'!H25,'Враца 2'!H25)&gt;=0,0))</f>
        <v>0</v>
      </c>
      <c r="AD25" s="278">
        <f>+Цени!L24+Цени!M24+Цени!N24+Цени!O24+Цени!P24</f>
        <v>0</v>
      </c>
      <c r="AE25" s="278">
        <f>+Цени!C24</f>
        <v>0</v>
      </c>
      <c r="AF25" s="278">
        <f>+Цени!R24</f>
        <v>0</v>
      </c>
      <c r="AG25" s="278">
        <f>+Цени!Q24</f>
        <v>0</v>
      </c>
      <c r="AH25" s="278">
        <f>+Цени!D24</f>
        <v>0</v>
      </c>
      <c r="AI25" s="599">
        <f>+Цени!S24</f>
        <v>0</v>
      </c>
      <c r="AJ25" s="279">
        <f>'Борса и балансиране'!C25</f>
        <v>0</v>
      </c>
      <c r="AK25" s="280">
        <f t="shared" si="10"/>
        <v>0</v>
      </c>
      <c r="AM25" s="281"/>
      <c r="AN25" s="282"/>
      <c r="AO25" s="283">
        <f>AM25-AN25+Перник!T36</f>
        <v>0</v>
      </c>
      <c r="AP25" s="284">
        <v>0</v>
      </c>
      <c r="AQ25" s="285">
        <f t="shared" si="22"/>
        <v>0</v>
      </c>
      <c r="AS25" s="265">
        <f t="shared" si="23"/>
        <v>45648</v>
      </c>
      <c r="AT25" s="289">
        <f t="shared" si="24"/>
        <v>75.89</v>
      </c>
      <c r="AU25" s="289">
        <f t="shared" si="11"/>
        <v>0</v>
      </c>
      <c r="AV25" s="268"/>
      <c r="AW25" s="289">
        <f t="shared" si="12"/>
        <v>0</v>
      </c>
      <c r="AY25" s="265">
        <f t="shared" si="25"/>
        <v>45648</v>
      </c>
      <c r="AZ25" s="290">
        <f>+'ОБЩО NEW за печат'!BP25</f>
        <v>0</v>
      </c>
      <c r="BA25" s="290">
        <f>+'ОБЩО NEW за печат'!BQ25</f>
        <v>0</v>
      </c>
      <c r="BB25" s="289">
        <f t="shared" si="31"/>
        <v>0</v>
      </c>
      <c r="BD25" s="265">
        <f t="shared" si="26"/>
        <v>45648</v>
      </c>
      <c r="BE25" s="291"/>
      <c r="BF25" s="289"/>
      <c r="BG25" s="289"/>
      <c r="BI25" s="265">
        <f t="shared" si="28"/>
        <v>45648</v>
      </c>
      <c r="BJ25" s="321"/>
      <c r="BK25" s="321"/>
      <c r="BL25" s="321"/>
      <c r="BM25" s="321"/>
      <c r="BN25" s="321"/>
      <c r="BO25" s="321"/>
      <c r="BP25" s="321"/>
      <c r="BQ25" s="321"/>
      <c r="BR25" s="294">
        <f t="shared" si="49"/>
        <v>0</v>
      </c>
      <c r="BT25" s="265">
        <f t="shared" si="29"/>
        <v>45648</v>
      </c>
      <c r="BU25" s="293">
        <f t="shared" si="14"/>
        <v>0</v>
      </c>
      <c r="BV25" s="293">
        <f t="shared" si="3"/>
        <v>0</v>
      </c>
      <c r="BW25" s="293">
        <f t="shared" si="15"/>
        <v>0</v>
      </c>
      <c r="BX25" s="293">
        <f t="shared" si="16"/>
        <v>0</v>
      </c>
      <c r="BY25" s="293">
        <f t="shared" si="17"/>
        <v>0</v>
      </c>
      <c r="BZ25" s="293">
        <f t="shared" si="17"/>
        <v>0</v>
      </c>
      <c r="CA25" s="293">
        <f t="shared" si="18"/>
        <v>0</v>
      </c>
      <c r="CB25" s="293">
        <f t="shared" si="19"/>
        <v>0</v>
      </c>
      <c r="CC25" s="294">
        <f t="shared" si="46"/>
        <v>0</v>
      </c>
      <c r="CE25" s="265">
        <f t="shared" si="30"/>
        <v>45648</v>
      </c>
      <c r="CF25" s="321"/>
      <c r="CG25" s="321"/>
      <c r="CH25" s="321"/>
      <c r="CI25" s="321"/>
      <c r="CJ25" s="321"/>
      <c r="CK25" s="321"/>
      <c r="CL25" s="321"/>
      <c r="CM25" s="321"/>
      <c r="CN25" s="294">
        <f t="shared" si="47"/>
        <v>0</v>
      </c>
    </row>
    <row r="26" spans="2:93" x14ac:dyDescent="0.25">
      <c r="B26" s="47">
        <f t="shared" si="21"/>
        <v>45649</v>
      </c>
      <c r="C26" s="269">
        <f>+Плевен!K26+Плевен!L26</f>
        <v>0</v>
      </c>
      <c r="D26" s="270">
        <f>Бургас!H26</f>
        <v>0</v>
      </c>
      <c r="E26" s="270">
        <f>'Враца 1'!H26</f>
        <v>0</v>
      </c>
      <c r="F26" s="270">
        <f>'Враца 2'!H26</f>
        <v>0</v>
      </c>
      <c r="G26" s="271">
        <f>Русе!G26</f>
        <v>0</v>
      </c>
      <c r="H26" s="271">
        <f>+'Русе Кемикълс'!E26</f>
        <v>0</v>
      </c>
      <c r="I26" s="271">
        <f>+ЛКМК!E26</f>
        <v>0</v>
      </c>
      <c r="J26" s="271">
        <f>+'Доминекс про'!E26</f>
        <v>0</v>
      </c>
      <c r="K26" s="271">
        <f>+Труд!E26</f>
        <v>0</v>
      </c>
      <c r="L26" s="271">
        <f>+'Велико Търново'!E26</f>
        <v>0</v>
      </c>
      <c r="M26" s="271">
        <f>+Берус!E26</f>
        <v>0</v>
      </c>
      <c r="N26" s="271">
        <f>+'Бултекс 1'!E26</f>
        <v>0</v>
      </c>
      <c r="O26" s="271">
        <f>+Алуком!E26</f>
        <v>0</v>
      </c>
      <c r="P26" s="271">
        <f>+Илинден!E26</f>
        <v>0</v>
      </c>
      <c r="Q26" s="271">
        <f>+'Ваптех АМ'!E26</f>
        <v>0</v>
      </c>
      <c r="R26" s="271">
        <f>+РВД!E26</f>
        <v>0</v>
      </c>
      <c r="S26" s="271">
        <f>+Димитровград!E26</f>
        <v>0</v>
      </c>
      <c r="T26" s="271">
        <f>+Булмаш!E26</f>
        <v>0</v>
      </c>
      <c r="U26" s="271">
        <f>+HERON!D26</f>
        <v>0</v>
      </c>
      <c r="V26" s="271">
        <f>+'PPC Гърция'!D26</f>
        <v>0</v>
      </c>
      <c r="W26" s="271">
        <f>+'МЕТ ВИТОЛ ДХТ'!D26+'МЕТ ВИТОЛ ДХТ'!J26+'МЕТ ВИТОЛ ДХТ'!P26+'МЕТ ВИТОЛ ДХТ'!V26+'МЕТ ВИТОЛ ДХТ'!AB26+'МЕТ ВИТОЛ ДХТ'!AH26+'МЕТ ВИТОЛ ДХТ'!AN26+'МЕТ ВИТОЛ ДХТ'!AT26</f>
        <v>0</v>
      </c>
      <c r="X26" s="271">
        <f>+Цени!Y25</f>
        <v>0</v>
      </c>
      <c r="Y26" s="272">
        <f>Перник!G26</f>
        <v>0</v>
      </c>
      <c r="Z26" s="273">
        <f>'Борса и балансиране'!F26</f>
        <v>0</v>
      </c>
      <c r="AA26" s="269">
        <f>IF(AK26-SUM(G26:Z26,Плевен!K26,Плевен!L26,Бургас!H26,'Враца 1'!H26,'Враца 2'!H26)&gt;=0,AK26-SUM(G26:Z26,Плевен!K26,Плевен!L26,Бургас!H26,'Враца 1'!H26,'Враца 2'!H26),IF(AK26-SUM(G26:Z26,Плевен!K26,Плевен!L26,Бургас!H26,'Враца 1'!H26,'Враца 2'!H26)&lt;=0,0))</f>
        <v>0</v>
      </c>
      <c r="AB26" s="272">
        <f>IF(AK26-SUM(G26:Z26,Плевен!K26,Плевен!L26,Бургас!H26,'Враца 1'!H26,'Враца 2'!H26)&lt;=0,AK26-SUM(G26:Z26,Плевен!K26,Плевен!L26,Бургас!H26,'Враца 1'!H26,'Враца 2'!H26),IF(AK26-SUM(G26:Z26,Плевен!K26,Плевен!L26,Бургас!H26,'Враца 1'!H26,'Враца 2'!H26)&gt;=0,0))</f>
        <v>0</v>
      </c>
      <c r="AD26" s="278">
        <f>+Цени!L25+Цени!M25+Цени!N25+Цени!O25+Цени!P25</f>
        <v>0</v>
      </c>
      <c r="AE26" s="278">
        <f>+Цени!C25</f>
        <v>0</v>
      </c>
      <c r="AF26" s="278">
        <f>+Цени!R25</f>
        <v>0</v>
      </c>
      <c r="AG26" s="278">
        <f>+Цени!Q25</f>
        <v>0</v>
      </c>
      <c r="AH26" s="278">
        <f>+Цени!D25</f>
        <v>0</v>
      </c>
      <c r="AI26" s="599">
        <f>+Цени!S25</f>
        <v>0</v>
      </c>
      <c r="AJ26" s="279">
        <f>'Борса и балансиране'!C26</f>
        <v>0</v>
      </c>
      <c r="AK26" s="280">
        <f t="shared" si="10"/>
        <v>0</v>
      </c>
      <c r="AM26" s="281"/>
      <c r="AN26" s="282"/>
      <c r="AO26" s="283">
        <f>AM26-AN26+Перник!T37</f>
        <v>0</v>
      </c>
      <c r="AP26" s="284">
        <v>0</v>
      </c>
      <c r="AQ26" s="285">
        <f t="shared" si="22"/>
        <v>0</v>
      </c>
      <c r="AR26" s="4"/>
      <c r="AS26" s="265">
        <f t="shared" si="23"/>
        <v>45649</v>
      </c>
      <c r="AT26" s="289">
        <f t="shared" si="24"/>
        <v>75.89</v>
      </c>
      <c r="AU26" s="289">
        <f t="shared" si="11"/>
        <v>0</v>
      </c>
      <c r="AV26" s="268"/>
      <c r="AW26" s="289">
        <f t="shared" si="12"/>
        <v>0</v>
      </c>
      <c r="AY26" s="265">
        <f t="shared" si="25"/>
        <v>45649</v>
      </c>
      <c r="AZ26" s="290">
        <f>+'ОБЩО NEW за печат'!BP26</f>
        <v>0</v>
      </c>
      <c r="BA26" s="290">
        <f>+'ОБЩО NEW за печат'!BQ26</f>
        <v>0</v>
      </c>
      <c r="BB26" s="289">
        <f t="shared" si="31"/>
        <v>0</v>
      </c>
      <c r="BD26" s="265">
        <f t="shared" si="26"/>
        <v>45649</v>
      </c>
      <c r="BE26" s="291"/>
      <c r="BF26" s="289"/>
      <c r="BG26" s="289"/>
      <c r="BI26" s="265">
        <f t="shared" si="28"/>
        <v>45649</v>
      </c>
      <c r="BJ26" s="321"/>
      <c r="BK26" s="321"/>
      <c r="BL26" s="321"/>
      <c r="BM26" s="321"/>
      <c r="BN26" s="321"/>
      <c r="BO26" s="321"/>
      <c r="BP26" s="321"/>
      <c r="BQ26" s="321"/>
      <c r="BR26" s="294">
        <f t="shared" si="49"/>
        <v>0</v>
      </c>
      <c r="BT26" s="265">
        <f t="shared" si="29"/>
        <v>45649</v>
      </c>
      <c r="BU26" s="293">
        <f t="shared" si="14"/>
        <v>0</v>
      </c>
      <c r="BV26" s="293">
        <f t="shared" si="3"/>
        <v>0</v>
      </c>
      <c r="BW26" s="293">
        <f t="shared" si="15"/>
        <v>0</v>
      </c>
      <c r="BX26" s="293">
        <f t="shared" si="16"/>
        <v>0</v>
      </c>
      <c r="BY26" s="293">
        <f t="shared" si="17"/>
        <v>0</v>
      </c>
      <c r="BZ26" s="293">
        <f t="shared" si="17"/>
        <v>0</v>
      </c>
      <c r="CA26" s="293">
        <f t="shared" si="18"/>
        <v>0</v>
      </c>
      <c r="CB26" s="293">
        <f t="shared" si="19"/>
        <v>0</v>
      </c>
      <c r="CC26" s="294">
        <f t="shared" si="46"/>
        <v>0</v>
      </c>
      <c r="CE26" s="265">
        <f t="shared" si="30"/>
        <v>45649</v>
      </c>
      <c r="CF26" s="321"/>
      <c r="CG26" s="321"/>
      <c r="CH26" s="321"/>
      <c r="CI26" s="321"/>
      <c r="CJ26" s="321"/>
      <c r="CK26" s="321"/>
      <c r="CL26" s="321"/>
      <c r="CM26" s="321"/>
      <c r="CN26" s="294">
        <f t="shared" si="47"/>
        <v>0</v>
      </c>
    </row>
    <row r="27" spans="2:93" x14ac:dyDescent="0.25">
      <c r="B27" s="47">
        <f t="shared" si="21"/>
        <v>45650</v>
      </c>
      <c r="C27" s="269">
        <f>+Плевен!K27+Плевен!L27</f>
        <v>0</v>
      </c>
      <c r="D27" s="270">
        <f>Бургас!H27</f>
        <v>0</v>
      </c>
      <c r="E27" s="270">
        <f>'Враца 1'!H27</f>
        <v>0</v>
      </c>
      <c r="F27" s="270">
        <f>'Враца 2'!H27</f>
        <v>0</v>
      </c>
      <c r="G27" s="271">
        <f>Русе!G27</f>
        <v>0</v>
      </c>
      <c r="H27" s="271">
        <f>+'Русе Кемикълс'!E27</f>
        <v>0</v>
      </c>
      <c r="I27" s="271">
        <f>+ЛКМК!E27</f>
        <v>0</v>
      </c>
      <c r="J27" s="271">
        <f>+'Доминекс про'!E27</f>
        <v>0</v>
      </c>
      <c r="K27" s="271">
        <f>+Труд!E27</f>
        <v>0</v>
      </c>
      <c r="L27" s="271">
        <f>+'Велико Търново'!E27</f>
        <v>0</v>
      </c>
      <c r="M27" s="271">
        <f>+Берус!E27</f>
        <v>0</v>
      </c>
      <c r="N27" s="271">
        <f>+'Бултекс 1'!E27</f>
        <v>0</v>
      </c>
      <c r="O27" s="271">
        <f>+Алуком!E27</f>
        <v>0</v>
      </c>
      <c r="P27" s="271">
        <f>+Илинден!E27</f>
        <v>0</v>
      </c>
      <c r="Q27" s="271">
        <f>+'Ваптех АМ'!E27</f>
        <v>0</v>
      </c>
      <c r="R27" s="271">
        <f>+РВД!E27</f>
        <v>0</v>
      </c>
      <c r="S27" s="271">
        <f>+Димитровград!E27</f>
        <v>0</v>
      </c>
      <c r="T27" s="271">
        <f>+Булмаш!E27</f>
        <v>0</v>
      </c>
      <c r="U27" s="271">
        <f>+HERON!D27</f>
        <v>0</v>
      </c>
      <c r="V27" s="271">
        <f>+'PPC Гърция'!D27</f>
        <v>0</v>
      </c>
      <c r="W27" s="271">
        <f>+'МЕТ ВИТОЛ ДХТ'!D27+'МЕТ ВИТОЛ ДХТ'!J27+'МЕТ ВИТОЛ ДХТ'!P27+'МЕТ ВИТОЛ ДХТ'!V27+'МЕТ ВИТОЛ ДХТ'!AB27+'МЕТ ВИТОЛ ДХТ'!AH27+'МЕТ ВИТОЛ ДХТ'!AN27+'МЕТ ВИТОЛ ДХТ'!AT27</f>
        <v>0</v>
      </c>
      <c r="X27" s="271">
        <f>+Цени!Y26</f>
        <v>0</v>
      </c>
      <c r="Y27" s="272">
        <f>Перник!G27</f>
        <v>0</v>
      </c>
      <c r="Z27" s="273">
        <f>'Борса и балансиране'!F27</f>
        <v>0</v>
      </c>
      <c r="AA27" s="269">
        <f>IF(AK27-SUM(G27:Z27,Плевен!K27,Плевен!L27,Бургас!H27,'Враца 1'!H27,'Враца 2'!H27)&gt;=0,AK27-SUM(G27:Z27,Плевен!K27,Плевен!L27,Бургас!H27,'Враца 1'!H27,'Враца 2'!H27),IF(AK27-SUM(G27:Z27,Плевен!K27,Плевен!L27,Бургас!H27,'Враца 1'!H27,'Враца 2'!H27)&lt;=0,0))</f>
        <v>0</v>
      </c>
      <c r="AB27" s="272">
        <f>IF(AK27-SUM(G27:Z27,Плевен!K27,Плевен!L27,Бургас!H27,'Враца 1'!H27,'Враца 2'!H27)&lt;=0,AK27-SUM(G27:Z27,Плевен!K27,Плевен!L27,Бургас!H27,'Враца 1'!H27,'Враца 2'!H27),IF(AK27-SUM(G27:Z27,Плевен!K27,Плевен!L27,Бургас!H27,'Враца 1'!H27,'Враца 2'!H27)&gt;=0,0))</f>
        <v>0</v>
      </c>
      <c r="AD27" s="278">
        <f>+Цени!L26+Цени!M26+Цени!N26+Цени!O26+Цени!P26</f>
        <v>0</v>
      </c>
      <c r="AE27" s="278">
        <f>+Цени!C26</f>
        <v>0</v>
      </c>
      <c r="AF27" s="278">
        <f>+Цени!R26</f>
        <v>0</v>
      </c>
      <c r="AG27" s="278">
        <f>+Цени!Q26</f>
        <v>0</v>
      </c>
      <c r="AH27" s="278">
        <f>+Цени!D26</f>
        <v>0</v>
      </c>
      <c r="AI27" s="599">
        <f>+Цени!S26</f>
        <v>0</v>
      </c>
      <c r="AJ27" s="279">
        <f>'Борса и балансиране'!C27</f>
        <v>0</v>
      </c>
      <c r="AK27" s="280">
        <f t="shared" si="10"/>
        <v>0</v>
      </c>
      <c r="AM27" s="281"/>
      <c r="AN27" s="282"/>
      <c r="AO27" s="283">
        <f>AM27-AN27+Перник!T38</f>
        <v>0</v>
      </c>
      <c r="AP27" s="284">
        <v>0</v>
      </c>
      <c r="AQ27" s="285">
        <f t="shared" si="22"/>
        <v>0</v>
      </c>
      <c r="AS27" s="265">
        <f t="shared" si="23"/>
        <v>45650</v>
      </c>
      <c r="AT27" s="289">
        <f t="shared" si="24"/>
        <v>75.89</v>
      </c>
      <c r="AU27" s="289">
        <f t="shared" si="11"/>
        <v>0</v>
      </c>
      <c r="AV27" s="268"/>
      <c r="AW27" s="289">
        <f t="shared" si="12"/>
        <v>0</v>
      </c>
      <c r="AY27" s="265">
        <f t="shared" si="25"/>
        <v>45650</v>
      </c>
      <c r="AZ27" s="290">
        <f>+'ОБЩО NEW за печат'!BP27</f>
        <v>0</v>
      </c>
      <c r="BA27" s="290">
        <f>+'ОБЩО NEW за печат'!BQ27</f>
        <v>0</v>
      </c>
      <c r="BB27" s="289">
        <f t="shared" si="31"/>
        <v>0</v>
      </c>
      <c r="BD27" s="265">
        <f t="shared" si="26"/>
        <v>45650</v>
      </c>
      <c r="BE27" s="291"/>
      <c r="BF27" s="289"/>
      <c r="BG27" s="289"/>
      <c r="BI27" s="265">
        <f t="shared" si="28"/>
        <v>45650</v>
      </c>
      <c r="BJ27" s="321"/>
      <c r="BK27" s="321"/>
      <c r="BL27" s="321"/>
      <c r="BM27" s="321"/>
      <c r="BN27" s="321"/>
      <c r="BO27" s="321"/>
      <c r="BP27" s="321"/>
      <c r="BQ27" s="321"/>
      <c r="BR27" s="294">
        <f t="shared" si="49"/>
        <v>0</v>
      </c>
      <c r="BT27" s="265">
        <f t="shared" si="29"/>
        <v>45650</v>
      </c>
      <c r="BU27" s="293">
        <f t="shared" si="14"/>
        <v>0</v>
      </c>
      <c r="BV27" s="293">
        <f t="shared" si="3"/>
        <v>0</v>
      </c>
      <c r="BW27" s="293">
        <f t="shared" si="15"/>
        <v>0</v>
      </c>
      <c r="BX27" s="293">
        <f t="shared" si="16"/>
        <v>0</v>
      </c>
      <c r="BY27" s="293">
        <f t="shared" si="17"/>
        <v>0</v>
      </c>
      <c r="BZ27" s="293">
        <f t="shared" si="17"/>
        <v>0</v>
      </c>
      <c r="CA27" s="293">
        <f t="shared" si="18"/>
        <v>0</v>
      </c>
      <c r="CB27" s="293">
        <f t="shared" si="19"/>
        <v>0</v>
      </c>
      <c r="CC27" s="294">
        <f t="shared" si="46"/>
        <v>0</v>
      </c>
      <c r="CE27" s="265">
        <f t="shared" si="30"/>
        <v>45650</v>
      </c>
      <c r="CF27" s="321"/>
      <c r="CG27" s="321"/>
      <c r="CH27" s="321"/>
      <c r="CI27" s="321"/>
      <c r="CJ27" s="321"/>
      <c r="CK27" s="321"/>
      <c r="CL27" s="321"/>
      <c r="CM27" s="321"/>
      <c r="CN27" s="294">
        <f t="shared" si="47"/>
        <v>0</v>
      </c>
    </row>
    <row r="28" spans="2:93" x14ac:dyDescent="0.25">
      <c r="B28" s="47">
        <f t="shared" si="21"/>
        <v>45651</v>
      </c>
      <c r="C28" s="269">
        <f>+Плевен!K28+Плевен!L28</f>
        <v>0</v>
      </c>
      <c r="D28" s="270">
        <f>Бургас!H28</f>
        <v>0</v>
      </c>
      <c r="E28" s="270">
        <f>'Враца 1'!H28</f>
        <v>0</v>
      </c>
      <c r="F28" s="270">
        <f>'Враца 2'!H28</f>
        <v>0</v>
      </c>
      <c r="G28" s="271">
        <f>Русе!G28</f>
        <v>0</v>
      </c>
      <c r="H28" s="271">
        <f>+'Русе Кемикълс'!E28</f>
        <v>0</v>
      </c>
      <c r="I28" s="271">
        <f>+ЛКМК!E28</f>
        <v>0</v>
      </c>
      <c r="J28" s="271">
        <f>+'Доминекс про'!E28</f>
        <v>0</v>
      </c>
      <c r="K28" s="271">
        <f>+Труд!E28</f>
        <v>0</v>
      </c>
      <c r="L28" s="271">
        <f>+'Велико Търново'!E28</f>
        <v>0</v>
      </c>
      <c r="M28" s="271">
        <f>+Берус!E28</f>
        <v>0</v>
      </c>
      <c r="N28" s="271">
        <f>+'Бултекс 1'!E28</f>
        <v>0</v>
      </c>
      <c r="O28" s="271">
        <f>+Алуком!E28</f>
        <v>0</v>
      </c>
      <c r="P28" s="271">
        <f>+Илинден!E28</f>
        <v>0</v>
      </c>
      <c r="Q28" s="271">
        <f>+'Ваптех АМ'!E28</f>
        <v>0</v>
      </c>
      <c r="R28" s="271">
        <f>+РВД!E28</f>
        <v>0</v>
      </c>
      <c r="S28" s="271">
        <f>+Димитровград!E28</f>
        <v>0</v>
      </c>
      <c r="T28" s="271">
        <f>+Булмаш!E28</f>
        <v>0</v>
      </c>
      <c r="U28" s="271">
        <f>+HERON!D28</f>
        <v>0</v>
      </c>
      <c r="V28" s="271">
        <f>+'PPC Гърция'!D28</f>
        <v>0</v>
      </c>
      <c r="W28" s="271">
        <f>+'МЕТ ВИТОЛ ДХТ'!D28+'МЕТ ВИТОЛ ДХТ'!J28+'МЕТ ВИТОЛ ДХТ'!P28+'МЕТ ВИТОЛ ДХТ'!V28+'МЕТ ВИТОЛ ДХТ'!AB28+'МЕТ ВИТОЛ ДХТ'!AH28+'МЕТ ВИТОЛ ДХТ'!AN28+'МЕТ ВИТОЛ ДХТ'!AT28</f>
        <v>0</v>
      </c>
      <c r="X28" s="271">
        <f>+Цени!Y27</f>
        <v>0</v>
      </c>
      <c r="Y28" s="272">
        <f>Перник!G28</f>
        <v>0</v>
      </c>
      <c r="Z28" s="273">
        <f>'Борса и балансиране'!F28</f>
        <v>0</v>
      </c>
      <c r="AA28" s="269">
        <f>IF(AK28-SUM(G28:Z28,Плевен!K28,Плевен!L28,Бургас!H28,'Враца 1'!H28,'Враца 2'!H28)&gt;=0,AK28-SUM(G28:Z28,Плевен!K28,Плевен!L28,Бургас!H28,'Враца 1'!H28,'Враца 2'!H28),IF(AK28-SUM(G28:Z28,Плевен!K28,Плевен!L28,Бургас!H28,'Враца 1'!H28,'Враца 2'!H28)&lt;=0,0))</f>
        <v>0</v>
      </c>
      <c r="AB28" s="272">
        <f>IF(AK28-SUM(G28:Z28,Плевен!K28,Плевен!L28,Бургас!H28,'Враца 1'!H28,'Враца 2'!H28)&lt;=0,AK28-SUM(G28:Z28,Плевен!K28,Плевен!L28,Бургас!H28,'Враца 1'!H28,'Враца 2'!H28),IF(AK28-SUM(G28:Z28,Плевен!K28,Плевен!L28,Бургас!H28,'Враца 1'!H28,'Враца 2'!H28)&gt;=0,0))</f>
        <v>0</v>
      </c>
      <c r="AD28" s="278">
        <f>+Цени!L27+Цени!M27+Цени!N27+Цени!O27+Цени!P27</f>
        <v>0</v>
      </c>
      <c r="AE28" s="278">
        <f>+Цени!C27</f>
        <v>0</v>
      </c>
      <c r="AF28" s="278">
        <f>+Цени!R27</f>
        <v>0</v>
      </c>
      <c r="AG28" s="278">
        <f>+Цени!Q27</f>
        <v>0</v>
      </c>
      <c r="AH28" s="278">
        <f>+Цени!D27</f>
        <v>0</v>
      </c>
      <c r="AI28" s="599">
        <f>+Цени!S27</f>
        <v>0</v>
      </c>
      <c r="AJ28" s="279">
        <f>'Борса и балансиране'!C28</f>
        <v>0</v>
      </c>
      <c r="AK28" s="280">
        <f t="shared" si="10"/>
        <v>0</v>
      </c>
      <c r="AM28" s="281"/>
      <c r="AN28" s="282"/>
      <c r="AO28" s="283">
        <f>AM28-AN28+Перник!T39</f>
        <v>0</v>
      </c>
      <c r="AP28" s="284">
        <v>0</v>
      </c>
      <c r="AQ28" s="285">
        <f t="shared" si="22"/>
        <v>0</v>
      </c>
      <c r="AS28" s="265">
        <f t="shared" si="23"/>
        <v>45651</v>
      </c>
      <c r="AT28" s="289">
        <f t="shared" si="24"/>
        <v>75.89</v>
      </c>
      <c r="AU28" s="289">
        <f t="shared" si="11"/>
        <v>0</v>
      </c>
      <c r="AV28" s="268"/>
      <c r="AW28" s="289">
        <f t="shared" si="12"/>
        <v>0</v>
      </c>
      <c r="AY28" s="265">
        <f t="shared" si="25"/>
        <v>45651</v>
      </c>
      <c r="AZ28" s="290">
        <f>+'ОБЩО NEW за печат'!BP28</f>
        <v>0</v>
      </c>
      <c r="BA28" s="290">
        <f>+'ОБЩО NEW за печат'!BQ28</f>
        <v>0</v>
      </c>
      <c r="BB28" s="289">
        <f t="shared" si="31"/>
        <v>0</v>
      </c>
      <c r="BD28" s="265">
        <f t="shared" si="26"/>
        <v>45651</v>
      </c>
      <c r="BE28" s="291"/>
      <c r="BF28" s="289"/>
      <c r="BG28" s="289"/>
      <c r="BI28" s="265">
        <f t="shared" si="28"/>
        <v>45651</v>
      </c>
      <c r="BJ28" s="321"/>
      <c r="BK28" s="321"/>
      <c r="BL28" s="321"/>
      <c r="BM28" s="321"/>
      <c r="BN28" s="321"/>
      <c r="BO28" s="321"/>
      <c r="BP28" s="321"/>
      <c r="BQ28" s="321"/>
      <c r="BR28" s="294">
        <f t="shared" si="49"/>
        <v>0</v>
      </c>
      <c r="BT28" s="265">
        <f t="shared" si="29"/>
        <v>45651</v>
      </c>
      <c r="BU28" s="293">
        <f t="shared" si="14"/>
        <v>0</v>
      </c>
      <c r="BV28" s="293">
        <f t="shared" si="3"/>
        <v>0</v>
      </c>
      <c r="BW28" s="293">
        <f t="shared" si="15"/>
        <v>0</v>
      </c>
      <c r="BX28" s="293">
        <f t="shared" si="16"/>
        <v>0</v>
      </c>
      <c r="BY28" s="293">
        <f t="shared" si="17"/>
        <v>0</v>
      </c>
      <c r="BZ28" s="293">
        <f t="shared" si="17"/>
        <v>0</v>
      </c>
      <c r="CA28" s="293">
        <f t="shared" si="18"/>
        <v>0</v>
      </c>
      <c r="CB28" s="293">
        <f t="shared" si="19"/>
        <v>0</v>
      </c>
      <c r="CC28" s="294">
        <f t="shared" si="46"/>
        <v>0</v>
      </c>
      <c r="CE28" s="265">
        <f t="shared" si="30"/>
        <v>45651</v>
      </c>
      <c r="CF28" s="321"/>
      <c r="CG28" s="321"/>
      <c r="CH28" s="321"/>
      <c r="CI28" s="321"/>
      <c r="CJ28" s="321"/>
      <c r="CK28" s="321"/>
      <c r="CL28" s="321"/>
      <c r="CM28" s="321"/>
      <c r="CN28" s="294">
        <f t="shared" si="47"/>
        <v>0</v>
      </c>
    </row>
    <row r="29" spans="2:93" x14ac:dyDescent="0.25">
      <c r="B29" s="47">
        <f t="shared" si="21"/>
        <v>45652</v>
      </c>
      <c r="C29" s="269">
        <f>+Плевен!K29+Плевен!L29</f>
        <v>0</v>
      </c>
      <c r="D29" s="270">
        <f>Бургас!H29</f>
        <v>0</v>
      </c>
      <c r="E29" s="270">
        <f>'Враца 1'!H29</f>
        <v>0</v>
      </c>
      <c r="F29" s="270">
        <f>'Враца 2'!H29</f>
        <v>0</v>
      </c>
      <c r="G29" s="271">
        <f>Русе!G29</f>
        <v>0</v>
      </c>
      <c r="H29" s="271">
        <f>+'Русе Кемикълс'!E29</f>
        <v>0</v>
      </c>
      <c r="I29" s="271">
        <f>+ЛКМК!E29</f>
        <v>0</v>
      </c>
      <c r="J29" s="271">
        <f>+'Доминекс про'!E29</f>
        <v>0</v>
      </c>
      <c r="K29" s="271">
        <f>+Труд!E29</f>
        <v>0</v>
      </c>
      <c r="L29" s="271">
        <f>+'Велико Търново'!E29</f>
        <v>0</v>
      </c>
      <c r="M29" s="271">
        <f>+Берус!E29</f>
        <v>0</v>
      </c>
      <c r="N29" s="271">
        <f>+'Бултекс 1'!E29</f>
        <v>0</v>
      </c>
      <c r="O29" s="271">
        <f>+Алуком!E29</f>
        <v>0</v>
      </c>
      <c r="P29" s="271">
        <f>+Илинден!E29</f>
        <v>0</v>
      </c>
      <c r="Q29" s="271">
        <f>+'Ваптех АМ'!E29</f>
        <v>0</v>
      </c>
      <c r="R29" s="271">
        <f>+РВД!E29</f>
        <v>0</v>
      </c>
      <c r="S29" s="271">
        <f>+Димитровград!E29</f>
        <v>0</v>
      </c>
      <c r="T29" s="271">
        <f>+Булмаш!E29</f>
        <v>0</v>
      </c>
      <c r="U29" s="271">
        <f>+HERON!D29</f>
        <v>0</v>
      </c>
      <c r="V29" s="271">
        <f>+'PPC Гърция'!D29</f>
        <v>0</v>
      </c>
      <c r="W29" s="271">
        <f>+'МЕТ ВИТОЛ ДХТ'!D29+'МЕТ ВИТОЛ ДХТ'!J29+'МЕТ ВИТОЛ ДХТ'!P29+'МЕТ ВИТОЛ ДХТ'!V29+'МЕТ ВИТОЛ ДХТ'!AB29+'МЕТ ВИТОЛ ДХТ'!AH29+'МЕТ ВИТОЛ ДХТ'!AN29+'МЕТ ВИТОЛ ДХТ'!AT29</f>
        <v>0</v>
      </c>
      <c r="X29" s="271">
        <f>+Цени!Y28</f>
        <v>0</v>
      </c>
      <c r="Y29" s="272">
        <f>Перник!G29</f>
        <v>0</v>
      </c>
      <c r="Z29" s="273">
        <f>'Борса и балансиране'!F29</f>
        <v>0</v>
      </c>
      <c r="AA29" s="269">
        <f>IF(AK29-SUM(G29:Z29,Плевен!K29,Плевен!L29,Бургас!H29,'Враца 1'!H29,'Враца 2'!H29)&gt;=0,AK29-SUM(G29:Z29,Плевен!K29,Плевен!L29,Бургас!H29,'Враца 1'!H29,'Враца 2'!H29),IF(AK29-SUM(G29:Z29,Плевен!K29,Плевен!L29,Бургас!H29,'Враца 1'!H29,'Враца 2'!H29)&lt;=0,0))</f>
        <v>0</v>
      </c>
      <c r="AB29" s="272">
        <f>IF(AK29-SUM(G29:Z29,Плевен!K29,Плевен!L29,Бургас!H29,'Враца 1'!H29,'Враца 2'!H29)&lt;=0,AK29-SUM(G29:Z29,Плевен!K29,Плевен!L29,Бургас!H29,'Враца 1'!H29,'Враца 2'!H29),IF(AK29-SUM(G29:Z29,Плевен!K29,Плевен!L29,Бургас!H29,'Враца 1'!H29,'Враца 2'!H29)&gt;=0,0))</f>
        <v>0</v>
      </c>
      <c r="AD29" s="278">
        <f>+Цени!L28+Цени!M28+Цени!N28+Цени!O28+Цени!P28</f>
        <v>0</v>
      </c>
      <c r="AE29" s="278">
        <f>+Цени!C28</f>
        <v>0</v>
      </c>
      <c r="AF29" s="278">
        <f>+Цени!R28</f>
        <v>0</v>
      </c>
      <c r="AG29" s="278">
        <f>+Цени!Q28</f>
        <v>0</v>
      </c>
      <c r="AH29" s="278">
        <f>+Цени!D28</f>
        <v>0</v>
      </c>
      <c r="AI29" s="599">
        <f>+Цени!S28</f>
        <v>0</v>
      </c>
      <c r="AJ29" s="279">
        <f>'Борса и балансиране'!C29</f>
        <v>0</v>
      </c>
      <c r="AK29" s="280">
        <f t="shared" si="10"/>
        <v>0</v>
      </c>
      <c r="AM29" s="281"/>
      <c r="AN29" s="282"/>
      <c r="AO29" s="283">
        <f>AM29-AN29+Перник!T40</f>
        <v>0</v>
      </c>
      <c r="AP29" s="284">
        <v>0</v>
      </c>
      <c r="AQ29" s="285">
        <f t="shared" si="22"/>
        <v>0</v>
      </c>
      <c r="AS29" s="265">
        <f t="shared" si="23"/>
        <v>45652</v>
      </c>
      <c r="AT29" s="289">
        <f t="shared" si="24"/>
        <v>75.89</v>
      </c>
      <c r="AU29" s="289">
        <f t="shared" si="11"/>
        <v>0</v>
      </c>
      <c r="AV29" s="268"/>
      <c r="AW29" s="289">
        <f t="shared" si="12"/>
        <v>0</v>
      </c>
      <c r="AY29" s="265">
        <f t="shared" si="25"/>
        <v>45652</v>
      </c>
      <c r="AZ29" s="290">
        <f>+'ОБЩО NEW за печат'!BP29</f>
        <v>0</v>
      </c>
      <c r="BA29" s="290">
        <f>+'ОБЩО NEW за печат'!BQ29</f>
        <v>0</v>
      </c>
      <c r="BB29" s="289">
        <f t="shared" si="31"/>
        <v>0</v>
      </c>
      <c r="BD29" s="265">
        <f t="shared" si="26"/>
        <v>45652</v>
      </c>
      <c r="BE29" s="291"/>
      <c r="BF29" s="289"/>
      <c r="BG29" s="289"/>
      <c r="BI29" s="265">
        <f t="shared" si="28"/>
        <v>45652</v>
      </c>
      <c r="BJ29" s="321"/>
      <c r="BK29" s="321"/>
      <c r="BL29" s="321"/>
      <c r="BM29" s="321"/>
      <c r="BN29" s="321"/>
      <c r="BO29" s="321"/>
      <c r="BP29" s="321"/>
      <c r="BQ29" s="321"/>
      <c r="BR29" s="294">
        <f>SUM(BJ29:BQ29)</f>
        <v>0</v>
      </c>
      <c r="BT29" s="265">
        <f t="shared" si="29"/>
        <v>45652</v>
      </c>
      <c r="BU29" s="293">
        <f t="shared" si="14"/>
        <v>0</v>
      </c>
      <c r="BV29" s="293">
        <f t="shared" si="3"/>
        <v>0</v>
      </c>
      <c r="BW29" s="293">
        <f t="shared" si="15"/>
        <v>0</v>
      </c>
      <c r="BX29" s="293">
        <f t="shared" si="16"/>
        <v>0</v>
      </c>
      <c r="BY29" s="293">
        <f t="shared" si="17"/>
        <v>0</v>
      </c>
      <c r="BZ29" s="293">
        <f t="shared" si="17"/>
        <v>0</v>
      </c>
      <c r="CA29" s="293">
        <f t="shared" si="18"/>
        <v>0</v>
      </c>
      <c r="CB29" s="293">
        <f t="shared" si="19"/>
        <v>0</v>
      </c>
      <c r="CC29" s="294">
        <f t="shared" si="46"/>
        <v>0</v>
      </c>
      <c r="CE29" s="265">
        <f t="shared" si="30"/>
        <v>45652</v>
      </c>
      <c r="CF29" s="321"/>
      <c r="CG29" s="321"/>
      <c r="CH29" s="321"/>
      <c r="CI29" s="321"/>
      <c r="CJ29" s="321"/>
      <c r="CK29" s="321"/>
      <c r="CL29" s="321"/>
      <c r="CM29" s="321"/>
      <c r="CN29" s="294">
        <f>SUM(CF29:CM29)</f>
        <v>0</v>
      </c>
    </row>
    <row r="30" spans="2:93" x14ac:dyDescent="0.25">
      <c r="B30" s="47">
        <f t="shared" si="21"/>
        <v>45653</v>
      </c>
      <c r="C30" s="269">
        <f>+Плевен!K30+Плевен!L30</f>
        <v>0</v>
      </c>
      <c r="D30" s="270">
        <f>Бургас!H30</f>
        <v>0</v>
      </c>
      <c r="E30" s="270">
        <f>'Враца 1'!H30</f>
        <v>0</v>
      </c>
      <c r="F30" s="270">
        <f>'Враца 2'!H30</f>
        <v>0</v>
      </c>
      <c r="G30" s="271">
        <f>Русе!G30</f>
        <v>0</v>
      </c>
      <c r="H30" s="271">
        <f>+'Русе Кемикълс'!E30</f>
        <v>0</v>
      </c>
      <c r="I30" s="271">
        <f>+ЛКМК!E30</f>
        <v>0</v>
      </c>
      <c r="J30" s="271">
        <f>+'Доминекс про'!E30</f>
        <v>0</v>
      </c>
      <c r="K30" s="271">
        <f>+Труд!E30</f>
        <v>0</v>
      </c>
      <c r="L30" s="271">
        <f>+'Велико Търново'!E30</f>
        <v>0</v>
      </c>
      <c r="M30" s="271">
        <f>+Берус!E30</f>
        <v>0</v>
      </c>
      <c r="N30" s="271">
        <f>+'Бултекс 1'!E30</f>
        <v>0</v>
      </c>
      <c r="O30" s="271">
        <f>+Алуком!E30</f>
        <v>0</v>
      </c>
      <c r="P30" s="271">
        <f>+Илинден!E30</f>
        <v>0</v>
      </c>
      <c r="Q30" s="271">
        <f>+'Ваптех АМ'!E30</f>
        <v>0</v>
      </c>
      <c r="R30" s="271">
        <f>+РВД!E30</f>
        <v>0</v>
      </c>
      <c r="S30" s="271">
        <f>+Димитровград!E30</f>
        <v>0</v>
      </c>
      <c r="T30" s="271">
        <f>+Булмаш!E30</f>
        <v>0</v>
      </c>
      <c r="U30" s="271">
        <f>+HERON!D30</f>
        <v>0</v>
      </c>
      <c r="V30" s="271">
        <f>+'PPC Гърция'!D30</f>
        <v>0</v>
      </c>
      <c r="W30" s="271">
        <f>+'МЕТ ВИТОЛ ДХТ'!D30+'МЕТ ВИТОЛ ДХТ'!J30+'МЕТ ВИТОЛ ДХТ'!P30+'МЕТ ВИТОЛ ДХТ'!V30+'МЕТ ВИТОЛ ДХТ'!AB30+'МЕТ ВИТОЛ ДХТ'!AH30+'МЕТ ВИТОЛ ДХТ'!AN30+'МЕТ ВИТОЛ ДХТ'!AT30</f>
        <v>0</v>
      </c>
      <c r="X30" s="271">
        <f>+Цени!Y29</f>
        <v>0</v>
      </c>
      <c r="Y30" s="272">
        <f>Перник!G30</f>
        <v>0</v>
      </c>
      <c r="Z30" s="273">
        <f>'Борса и балансиране'!F30</f>
        <v>0</v>
      </c>
      <c r="AA30" s="269">
        <f>IF(AK30-SUM(G30:Z30,Плевен!K30,Плевен!L30,Бургас!H30,'Враца 1'!H30,'Враца 2'!H30)&gt;=0,AK30-SUM(G30:Z30,Плевен!K30,Плевен!L30,Бургас!H30,'Враца 1'!H30,'Враца 2'!H30),IF(AK30-SUM(G30:Z30,Плевен!K30,Плевен!L30,Бургас!H30,'Враца 1'!H30,'Враца 2'!H30)&lt;=0,0))</f>
        <v>0</v>
      </c>
      <c r="AB30" s="272">
        <f>IF(AK30-SUM(G30:Z30,Плевен!K30,Плевен!L30,Бургас!H30,'Враца 1'!H30,'Враца 2'!H30)&lt;=0,AK30-SUM(G30:Z30,Плевен!K30,Плевен!L30,Бургас!H30,'Враца 1'!H30,'Враца 2'!H30),IF(AK30-SUM(G30:Z30,Плевен!K30,Плевен!L30,Бургас!H30,'Враца 1'!H30,'Враца 2'!H30)&gt;=0,0))</f>
        <v>0</v>
      </c>
      <c r="AD30" s="278">
        <f>+Цени!L29+Цени!M29+Цени!N29+Цени!O29+Цени!P29</f>
        <v>0</v>
      </c>
      <c r="AE30" s="278">
        <f>+Цени!C29</f>
        <v>0</v>
      </c>
      <c r="AF30" s="278">
        <f>+Цени!R29</f>
        <v>0</v>
      </c>
      <c r="AG30" s="278">
        <f>+Цени!Q29</f>
        <v>0</v>
      </c>
      <c r="AH30" s="278">
        <f>+Цени!D29</f>
        <v>0</v>
      </c>
      <c r="AI30" s="599">
        <f>+Цени!S29</f>
        <v>0</v>
      </c>
      <c r="AJ30" s="279">
        <f>'Борса и балансиране'!C30</f>
        <v>0</v>
      </c>
      <c r="AK30" s="280">
        <f t="shared" si="10"/>
        <v>0</v>
      </c>
      <c r="AM30" s="281"/>
      <c r="AN30" s="282"/>
      <c r="AO30" s="283">
        <f>AM30-AN30+Перник!T41</f>
        <v>0</v>
      </c>
      <c r="AP30" s="284">
        <v>0</v>
      </c>
      <c r="AQ30" s="285">
        <f t="shared" si="22"/>
        <v>0</v>
      </c>
      <c r="AR30" s="4"/>
      <c r="AS30" s="265">
        <f t="shared" si="23"/>
        <v>45653</v>
      </c>
      <c r="AT30" s="289">
        <f t="shared" si="24"/>
        <v>75.89</v>
      </c>
      <c r="AU30" s="289">
        <f t="shared" si="11"/>
        <v>0</v>
      </c>
      <c r="AV30" s="268"/>
      <c r="AW30" s="289">
        <f t="shared" si="12"/>
        <v>0</v>
      </c>
      <c r="AY30" s="265">
        <f t="shared" si="25"/>
        <v>45653</v>
      </c>
      <c r="AZ30" s="290">
        <f>+'ОБЩО NEW за печат'!BP30</f>
        <v>0</v>
      </c>
      <c r="BA30" s="290">
        <f>+'ОБЩО NEW за печат'!BQ30</f>
        <v>0</v>
      </c>
      <c r="BB30" s="289">
        <f t="shared" si="31"/>
        <v>0</v>
      </c>
      <c r="BD30" s="265">
        <f t="shared" si="26"/>
        <v>45653</v>
      </c>
      <c r="BE30" s="291"/>
      <c r="BF30" s="289"/>
      <c r="BG30" s="289"/>
      <c r="BI30" s="265">
        <f t="shared" si="28"/>
        <v>45653</v>
      </c>
      <c r="BJ30" s="321"/>
      <c r="BK30" s="321"/>
      <c r="BL30" s="321"/>
      <c r="BM30" s="321"/>
      <c r="BN30" s="321"/>
      <c r="BO30" s="321"/>
      <c r="BP30" s="321"/>
      <c r="BQ30" s="321"/>
      <c r="BR30" s="294">
        <f t="shared" si="49"/>
        <v>0</v>
      </c>
      <c r="BT30" s="265">
        <f t="shared" si="29"/>
        <v>45653</v>
      </c>
      <c r="BU30" s="293">
        <f t="shared" si="14"/>
        <v>0</v>
      </c>
      <c r="BV30" s="293">
        <f t="shared" si="3"/>
        <v>0</v>
      </c>
      <c r="BW30" s="293">
        <f t="shared" si="15"/>
        <v>0</v>
      </c>
      <c r="BX30" s="293">
        <f t="shared" si="16"/>
        <v>0</v>
      </c>
      <c r="BY30" s="293">
        <f t="shared" si="17"/>
        <v>0</v>
      </c>
      <c r="BZ30" s="293">
        <f t="shared" si="17"/>
        <v>0</v>
      </c>
      <c r="CA30" s="293">
        <f t="shared" si="18"/>
        <v>0</v>
      </c>
      <c r="CB30" s="293">
        <f t="shared" si="19"/>
        <v>0</v>
      </c>
      <c r="CC30" s="294">
        <f t="shared" si="46"/>
        <v>0</v>
      </c>
      <c r="CE30" s="265">
        <f t="shared" si="30"/>
        <v>45653</v>
      </c>
      <c r="CF30" s="321"/>
      <c r="CG30" s="321"/>
      <c r="CH30" s="321"/>
      <c r="CI30" s="321"/>
      <c r="CJ30" s="321"/>
      <c r="CK30" s="321"/>
      <c r="CL30" s="321"/>
      <c r="CM30" s="321"/>
      <c r="CN30" s="294">
        <f t="shared" si="47"/>
        <v>0</v>
      </c>
    </row>
    <row r="31" spans="2:93" x14ac:dyDescent="0.25">
      <c r="B31" s="47">
        <f t="shared" si="21"/>
        <v>45654</v>
      </c>
      <c r="C31" s="269">
        <f>+Плевен!K31+Плевен!L31</f>
        <v>0</v>
      </c>
      <c r="D31" s="270">
        <f>Бургас!H31</f>
        <v>0</v>
      </c>
      <c r="E31" s="270">
        <f>'Враца 1'!H31</f>
        <v>0</v>
      </c>
      <c r="F31" s="270">
        <f>'Враца 2'!H31</f>
        <v>0</v>
      </c>
      <c r="G31" s="271">
        <f>Русе!G31</f>
        <v>0</v>
      </c>
      <c r="H31" s="271">
        <f>+'Русе Кемикълс'!E31</f>
        <v>0</v>
      </c>
      <c r="I31" s="271">
        <f>+ЛКМК!E31</f>
        <v>0</v>
      </c>
      <c r="J31" s="271">
        <f>+'Доминекс про'!E31</f>
        <v>0</v>
      </c>
      <c r="K31" s="271">
        <f>+Труд!E31</f>
        <v>0</v>
      </c>
      <c r="L31" s="271">
        <f>+'Велико Търново'!E31</f>
        <v>0</v>
      </c>
      <c r="M31" s="271">
        <f>+Берус!E31</f>
        <v>0</v>
      </c>
      <c r="N31" s="271">
        <f>+'Бултекс 1'!E31</f>
        <v>0</v>
      </c>
      <c r="O31" s="271">
        <f>+Алуком!E31</f>
        <v>0</v>
      </c>
      <c r="P31" s="271">
        <f>+Илинден!E31</f>
        <v>0</v>
      </c>
      <c r="Q31" s="271">
        <f>+'Ваптех АМ'!E31</f>
        <v>0</v>
      </c>
      <c r="R31" s="271">
        <f>+РВД!E31</f>
        <v>0</v>
      </c>
      <c r="S31" s="271">
        <f>+Димитровград!E31</f>
        <v>0</v>
      </c>
      <c r="T31" s="271">
        <f>+Булмаш!E31</f>
        <v>0</v>
      </c>
      <c r="U31" s="271">
        <f>+HERON!D31</f>
        <v>0</v>
      </c>
      <c r="V31" s="271">
        <f>+'PPC Гърция'!D31</f>
        <v>0</v>
      </c>
      <c r="W31" s="271">
        <f>+'МЕТ ВИТОЛ ДХТ'!D31+'МЕТ ВИТОЛ ДХТ'!J31+'МЕТ ВИТОЛ ДХТ'!P31+'МЕТ ВИТОЛ ДХТ'!V31+'МЕТ ВИТОЛ ДХТ'!AB31+'МЕТ ВИТОЛ ДХТ'!AH31+'МЕТ ВИТОЛ ДХТ'!AN31+'МЕТ ВИТОЛ ДХТ'!AT31</f>
        <v>0</v>
      </c>
      <c r="X31" s="271">
        <f>+Цени!Y30</f>
        <v>0</v>
      </c>
      <c r="Y31" s="272">
        <f>Перник!G31</f>
        <v>0</v>
      </c>
      <c r="Z31" s="273">
        <f>'Борса и балансиране'!F31</f>
        <v>0</v>
      </c>
      <c r="AA31" s="269">
        <f>IF(AK31-SUM(G31:Z31,Плевен!K31,Плевен!L31,Бургас!H31,'Враца 1'!H31,'Враца 2'!H31)&gt;=0,AK31-SUM(G31:Z31,Плевен!K31,Плевен!L31,Бургас!H31,'Враца 1'!H31,'Враца 2'!H31),IF(AK31-SUM(G31:Z31,Плевен!K31,Плевен!L31,Бургас!H31,'Враца 1'!H31,'Враца 2'!H31)&lt;=0,0))</f>
        <v>0</v>
      </c>
      <c r="AB31" s="272">
        <f>IF(AK31-SUM(G31:Z31,Плевен!K31,Плевен!L31,Бургас!H31,'Враца 1'!H31,'Враца 2'!H31)&lt;=0,AK31-SUM(G31:Z31,Плевен!K31,Плевен!L31,Бургас!H31,'Враца 1'!H31,'Враца 2'!H31),IF(AK31-SUM(G31:Z31,Плевен!K31,Плевен!L31,Бургас!H31,'Враца 1'!H31,'Враца 2'!H31)&gt;=0,0))</f>
        <v>0</v>
      </c>
      <c r="AD31" s="278">
        <f>+Цени!L30+Цени!M30+Цени!N30+Цени!O30+Цени!P30</f>
        <v>0</v>
      </c>
      <c r="AE31" s="278">
        <f>+Цени!C30</f>
        <v>0</v>
      </c>
      <c r="AF31" s="278">
        <f>+Цени!R30</f>
        <v>0</v>
      </c>
      <c r="AG31" s="278">
        <f>+Цени!Q30</f>
        <v>0</v>
      </c>
      <c r="AH31" s="278">
        <f>+Цени!D30</f>
        <v>0</v>
      </c>
      <c r="AI31" s="599">
        <f>+Цени!S30</f>
        <v>0</v>
      </c>
      <c r="AJ31" s="279">
        <f>'Борса и балансиране'!C31</f>
        <v>0</v>
      </c>
      <c r="AK31" s="280">
        <f t="shared" si="10"/>
        <v>0</v>
      </c>
      <c r="AM31" s="281"/>
      <c r="AN31" s="282"/>
      <c r="AO31" s="283">
        <f>AM31-AN31+Перник!T42</f>
        <v>0</v>
      </c>
      <c r="AP31" s="284">
        <v>0</v>
      </c>
      <c r="AQ31" s="285">
        <f t="shared" ref="AQ31:AQ32" si="50">AO31++AP31</f>
        <v>0</v>
      </c>
      <c r="AR31" s="4"/>
      <c r="AS31" s="265">
        <f t="shared" si="23"/>
        <v>45654</v>
      </c>
      <c r="AT31" s="289">
        <f t="shared" si="24"/>
        <v>75.89</v>
      </c>
      <c r="AU31" s="289">
        <f t="shared" si="11"/>
        <v>0</v>
      </c>
      <c r="AV31" s="268"/>
      <c r="AW31" s="289">
        <f t="shared" ref="AW31:AW32" si="51">+AU31-AV31</f>
        <v>0</v>
      </c>
      <c r="AY31" s="265">
        <f t="shared" si="25"/>
        <v>45654</v>
      </c>
      <c r="AZ31" s="290">
        <f>+'ОБЩО NEW за печат'!BP31</f>
        <v>0</v>
      </c>
      <c r="BA31" s="290">
        <f>+'ОБЩО NEW за печат'!BQ31</f>
        <v>0</v>
      </c>
      <c r="BB31" s="289">
        <f t="shared" ref="BB31:BB32" si="52">+BA31-AZ31</f>
        <v>0</v>
      </c>
      <c r="BD31" s="265">
        <f t="shared" si="26"/>
        <v>45654</v>
      </c>
      <c r="BE31" s="291"/>
      <c r="BF31" s="289"/>
      <c r="BG31" s="289"/>
      <c r="BI31" s="265">
        <f t="shared" si="28"/>
        <v>45654</v>
      </c>
      <c r="BJ31" s="321"/>
      <c r="BK31" s="321"/>
      <c r="BL31" s="321"/>
      <c r="BM31" s="321"/>
      <c r="BN31" s="321"/>
      <c r="BO31" s="321"/>
      <c r="BP31" s="321"/>
      <c r="BQ31" s="321"/>
      <c r="BR31" s="294">
        <f t="shared" ref="BR31" si="53">SUM(BJ31:BQ31)</f>
        <v>0</v>
      </c>
      <c r="BT31" s="265">
        <f t="shared" si="29"/>
        <v>45654</v>
      </c>
      <c r="BU31" s="293">
        <f t="shared" si="14"/>
        <v>0</v>
      </c>
      <c r="BV31" s="293">
        <f t="shared" si="3"/>
        <v>0</v>
      </c>
      <c r="BW31" s="293">
        <f t="shared" si="15"/>
        <v>0</v>
      </c>
      <c r="BX31" s="293">
        <f t="shared" si="16"/>
        <v>0</v>
      </c>
      <c r="BY31" s="293">
        <f t="shared" si="17"/>
        <v>0</v>
      </c>
      <c r="BZ31" s="293">
        <f t="shared" si="17"/>
        <v>0</v>
      </c>
      <c r="CA31" s="293">
        <f t="shared" si="18"/>
        <v>0</v>
      </c>
      <c r="CB31" s="293">
        <f t="shared" si="19"/>
        <v>0</v>
      </c>
      <c r="CC31" s="294">
        <f t="shared" ref="CC31:CC32" si="54">SUM(BU31:CB31)</f>
        <v>0</v>
      </c>
      <c r="CE31" s="265">
        <f t="shared" si="30"/>
        <v>45654</v>
      </c>
      <c r="CF31" s="321"/>
      <c r="CG31" s="321"/>
      <c r="CH31" s="321"/>
      <c r="CI31" s="321"/>
      <c r="CJ31" s="321"/>
      <c r="CK31" s="321"/>
      <c r="CL31" s="321"/>
      <c r="CM31" s="321"/>
      <c r="CN31" s="294">
        <f t="shared" ref="CN31:CN32" si="55">SUM(CF31:CM31)</f>
        <v>0</v>
      </c>
    </row>
    <row r="32" spans="2:93" x14ac:dyDescent="0.25">
      <c r="B32" s="47">
        <f t="shared" si="21"/>
        <v>45655</v>
      </c>
      <c r="C32" s="269">
        <f>+Плевен!K32+Плевен!L32</f>
        <v>0</v>
      </c>
      <c r="D32" s="270">
        <f>Бургас!H32</f>
        <v>0</v>
      </c>
      <c r="E32" s="270">
        <f>'Враца 1'!H32</f>
        <v>0</v>
      </c>
      <c r="F32" s="270">
        <f>'Враца 2'!H32</f>
        <v>0</v>
      </c>
      <c r="G32" s="271">
        <f>Русе!G32</f>
        <v>0</v>
      </c>
      <c r="H32" s="271">
        <f>+'Русе Кемикълс'!E32</f>
        <v>0</v>
      </c>
      <c r="I32" s="271">
        <f>+ЛКМК!E32</f>
        <v>0</v>
      </c>
      <c r="J32" s="271">
        <f>+'Доминекс про'!E32</f>
        <v>0</v>
      </c>
      <c r="K32" s="271">
        <f>+Труд!E32</f>
        <v>0</v>
      </c>
      <c r="L32" s="271">
        <f>+'Велико Търново'!E32</f>
        <v>0</v>
      </c>
      <c r="M32" s="271">
        <f>+Берус!E32</f>
        <v>0</v>
      </c>
      <c r="N32" s="271">
        <f>+'Бултекс 1'!E32</f>
        <v>0</v>
      </c>
      <c r="O32" s="271">
        <f>+Алуком!E32</f>
        <v>0</v>
      </c>
      <c r="P32" s="271">
        <f>+Илинден!E32</f>
        <v>0</v>
      </c>
      <c r="Q32" s="271">
        <f>+'Ваптех АМ'!E32</f>
        <v>0</v>
      </c>
      <c r="R32" s="271">
        <f>+РВД!E32</f>
        <v>0</v>
      </c>
      <c r="S32" s="271">
        <f>+Димитровград!E32</f>
        <v>0</v>
      </c>
      <c r="T32" s="271">
        <f>+Булмаш!E32</f>
        <v>0</v>
      </c>
      <c r="U32" s="271">
        <f>+HERON!D32</f>
        <v>0</v>
      </c>
      <c r="V32" s="271">
        <f>+'PPC Гърция'!D32</f>
        <v>0</v>
      </c>
      <c r="W32" s="271">
        <f>+'МЕТ ВИТОЛ ДХТ'!D32+'МЕТ ВИТОЛ ДХТ'!J32+'МЕТ ВИТОЛ ДХТ'!P32+'МЕТ ВИТОЛ ДХТ'!V32+'МЕТ ВИТОЛ ДХТ'!AB32+'МЕТ ВИТОЛ ДХТ'!AH32+'МЕТ ВИТОЛ ДХТ'!AN32+'МЕТ ВИТОЛ ДХТ'!AT32</f>
        <v>0</v>
      </c>
      <c r="X32" s="271">
        <f>+Цени!Y31</f>
        <v>0</v>
      </c>
      <c r="Y32" s="272">
        <f>Перник!G32</f>
        <v>0</v>
      </c>
      <c r="Z32" s="273">
        <f>'Борса и балансиране'!F32</f>
        <v>0</v>
      </c>
      <c r="AA32" s="269">
        <f>IF(AK32-SUM(G32:Z32,Плевен!K32,Плевен!L32,Бургас!H32,'Враца 1'!H32,'Враца 2'!H32)&gt;=0,AK32-SUM(G32:Z32,Плевен!K32,Плевен!L32,Бургас!H32,'Враца 1'!H32,'Враца 2'!H32),IF(AK32-SUM(G32:Z32,Плевен!K32,Плевен!L32,Бургас!H32,'Враца 1'!H32,'Враца 2'!H32)&lt;=0,0))</f>
        <v>0</v>
      </c>
      <c r="AB32" s="272">
        <f>IF(AK32-SUM(G32:Z32,Плевен!K32,Плевен!L32,Бургас!H32,'Враца 1'!H32,'Враца 2'!H32)&lt;=0,AK32-SUM(G32:Z32,Плевен!K32,Плевен!L32,Бургас!H32,'Враца 1'!H32,'Враца 2'!H32),IF(AK32-SUM(G32:Z32,Плевен!K32,Плевен!L32,Бургас!H32,'Враца 1'!H32,'Враца 2'!H32)&gt;=0,0))</f>
        <v>0</v>
      </c>
      <c r="AD32" s="278">
        <f>+Цени!L31+Цени!M31+Цени!N31+Цени!O31+Цени!P31</f>
        <v>0</v>
      </c>
      <c r="AE32" s="278">
        <f>+Цени!C31</f>
        <v>0</v>
      </c>
      <c r="AF32" s="278">
        <f>+Цени!R31</f>
        <v>0</v>
      </c>
      <c r="AG32" s="278">
        <f>+Цени!Q31</f>
        <v>0</v>
      </c>
      <c r="AH32" s="278">
        <f>+Цени!D31</f>
        <v>0</v>
      </c>
      <c r="AI32" s="599">
        <f>+Цени!S31</f>
        <v>0</v>
      </c>
      <c r="AJ32" s="279">
        <f>'Борса и балансиране'!C32</f>
        <v>0</v>
      </c>
      <c r="AK32" s="280">
        <f t="shared" si="10"/>
        <v>0</v>
      </c>
      <c r="AM32" s="281"/>
      <c r="AN32" s="282"/>
      <c r="AO32" s="283">
        <f>AM32-AN32+Перник!T43</f>
        <v>0</v>
      </c>
      <c r="AP32" s="284">
        <v>0</v>
      </c>
      <c r="AQ32" s="285">
        <f t="shared" si="50"/>
        <v>0</v>
      </c>
      <c r="AR32" s="4"/>
      <c r="AS32" s="265">
        <f t="shared" si="23"/>
        <v>45655</v>
      </c>
      <c r="AT32" s="289">
        <f t="shared" si="24"/>
        <v>75.89</v>
      </c>
      <c r="AU32" s="289">
        <f t="shared" si="11"/>
        <v>0</v>
      </c>
      <c r="AV32" s="268"/>
      <c r="AW32" s="289">
        <f t="shared" si="51"/>
        <v>0</v>
      </c>
      <c r="AY32" s="265">
        <f t="shared" si="25"/>
        <v>45655</v>
      </c>
      <c r="AZ32" s="290">
        <f>+'ОБЩО NEW за печат'!BP32</f>
        <v>0</v>
      </c>
      <c r="BA32" s="290">
        <f>+'ОБЩО NEW за печат'!BQ32</f>
        <v>0</v>
      </c>
      <c r="BB32" s="289">
        <f t="shared" si="52"/>
        <v>0</v>
      </c>
      <c r="BD32" s="265">
        <f t="shared" si="26"/>
        <v>45655</v>
      </c>
      <c r="BE32" s="291"/>
      <c r="BF32" s="289"/>
      <c r="BG32" s="289"/>
      <c r="BI32" s="265">
        <f t="shared" si="28"/>
        <v>45655</v>
      </c>
      <c r="BJ32" s="321"/>
      <c r="BK32" s="321"/>
      <c r="BL32" s="321"/>
      <c r="BM32" s="321"/>
      <c r="BN32" s="321"/>
      <c r="BO32" s="321"/>
      <c r="BP32" s="321"/>
      <c r="BQ32" s="321"/>
      <c r="BR32" s="294">
        <f>SUM(BJ32:BQ32)</f>
        <v>0</v>
      </c>
      <c r="BT32" s="265">
        <f t="shared" si="29"/>
        <v>45655</v>
      </c>
      <c r="BU32" s="293">
        <f t="shared" ref="BU32:CB32" si="56">+CF32-BJ32</f>
        <v>0</v>
      </c>
      <c r="BV32" s="293">
        <f t="shared" si="56"/>
        <v>0</v>
      </c>
      <c r="BW32" s="293">
        <f t="shared" si="56"/>
        <v>0</v>
      </c>
      <c r="BX32" s="293">
        <f t="shared" si="56"/>
        <v>0</v>
      </c>
      <c r="BY32" s="293">
        <f t="shared" si="56"/>
        <v>0</v>
      </c>
      <c r="BZ32" s="293">
        <f t="shared" si="56"/>
        <v>0</v>
      </c>
      <c r="CA32" s="293">
        <f t="shared" si="56"/>
        <v>0</v>
      </c>
      <c r="CB32" s="293">
        <f t="shared" si="56"/>
        <v>0</v>
      </c>
      <c r="CC32" s="294">
        <f t="shared" si="54"/>
        <v>0</v>
      </c>
      <c r="CE32" s="265">
        <f t="shared" si="30"/>
        <v>45655</v>
      </c>
      <c r="CF32" s="321"/>
      <c r="CG32" s="321"/>
      <c r="CH32" s="321"/>
      <c r="CI32" s="321"/>
      <c r="CJ32" s="321"/>
      <c r="CK32" s="321"/>
      <c r="CL32" s="321"/>
      <c r="CM32" s="321"/>
      <c r="CN32" s="294">
        <f t="shared" si="55"/>
        <v>0</v>
      </c>
    </row>
    <row r="33" spans="1:92" x14ac:dyDescent="0.25">
      <c r="B33" s="47">
        <f t="shared" si="21"/>
        <v>45656</v>
      </c>
      <c r="C33" s="269">
        <f>+Плевен!K33+Плевен!L33</f>
        <v>0</v>
      </c>
      <c r="D33" s="270">
        <f>Бургас!H33</f>
        <v>0</v>
      </c>
      <c r="E33" s="270">
        <f>'Враца 1'!H33</f>
        <v>0</v>
      </c>
      <c r="F33" s="270">
        <f>'Враца 2'!H33</f>
        <v>0</v>
      </c>
      <c r="G33" s="271">
        <f>Русе!G33</f>
        <v>0</v>
      </c>
      <c r="H33" s="271">
        <f>+'Русе Кемикълс'!E33</f>
        <v>0</v>
      </c>
      <c r="I33" s="271">
        <f>+ЛКМК!E33</f>
        <v>0</v>
      </c>
      <c r="J33" s="271">
        <f>+'Доминекс про'!E33</f>
        <v>0</v>
      </c>
      <c r="K33" s="271">
        <f>+Труд!E33</f>
        <v>0</v>
      </c>
      <c r="L33" s="271">
        <f>+'Велико Търново'!E33</f>
        <v>0</v>
      </c>
      <c r="M33" s="271">
        <f>+Берус!E33</f>
        <v>0</v>
      </c>
      <c r="N33" s="271">
        <f>+'Бултекс 1'!E33</f>
        <v>0</v>
      </c>
      <c r="O33" s="271">
        <f>+Алуком!E33</f>
        <v>0</v>
      </c>
      <c r="P33" s="271">
        <f>+Илинден!E33</f>
        <v>0</v>
      </c>
      <c r="Q33" s="271">
        <f>+'Ваптех АМ'!E33</f>
        <v>0</v>
      </c>
      <c r="R33" s="271">
        <f>+РВД!E33</f>
        <v>0</v>
      </c>
      <c r="S33" s="271">
        <f>+Димитровград!E33</f>
        <v>0</v>
      </c>
      <c r="T33" s="271">
        <f>+Булмаш!E33</f>
        <v>0</v>
      </c>
      <c r="U33" s="271">
        <f>+HERON!D33</f>
        <v>0</v>
      </c>
      <c r="V33" s="271">
        <f>+'PPC Гърция'!D33</f>
        <v>0</v>
      </c>
      <c r="W33" s="271">
        <f>+'МЕТ ВИТОЛ ДХТ'!D33+'МЕТ ВИТОЛ ДХТ'!J33+'МЕТ ВИТОЛ ДХТ'!P33+'МЕТ ВИТОЛ ДХТ'!V33+'МЕТ ВИТОЛ ДХТ'!AB33+'МЕТ ВИТОЛ ДХТ'!AH33+'МЕТ ВИТОЛ ДХТ'!AN33+'МЕТ ВИТОЛ ДХТ'!AT33</f>
        <v>0</v>
      </c>
      <c r="X33" s="271">
        <f>+Цени!Y32</f>
        <v>0</v>
      </c>
      <c r="Y33" s="272">
        <f>Перник!G33</f>
        <v>0</v>
      </c>
      <c r="Z33" s="273">
        <f>'Борса и балансиране'!F33</f>
        <v>0</v>
      </c>
      <c r="AA33" s="269">
        <f>IF(AK33-SUM(G33:Z33,Плевен!K33,Плевен!L33,Бургас!H33,'Враца 1'!H33,'Враца 2'!H33)&gt;=0,AK33-SUM(G33:Z33,Плевен!K33,Плевен!L33,Бургас!H33,'Враца 1'!H33,'Враца 2'!H33),IF(AK33-SUM(G33:Z33,Плевен!K33,Плевен!L33,Бургас!H33,'Враца 1'!H33,'Враца 2'!H33)&lt;=0,0))</f>
        <v>0</v>
      </c>
      <c r="AB33" s="272">
        <f>IF(AK33-SUM(G33:Z33,Плевен!K33,Плевен!L33,Бургас!H33,'Враца 1'!H33,'Враца 2'!H33)&lt;=0,AK33-SUM(G33:Z33,Плевен!K33,Плевен!L33,Бургас!H33,'Враца 1'!H33,'Враца 2'!H33),IF(AK33-SUM(G33:Z33,Плевен!K33,Плевен!L33,Бургас!H33,'Враца 1'!H33,'Враца 2'!H33)&gt;=0,0))</f>
        <v>0</v>
      </c>
      <c r="AD33" s="278">
        <f>+Цени!L32+Цени!M32+Цени!N32+Цени!O32+Цени!P32</f>
        <v>0</v>
      </c>
      <c r="AE33" s="278">
        <f>+Цени!C32</f>
        <v>0</v>
      </c>
      <c r="AF33" s="278">
        <f>+Цени!R32</f>
        <v>0</v>
      </c>
      <c r="AG33" s="278">
        <f>+Цени!Q32</f>
        <v>0</v>
      </c>
      <c r="AH33" s="278">
        <f>+Цени!D32</f>
        <v>0</v>
      </c>
      <c r="AI33" s="599">
        <f>+Цени!S32</f>
        <v>0</v>
      </c>
      <c r="AJ33" s="279">
        <f>'Борса и балансиране'!C33</f>
        <v>0</v>
      </c>
      <c r="AK33" s="280">
        <f t="shared" ref="AK33:AK34" si="57">SUM(AD33:AJ33)</f>
        <v>0</v>
      </c>
      <c r="AM33" s="281"/>
      <c r="AN33" s="282"/>
      <c r="AO33" s="283">
        <f>AM33-AN33+Перник!T44</f>
        <v>0</v>
      </c>
      <c r="AP33" s="284">
        <v>0</v>
      </c>
      <c r="AQ33" s="285">
        <f t="shared" ref="AQ33:AQ34" si="58">AO33++AP33</f>
        <v>0</v>
      </c>
      <c r="AR33" s="4"/>
      <c r="AS33" s="265">
        <f t="shared" si="23"/>
        <v>45656</v>
      </c>
      <c r="AT33" s="289">
        <f t="shared" si="24"/>
        <v>75.89</v>
      </c>
      <c r="AU33" s="289">
        <f t="shared" ref="AU33:AU34" si="59">+AZ33</f>
        <v>0</v>
      </c>
      <c r="AV33" s="268"/>
      <c r="AW33" s="289">
        <f t="shared" ref="AW33:AW34" si="60">+AU33-AV33</f>
        <v>0</v>
      </c>
      <c r="AY33" s="265">
        <f t="shared" si="25"/>
        <v>45656</v>
      </c>
      <c r="AZ33" s="290">
        <f>+'ОБЩО NEW за печат'!BP33</f>
        <v>0</v>
      </c>
      <c r="BA33" s="290">
        <f>+'ОБЩО NEW за печат'!BQ33</f>
        <v>0</v>
      </c>
      <c r="BB33" s="289">
        <f t="shared" ref="BB33:BB34" si="61">+BA33-AZ33</f>
        <v>0</v>
      </c>
      <c r="BD33" s="265">
        <f t="shared" si="26"/>
        <v>45656</v>
      </c>
      <c r="BE33" s="291"/>
      <c r="BF33" s="289"/>
      <c r="BG33" s="289"/>
      <c r="BI33" s="265">
        <f t="shared" si="28"/>
        <v>45656</v>
      </c>
      <c r="BJ33" s="321"/>
      <c r="BK33" s="321"/>
      <c r="BL33" s="321"/>
      <c r="BM33" s="321"/>
      <c r="BN33" s="321"/>
      <c r="BO33" s="321"/>
      <c r="BP33" s="321"/>
      <c r="BQ33" s="321"/>
      <c r="BR33" s="294">
        <f t="shared" ref="BR33:BR34" si="62">SUM(BJ33:BQ33)</f>
        <v>0</v>
      </c>
      <c r="BT33" s="265">
        <f t="shared" si="29"/>
        <v>45656</v>
      </c>
      <c r="BU33" s="293">
        <f t="shared" ref="BU33:BU34" si="63">+CF33-BJ33</f>
        <v>0</v>
      </c>
      <c r="BV33" s="293">
        <f t="shared" ref="BV33:BV34" si="64">+CG33-BK33</f>
        <v>0</v>
      </c>
      <c r="BW33" s="293">
        <f t="shared" ref="BW33:BW34" si="65">+CH33-BL33</f>
        <v>0</v>
      </c>
      <c r="BX33" s="293">
        <f t="shared" ref="BX33:BX34" si="66">+CI33-BM33</f>
        <v>0</v>
      </c>
      <c r="BY33" s="293">
        <f t="shared" ref="BY33:BY34" si="67">+CJ33-BN33</f>
        <v>0</v>
      </c>
      <c r="BZ33" s="293">
        <f t="shared" ref="BZ33:BZ34" si="68">+CK33-BO33</f>
        <v>0</v>
      </c>
      <c r="CA33" s="293">
        <f t="shared" ref="CA33:CA34" si="69">+CL33-BP33</f>
        <v>0</v>
      </c>
      <c r="CB33" s="293">
        <f t="shared" ref="CB33:CB34" si="70">+CM33-BQ33</f>
        <v>0</v>
      </c>
      <c r="CC33" s="294">
        <f t="shared" ref="CC33:CC34" si="71">SUM(BU33:CB33)</f>
        <v>0</v>
      </c>
      <c r="CE33" s="265">
        <f t="shared" si="30"/>
        <v>45656</v>
      </c>
      <c r="CF33" s="321"/>
      <c r="CG33" s="321"/>
      <c r="CH33" s="321"/>
      <c r="CI33" s="321"/>
      <c r="CJ33" s="321"/>
      <c r="CK33" s="321"/>
      <c r="CL33" s="321"/>
      <c r="CM33" s="321"/>
      <c r="CN33" s="294">
        <f t="shared" ref="CN33:CN34" si="72">SUM(CF33:CM33)</f>
        <v>0</v>
      </c>
    </row>
    <row r="34" spans="1:92" ht="15.75" thickBot="1" x14ac:dyDescent="0.3">
      <c r="B34" s="47">
        <f t="shared" si="21"/>
        <v>45657</v>
      </c>
      <c r="C34" s="269">
        <f>+Плевен!K34+Плевен!L34</f>
        <v>0</v>
      </c>
      <c r="D34" s="270">
        <f>Бургас!H34</f>
        <v>0</v>
      </c>
      <c r="E34" s="270">
        <f>'Враца 1'!H34</f>
        <v>0</v>
      </c>
      <c r="F34" s="270">
        <f>'Враца 2'!H34</f>
        <v>0</v>
      </c>
      <c r="G34" s="271">
        <f>Русе!G34</f>
        <v>0</v>
      </c>
      <c r="H34" s="271">
        <f>+'Русе Кемикълс'!E34</f>
        <v>0</v>
      </c>
      <c r="I34" s="271">
        <f>+ЛКМК!E34</f>
        <v>0</v>
      </c>
      <c r="J34" s="271">
        <f>+'Доминекс про'!E34</f>
        <v>0</v>
      </c>
      <c r="K34" s="271">
        <f>+Труд!E34</f>
        <v>0</v>
      </c>
      <c r="L34" s="271">
        <f>+'Велико Търново'!E34</f>
        <v>0</v>
      </c>
      <c r="M34" s="271">
        <f>+Берус!E34</f>
        <v>0</v>
      </c>
      <c r="N34" s="271">
        <f>+'Бултекс 1'!E34</f>
        <v>0</v>
      </c>
      <c r="O34" s="271">
        <f>+Алуком!E34</f>
        <v>0</v>
      </c>
      <c r="P34" s="271">
        <f>+Илинден!E34</f>
        <v>0</v>
      </c>
      <c r="Q34" s="271">
        <f>+'Ваптех АМ'!E34</f>
        <v>0</v>
      </c>
      <c r="R34" s="271">
        <f>+РВД!E34</f>
        <v>0</v>
      </c>
      <c r="S34" s="271">
        <f>+Димитровград!E34</f>
        <v>0</v>
      </c>
      <c r="T34" s="271">
        <f>+Булмаш!E34</f>
        <v>0</v>
      </c>
      <c r="U34" s="271">
        <f>+HERON!D34</f>
        <v>0</v>
      </c>
      <c r="V34" s="271">
        <f>+'PPC Гърция'!D34</f>
        <v>0</v>
      </c>
      <c r="W34" s="271">
        <f>+'МЕТ ВИТОЛ ДХТ'!D34+'МЕТ ВИТОЛ ДХТ'!J34+'МЕТ ВИТОЛ ДХТ'!P34+'МЕТ ВИТОЛ ДХТ'!V34+'МЕТ ВИТОЛ ДХТ'!AB34+'МЕТ ВИТОЛ ДХТ'!AH34+'МЕТ ВИТОЛ ДХТ'!AN34+'МЕТ ВИТОЛ ДХТ'!AT34</f>
        <v>0</v>
      </c>
      <c r="X34" s="271">
        <f>+Цени!Y33</f>
        <v>0</v>
      </c>
      <c r="Y34" s="272">
        <f>Перник!G34</f>
        <v>0</v>
      </c>
      <c r="Z34" s="273">
        <f>'Борса и балансиране'!F34</f>
        <v>0</v>
      </c>
      <c r="AA34" s="269">
        <f>IF(AK34-SUM(G34:Z34,Плевен!K34,Плевен!L34,Бургас!H34,'Враца 1'!H34,'Враца 2'!H34)&gt;=0,AK34-SUM(G34:Z34,Плевен!K34,Плевен!L34,Бургас!H34,'Враца 1'!H34,'Враца 2'!H34),IF(AK34-SUM(G34:Z34,Плевен!K34,Плевен!L34,Бургас!H34,'Враца 1'!H34,'Враца 2'!H34)&lt;=0,0))</f>
        <v>0</v>
      </c>
      <c r="AB34" s="272">
        <f>IF(AK34-SUM(G34:Z34,Плевен!K34,Плевен!L34,Бургас!H34,'Враца 1'!H34,'Враца 2'!H34)&lt;=0,AK34-SUM(G34:Z34,Плевен!K34,Плевен!L34,Бургас!H34,'Враца 1'!H34,'Враца 2'!H34),IF(AK34-SUM(G34:Z34,Плевен!K34,Плевен!L34,Бургас!H34,'Враца 1'!H34,'Враца 2'!H34)&gt;=0,0))</f>
        <v>0</v>
      </c>
      <c r="AD34" s="278">
        <f>+Цени!L33+Цени!M33+Цени!N33+Цени!O33+Цени!P33</f>
        <v>0</v>
      </c>
      <c r="AE34" s="278">
        <f>+Цени!C33</f>
        <v>0</v>
      </c>
      <c r="AF34" s="278">
        <f>+Цени!R33</f>
        <v>0</v>
      </c>
      <c r="AG34" s="278">
        <f>+Цени!Q33</f>
        <v>0</v>
      </c>
      <c r="AH34" s="278">
        <f>+Цени!D33</f>
        <v>0</v>
      </c>
      <c r="AI34" s="599">
        <f>+Цени!S33</f>
        <v>0</v>
      </c>
      <c r="AJ34" s="279">
        <f>'Борса и балансиране'!C34</f>
        <v>0</v>
      </c>
      <c r="AK34" s="280">
        <f t="shared" si="57"/>
        <v>0</v>
      </c>
      <c r="AM34" s="281"/>
      <c r="AN34" s="282"/>
      <c r="AO34" s="283">
        <f>AM34-AN34+Перник!T45</f>
        <v>0</v>
      </c>
      <c r="AP34" s="284">
        <v>0</v>
      </c>
      <c r="AQ34" s="285">
        <f t="shared" si="58"/>
        <v>0</v>
      </c>
      <c r="AR34" s="4"/>
      <c r="AS34" s="265">
        <f t="shared" si="23"/>
        <v>45657</v>
      </c>
      <c r="AT34" s="289">
        <f t="shared" si="24"/>
        <v>75.89</v>
      </c>
      <c r="AU34" s="289">
        <f t="shared" si="59"/>
        <v>0</v>
      </c>
      <c r="AV34" s="268"/>
      <c r="AW34" s="289">
        <f t="shared" si="60"/>
        <v>0</v>
      </c>
      <c r="AY34" s="265">
        <f t="shared" si="25"/>
        <v>45657</v>
      </c>
      <c r="AZ34" s="290">
        <f>+'ОБЩО NEW за печат'!BP34</f>
        <v>0</v>
      </c>
      <c r="BA34" s="290">
        <f>+'ОБЩО NEW за печат'!BQ34</f>
        <v>0</v>
      </c>
      <c r="BB34" s="289">
        <f t="shared" si="61"/>
        <v>0</v>
      </c>
      <c r="BD34" s="265">
        <f t="shared" si="26"/>
        <v>45657</v>
      </c>
      <c r="BE34" s="291"/>
      <c r="BF34" s="289"/>
      <c r="BG34" s="289"/>
      <c r="BI34" s="265">
        <f t="shared" si="28"/>
        <v>45657</v>
      </c>
      <c r="BJ34" s="321"/>
      <c r="BK34" s="321"/>
      <c r="BL34" s="321"/>
      <c r="BM34" s="321"/>
      <c r="BN34" s="321"/>
      <c r="BO34" s="321"/>
      <c r="BP34" s="321"/>
      <c r="BQ34" s="321"/>
      <c r="BR34" s="294">
        <f t="shared" si="62"/>
        <v>0</v>
      </c>
      <c r="BT34" s="265">
        <f t="shared" si="29"/>
        <v>45657</v>
      </c>
      <c r="BU34" s="293">
        <f t="shared" si="63"/>
        <v>0</v>
      </c>
      <c r="BV34" s="293">
        <f t="shared" si="64"/>
        <v>0</v>
      </c>
      <c r="BW34" s="293">
        <f t="shared" si="65"/>
        <v>0</v>
      </c>
      <c r="BX34" s="293">
        <f t="shared" si="66"/>
        <v>0</v>
      </c>
      <c r="BY34" s="293">
        <f t="shared" si="67"/>
        <v>0</v>
      </c>
      <c r="BZ34" s="293">
        <f t="shared" si="68"/>
        <v>0</v>
      </c>
      <c r="CA34" s="293">
        <f t="shared" si="69"/>
        <v>0</v>
      </c>
      <c r="CB34" s="293">
        <f t="shared" si="70"/>
        <v>0</v>
      </c>
      <c r="CC34" s="294">
        <f t="shared" si="71"/>
        <v>0</v>
      </c>
      <c r="CE34" s="265">
        <f t="shared" si="30"/>
        <v>45657</v>
      </c>
      <c r="CF34" s="321"/>
      <c r="CG34" s="321"/>
      <c r="CH34" s="321"/>
      <c r="CI34" s="321"/>
      <c r="CJ34" s="321"/>
      <c r="CK34" s="321"/>
      <c r="CL34" s="321"/>
      <c r="CM34" s="321"/>
      <c r="CN34" s="294">
        <f t="shared" si="72"/>
        <v>0</v>
      </c>
    </row>
    <row r="35" spans="1:92" ht="15.75" thickBot="1" x14ac:dyDescent="0.3">
      <c r="B35" s="71" t="s">
        <v>0</v>
      </c>
      <c r="C35" s="274">
        <f t="shared" ref="C35:Z35" si="73">SUM(C4:C34)</f>
        <v>876.68200000000002</v>
      </c>
      <c r="D35" s="275">
        <f t="shared" si="73"/>
        <v>911.97399999999971</v>
      </c>
      <c r="E35" s="275">
        <f t="shared" si="73"/>
        <v>531.91200000000003</v>
      </c>
      <c r="F35" s="275">
        <f t="shared" si="73"/>
        <v>1070.8599999999999</v>
      </c>
      <c r="G35" s="275">
        <f t="shared" si="73"/>
        <v>2542.1470000000004</v>
      </c>
      <c r="H35" s="276">
        <f t="shared" si="73"/>
        <v>48.853000000000002</v>
      </c>
      <c r="I35" s="276">
        <f t="shared" si="73"/>
        <v>91.12800481543897</v>
      </c>
      <c r="J35" s="276">
        <f t="shared" si="73"/>
        <v>295.21999999999997</v>
      </c>
      <c r="K35" s="276">
        <f t="shared" si="73"/>
        <v>274.089</v>
      </c>
      <c r="L35" s="276">
        <f t="shared" si="73"/>
        <v>11.75200000000001</v>
      </c>
      <c r="M35" s="276">
        <f t="shared" si="73"/>
        <v>5.7180000000000026</v>
      </c>
      <c r="N35" s="276">
        <f t="shared" si="73"/>
        <v>26.477</v>
      </c>
      <c r="O35" s="276">
        <f t="shared" si="73"/>
        <v>23.231000000000002</v>
      </c>
      <c r="P35" s="276">
        <f t="shared" si="73"/>
        <v>17.638999999999999</v>
      </c>
      <c r="Q35" s="276">
        <f t="shared" si="73"/>
        <v>179.60900000000001</v>
      </c>
      <c r="R35" s="276">
        <f t="shared" si="73"/>
        <v>431.27500000000003</v>
      </c>
      <c r="S35" s="276">
        <f t="shared" si="73"/>
        <v>969.29099999999994</v>
      </c>
      <c r="T35" s="276">
        <f t="shared" si="73"/>
        <v>38.391995184561026</v>
      </c>
      <c r="U35" s="276">
        <f t="shared" si="73"/>
        <v>0</v>
      </c>
      <c r="V35" s="276">
        <f t="shared" si="73"/>
        <v>20500</v>
      </c>
      <c r="W35" s="276">
        <f t="shared" ref="W35" si="74">SUM(W4:W34)</f>
        <v>63200</v>
      </c>
      <c r="X35" s="276">
        <f t="shared" si="73"/>
        <v>0</v>
      </c>
      <c r="Y35" s="276">
        <f t="shared" si="73"/>
        <v>509.22800000000001</v>
      </c>
      <c r="Z35" s="277">
        <f t="shared" si="73"/>
        <v>1200</v>
      </c>
      <c r="AA35" s="269">
        <f>IF(AK35-SUM(G35:Z35,Плевен!K35,Плевен!L35,Бургас!H35,'Враца 1'!H35,'Враца 2'!H35)&gt;=0,AK35-SUM(G35:Z35,Плевен!K35,Плевен!L35,Бургас!H35,'Враца 1'!H35,'Враца 2'!H35),IF(AK35-SUM(G35:Z35,Плевен!K35,Плевен!L35,Бургас!H35,'Враца 1'!H35,'Враца 2'!H35)&lt;=0,0))</f>
        <v>53.171000000031199</v>
      </c>
      <c r="AB35" s="272">
        <f>IF(AK35-SUM(G35:Z35,Плевен!K35,Плевен!L35,Бургас!H35,'Враца 1'!H35,'Враца 2'!H35)&lt;=0,AK35-SUM(G35:Z35,Плевен!K35,Плевен!L35,Бургас!H35,'Враца 1'!H35,'Враца 2'!H35),IF(AK35-SUM(G35:Z35,Плевен!K35,Плевен!L35,Бургас!H35,'Враца 1'!H35,'Враца 2'!H35)&gt;=0,0))</f>
        <v>0</v>
      </c>
      <c r="AD35" s="274">
        <f t="shared" ref="AD35:AK35" si="75">SUM(AD4:AD34)</f>
        <v>0</v>
      </c>
      <c r="AE35" s="274">
        <f t="shared" si="75"/>
        <v>232.25599999999994</v>
      </c>
      <c r="AF35" s="274">
        <f t="shared" si="75"/>
        <v>0</v>
      </c>
      <c r="AG35" s="274">
        <f t="shared" si="75"/>
        <v>0</v>
      </c>
      <c r="AH35" s="274">
        <f t="shared" si="75"/>
        <v>73929.392000000007</v>
      </c>
      <c r="AI35" s="274">
        <f t="shared" si="75"/>
        <v>0</v>
      </c>
      <c r="AJ35" s="275">
        <f t="shared" si="75"/>
        <v>19647</v>
      </c>
      <c r="AK35" s="276">
        <f t="shared" si="75"/>
        <v>93808.64800000003</v>
      </c>
      <c r="AM35" s="286">
        <f>SUM(AM4:AM34)</f>
        <v>712066.14233099925</v>
      </c>
      <c r="AN35" s="286">
        <f>SUM(AN4:AN34)</f>
        <v>62254.400000000016</v>
      </c>
      <c r="AO35" s="287">
        <f>SUM(AO4:AO34)</f>
        <v>649811.74233099935</v>
      </c>
      <c r="AP35" s="288">
        <f>SUM(AP4:AP34)</f>
        <v>0</v>
      </c>
      <c r="AQ35" s="287">
        <f>SUM(AQ4:AQ34)</f>
        <v>649811.74233099935</v>
      </c>
      <c r="BE35" s="16"/>
      <c r="BG35" s="4"/>
      <c r="BP35" s="23">
        <f>+BP4+BP5+BP6+BP9+BP10+BP11+BP12+BP16+BP17+BP18+BP19+BP20+BP21+BP23+BP24</f>
        <v>2094185.3806439997</v>
      </c>
    </row>
    <row r="36" spans="1:92" x14ac:dyDescent="0.25">
      <c r="Z36" s="16"/>
      <c r="AA36" s="16"/>
      <c r="AB36" s="51"/>
      <c r="AN36" s="4"/>
      <c r="AO36" s="4">
        <v>10497.731512836615</v>
      </c>
      <c r="AP36" s="4">
        <v>0</v>
      </c>
      <c r="AQ36" s="4">
        <v>0</v>
      </c>
      <c r="BP36" s="1">
        <f>235000*7</f>
        <v>1645000</v>
      </c>
      <c r="BY36" s="23"/>
    </row>
    <row r="37" spans="1:92" s="82" customFormat="1" x14ac:dyDescent="0.25"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AN37" s="154">
        <f>+AM34-AN34</f>
        <v>0</v>
      </c>
      <c r="AO37" s="154">
        <f>+AO35-AO36</f>
        <v>639314.0108181627</v>
      </c>
      <c r="AP37" s="154"/>
      <c r="AQ37" s="154"/>
      <c r="AS37" s="1"/>
      <c r="AT37" s="1"/>
      <c r="AU37" s="4"/>
      <c r="AV37" s="4"/>
      <c r="AW37" s="4"/>
      <c r="AY37" s="1"/>
      <c r="AZ37" s="4"/>
      <c r="BA37" s="4"/>
      <c r="BB37" s="4"/>
      <c r="BD37" s="1"/>
      <c r="BI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</row>
    <row r="38" spans="1:92" s="82" customFormat="1" x14ac:dyDescent="0.25"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AD38" s="153"/>
      <c r="AE38" s="153"/>
      <c r="AF38" s="153"/>
      <c r="AG38" s="153"/>
      <c r="AH38" s="153"/>
      <c r="AI38" s="153"/>
      <c r="AM38" s="154">
        <f>+AM4-AN4</f>
        <v>40326.564448999976</v>
      </c>
      <c r="AO38" s="154"/>
      <c r="AP38" s="154"/>
      <c r="AQ38" s="154"/>
      <c r="AS38" s="1"/>
      <c r="AT38" s="1"/>
      <c r="AU38" s="4"/>
      <c r="AV38" s="4"/>
      <c r="AW38" s="4"/>
      <c r="AY38" s="1"/>
      <c r="AZ38" s="4"/>
      <c r="BA38" s="4"/>
      <c r="BB38" s="4"/>
      <c r="BD38" s="1"/>
      <c r="BI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</row>
    <row r="39" spans="1:92" s="82" customFormat="1" x14ac:dyDescent="0.25"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AD39" s="153"/>
      <c r="AE39" s="153"/>
      <c r="AF39" s="153"/>
      <c r="AG39" s="153"/>
      <c r="AH39" s="153"/>
      <c r="AI39" s="153"/>
      <c r="AO39" s="154"/>
      <c r="AP39" s="154"/>
      <c r="AQ39" s="153"/>
      <c r="AS39" s="1"/>
      <c r="AT39" s="1"/>
      <c r="AU39" s="4"/>
      <c r="AV39" s="4"/>
      <c r="AW39" s="4"/>
      <c r="AY39" s="1"/>
      <c r="AZ39" s="4"/>
      <c r="BA39" s="4"/>
      <c r="BB39" s="4"/>
      <c r="BD39" s="1"/>
      <c r="BI39" s="1"/>
      <c r="BT39" s="1"/>
      <c r="BU39" s="1"/>
      <c r="BV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</row>
    <row r="40" spans="1:92" ht="28.9" customHeight="1" x14ac:dyDescent="0.25">
      <c r="A40" s="686" t="s">
        <v>122</v>
      </c>
      <c r="B40" s="687"/>
      <c r="C40" s="687"/>
      <c r="D40" s="687"/>
      <c r="E40" s="687"/>
      <c r="F40" s="688"/>
    </row>
    <row r="41" spans="1:92" ht="30" x14ac:dyDescent="0.25">
      <c r="A41" s="2"/>
      <c r="B41" s="2"/>
      <c r="C41" s="13" t="s">
        <v>14</v>
      </c>
      <c r="D41" s="13" t="s">
        <v>15</v>
      </c>
      <c r="E41" s="13" t="s">
        <v>120</v>
      </c>
      <c r="F41" s="117" t="s">
        <v>115</v>
      </c>
      <c r="I41" s="1" t="s">
        <v>249</v>
      </c>
      <c r="J41" s="1" t="s">
        <v>250</v>
      </c>
      <c r="K41" s="1" t="s">
        <v>251</v>
      </c>
      <c r="L41" s="1" t="str">
        <f>+I3</f>
        <v>ЛКМК</v>
      </c>
      <c r="M41" s="1" t="str">
        <f>+R3</f>
        <v>РВД</v>
      </c>
      <c r="N41" s="1" t="str">
        <f>+S3</f>
        <v>Димитровград</v>
      </c>
      <c r="O41" s="1" t="str">
        <f>+T3</f>
        <v>Булмаш</v>
      </c>
      <c r="P41" s="1" t="str">
        <f>+V3</f>
        <v>PPC</v>
      </c>
      <c r="AU41" s="1"/>
      <c r="AV41" s="1"/>
      <c r="AX41" s="4"/>
      <c r="AY41" s="4"/>
      <c r="AZ41" s="1"/>
      <c r="BA41" s="1"/>
      <c r="BC41" s="4"/>
      <c r="BD41" s="4"/>
    </row>
    <row r="42" spans="1:92" x14ac:dyDescent="0.25">
      <c r="A42" s="2"/>
      <c r="B42" s="2" t="s">
        <v>18</v>
      </c>
      <c r="C42" s="231"/>
      <c r="D42" s="231"/>
      <c r="E42" s="231"/>
      <c r="F42" s="231"/>
      <c r="H42" s="1" t="s">
        <v>252</v>
      </c>
      <c r="I42" s="16">
        <f>+Плевен!K35+Бургас!H35+'Враца 1'!H35+'Враца 2'!H35+Перник!G35+Русе!G35+'Велико Търново'!E35+Димитровград!E35</f>
        <v>7423.8460000000005</v>
      </c>
      <c r="J42" s="16">
        <f>+H35+J35+K35+M35+N35</f>
        <v>650.35699999999997</v>
      </c>
      <c r="K42" s="16">
        <f>+O35+P35+Q35</f>
        <v>220.47900000000001</v>
      </c>
      <c r="L42" s="16">
        <f>+I35</f>
        <v>91.12800481543897</v>
      </c>
      <c r="M42" s="16">
        <f>+R35</f>
        <v>431.27500000000003</v>
      </c>
      <c r="N42" s="16"/>
      <c r="O42" s="16">
        <f>+T35</f>
        <v>38.391995184561026</v>
      </c>
      <c r="P42" s="16">
        <f>+'PPC Гърция'!D35</f>
        <v>20500</v>
      </c>
      <c r="Q42" s="16">
        <f>SUM(I42:P42)</f>
        <v>29355.476999999999</v>
      </c>
      <c r="R42" s="16" t="e">
        <f>+Q42+'Борса и балансиране'!#REF!+'Борса и балансиране'!#REF!</f>
        <v>#REF!</v>
      </c>
      <c r="S42" s="16" t="e">
        <f>+Цени!T34+'Борса и балансиране'!#REF!+'Борса и балансиране'!#REF!*-1-Цени!Y34</f>
        <v>#REF!</v>
      </c>
      <c r="AU42" s="1"/>
      <c r="AV42" s="1"/>
      <c r="AX42" s="4"/>
      <c r="AY42" s="4"/>
      <c r="AZ42" s="1"/>
      <c r="BA42" s="1"/>
      <c r="BC42" s="4"/>
      <c r="BD42" s="4"/>
    </row>
    <row r="43" spans="1:92" x14ac:dyDescent="0.25">
      <c r="A43" s="2"/>
      <c r="B43" s="2" t="s">
        <v>6</v>
      </c>
      <c r="C43" s="231"/>
      <c r="D43" s="231"/>
      <c r="E43" s="231"/>
      <c r="F43" s="231"/>
      <c r="H43" s="1" t="s">
        <v>253</v>
      </c>
      <c r="I43" s="1">
        <f>+I42*Цени!T40+Перник!T46</f>
        <v>563395.67294000008</v>
      </c>
      <c r="J43" s="1">
        <f>+J42*Цени!T46</f>
        <v>54363.341630000003</v>
      </c>
      <c r="K43" s="1">
        <f>+K42*Цени!T46</f>
        <v>18429.839610000003</v>
      </c>
      <c r="M43" s="3">
        <f>+M42*Цени!T47</f>
        <v>35187.727250000004</v>
      </c>
      <c r="N43" s="1">
        <f>+N42*Цени!T46</f>
        <v>0</v>
      </c>
      <c r="O43" s="1">
        <f>+O42*Цени!T45</f>
        <v>3489.4484423247518</v>
      </c>
      <c r="P43" s="1">
        <f>+'PPC Гърция'!F35</f>
        <v>1796557.5</v>
      </c>
      <c r="Q43" s="16">
        <f>SUM(I43:P43)</f>
        <v>2471423.5298723248</v>
      </c>
      <c r="R43" s="16"/>
      <c r="AU43" s="1"/>
      <c r="AX43" s="4"/>
      <c r="AZ43" s="1"/>
      <c r="BC43" s="4"/>
    </row>
    <row r="44" spans="1:92" x14ac:dyDescent="0.25">
      <c r="H44" s="1" t="s">
        <v>254</v>
      </c>
      <c r="I44" s="1">
        <f>+Плевен!S35</f>
        <v>48916.972500000018</v>
      </c>
      <c r="J44" s="1">
        <f>+I44/(I42+N42)</f>
        <v>6.5891685387870407</v>
      </c>
      <c r="Q44" s="16">
        <f>+Q42-P42</f>
        <v>8855.476999999999</v>
      </c>
    </row>
    <row r="45" spans="1:92" x14ac:dyDescent="0.25">
      <c r="C45" s="230"/>
      <c r="H45" s="1" t="s">
        <v>255</v>
      </c>
      <c r="I45" s="1">
        <f>+I42*Цени!L58</f>
        <v>3886.3833810000001</v>
      </c>
      <c r="J45" s="1">
        <f>+I45/(I42+N42)</f>
        <v>0.52349999999999997</v>
      </c>
    </row>
    <row r="46" spans="1:92" x14ac:dyDescent="0.25">
      <c r="C46" s="16"/>
      <c r="H46" s="1" t="s">
        <v>256</v>
      </c>
      <c r="I46" s="4" t="e">
        <f>+'Борса и балансиране'!#REF!</f>
        <v>#REF!</v>
      </c>
      <c r="Q46" s="18"/>
    </row>
    <row r="47" spans="1:92" x14ac:dyDescent="0.25">
      <c r="C47" s="16"/>
      <c r="H47" s="1" t="s">
        <v>257</v>
      </c>
      <c r="I47" s="1" t="e">
        <f>+'Борса и балансиране'!#REF!</f>
        <v>#REF!</v>
      </c>
    </row>
    <row r="48" spans="1:92" x14ac:dyDescent="0.25">
      <c r="H48" s="302" t="s">
        <v>151</v>
      </c>
      <c r="I48" s="303" t="e">
        <f>+Q43+I47+I46+I45+I44</f>
        <v>#REF!</v>
      </c>
    </row>
    <row r="49" spans="8:54" x14ac:dyDescent="0.25">
      <c r="H49" s="4"/>
      <c r="I49" s="4"/>
    </row>
    <row r="50" spans="8:54" x14ac:dyDescent="0.25">
      <c r="H50" s="303"/>
    </row>
    <row r="52" spans="8:54" x14ac:dyDescent="0.25">
      <c r="I52" s="4"/>
    </row>
    <row r="53" spans="8:54" x14ac:dyDescent="0.25">
      <c r="H53" s="4" t="s">
        <v>258</v>
      </c>
      <c r="I53" s="4">
        <f>+Цени!T38-Цени!AA34</f>
        <v>5629864.7416000003</v>
      </c>
    </row>
    <row r="54" spans="8:54" x14ac:dyDescent="0.25">
      <c r="H54" s="4" t="s">
        <v>256</v>
      </c>
      <c r="I54" s="4" t="e">
        <f>+'Борса и балансиране'!#REF!*-1</f>
        <v>#REF!</v>
      </c>
    </row>
    <row r="55" spans="8:54" x14ac:dyDescent="0.25">
      <c r="H55" s="4" t="s">
        <v>257</v>
      </c>
      <c r="I55" s="4" t="e">
        <f>+'Борса и балансиране'!#REF!</f>
        <v>#REF!</v>
      </c>
    </row>
    <row r="56" spans="8:54" s="302" customFormat="1" x14ac:dyDescent="0.25">
      <c r="H56" s="4" t="s">
        <v>259</v>
      </c>
      <c r="I56" s="4">
        <f>+AN35</f>
        <v>62254.400000000016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AU56" s="303"/>
      <c r="AV56" s="303"/>
      <c r="AW56" s="303"/>
      <c r="AZ56" s="303"/>
      <c r="BA56" s="303"/>
      <c r="BB56" s="303"/>
    </row>
    <row r="57" spans="8:54" x14ac:dyDescent="0.25">
      <c r="H57" s="303" t="s">
        <v>151</v>
      </c>
      <c r="I57" s="303" t="e">
        <f>SUM(I53:I56)</f>
        <v>#REF!</v>
      </c>
    </row>
    <row r="58" spans="8:54" x14ac:dyDescent="0.25">
      <c r="H58" s="303"/>
      <c r="I58" s="303" t="e">
        <f>+I48-I57</f>
        <v>#REF!</v>
      </c>
    </row>
    <row r="59" spans="8:54" x14ac:dyDescent="0.25">
      <c r="H59" s="4"/>
      <c r="I59" s="4" t="e">
        <f>+I58-AO35</f>
        <v>#REF!</v>
      </c>
    </row>
    <row r="60" spans="8:54" x14ac:dyDescent="0.25">
      <c r="H60" s="4"/>
    </row>
    <row r="64" spans="8:54" x14ac:dyDescent="0.25">
      <c r="H64" s="4"/>
    </row>
  </sheetData>
  <mergeCells count="11">
    <mergeCell ref="A40:F40"/>
    <mergeCell ref="BI2:BR2"/>
    <mergeCell ref="BD2:BG2"/>
    <mergeCell ref="AS2:AW2"/>
    <mergeCell ref="AY2:BB2"/>
    <mergeCell ref="AM2:AQ2"/>
    <mergeCell ref="BT2:CC2"/>
    <mergeCell ref="CE2:CN2"/>
    <mergeCell ref="C2:Y2"/>
    <mergeCell ref="AA2:AB2"/>
    <mergeCell ref="AD2:AK2"/>
  </mergeCells>
  <pageMargins left="0.7" right="0.7" top="1.3149999999999999" bottom="0.75" header="0.3" footer="0.3"/>
  <pageSetup paperSize="9" scale="95" orientation="portrait" r:id="rId1"/>
  <colBreaks count="1" manualBreakCount="1">
    <brk id="25" max="42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DM328"/>
  <sheetViews>
    <sheetView tabSelected="1" view="pageBreakPreview" topLeftCell="AI1" zoomScaleNormal="100" zoomScaleSheetLayoutView="100" workbookViewId="0">
      <pane ySplit="3" topLeftCell="A16" activePane="bottomLeft" state="frozen"/>
      <selection pane="bottomLeft" activeCell="AO19" sqref="AO19:AP19"/>
    </sheetView>
  </sheetViews>
  <sheetFormatPr defaultColWidth="8.85546875" defaultRowHeight="15" x14ac:dyDescent="0.25"/>
  <cols>
    <col min="1" max="1" width="4.5703125" style="357" customWidth="1"/>
    <col min="2" max="2" width="12.85546875" style="357" bestFit="1" customWidth="1"/>
    <col min="3" max="5" width="13.7109375" style="357" customWidth="1"/>
    <col min="6" max="6" width="10.85546875" style="357" customWidth="1"/>
    <col min="7" max="7" width="13.28515625" style="357" customWidth="1"/>
    <col min="8" max="8" width="12.28515625" style="357" customWidth="1"/>
    <col min="9" max="9" width="16.28515625" style="357" bestFit="1" customWidth="1"/>
    <col min="10" max="11" width="14.140625" style="357" customWidth="1"/>
    <col min="12" max="13" width="15.42578125" style="357" bestFit="1" customWidth="1"/>
    <col min="14" max="14" width="15.42578125" style="406" bestFit="1" customWidth="1"/>
    <col min="15" max="15" width="15.7109375" style="406" customWidth="1"/>
    <col min="16" max="16" width="8.85546875" style="357"/>
    <col min="17" max="17" width="12.42578125" style="357" bestFit="1" customWidth="1"/>
    <col min="18" max="19" width="14.140625" style="357" hidden="1" customWidth="1"/>
    <col min="20" max="25" width="14.140625" style="357" customWidth="1"/>
    <col min="26" max="29" width="14.140625" style="357" hidden="1" customWidth="1"/>
    <col min="30" max="31" width="14.140625" style="357" customWidth="1"/>
    <col min="32" max="32" width="10" style="357" customWidth="1"/>
    <col min="33" max="33" width="12" style="357" customWidth="1"/>
    <col min="34" max="35" width="14.140625" style="357" customWidth="1"/>
    <col min="36" max="36" width="12.140625" style="357" bestFit="1" customWidth="1"/>
    <col min="37" max="37" width="12.42578125" style="357" bestFit="1" customWidth="1"/>
    <col min="38" max="38" width="12.85546875" style="357" customWidth="1"/>
    <col min="39" max="39" width="14.140625" style="357" customWidth="1"/>
    <col min="40" max="40" width="13.42578125" style="357" bestFit="1" customWidth="1"/>
    <col min="41" max="42" width="14.140625" style="406" customWidth="1"/>
    <col min="43" max="43" width="10.7109375" style="357" customWidth="1"/>
    <col min="44" max="44" width="13.42578125" style="357" customWidth="1"/>
    <col min="45" max="45" width="14.42578125" style="357" customWidth="1"/>
    <col min="46" max="46" width="13.5703125" style="357" bestFit="1" customWidth="1"/>
    <col min="47" max="47" width="12.7109375" style="357" bestFit="1" customWidth="1"/>
    <col min="48" max="48" width="10.7109375" style="357" customWidth="1"/>
    <col min="49" max="49" width="8.42578125" style="357" bestFit="1" customWidth="1"/>
    <col min="50" max="50" width="8.28515625" style="357" bestFit="1" customWidth="1"/>
    <col min="51" max="51" width="9.140625" style="357" bestFit="1" customWidth="1"/>
    <col min="52" max="52" width="8.28515625" style="357" bestFit="1" customWidth="1"/>
    <col min="53" max="53" width="4.42578125" style="357" customWidth="1"/>
    <col min="54" max="54" width="10.7109375" style="357" customWidth="1"/>
    <col min="55" max="55" width="10.7109375" style="357" hidden="1" customWidth="1"/>
    <col min="56" max="57" width="10.7109375" style="357" customWidth="1"/>
    <col min="58" max="58" width="10.7109375" style="357" hidden="1" customWidth="1"/>
    <col min="59" max="59" width="8.28515625" style="357" bestFit="1" customWidth="1"/>
    <col min="60" max="60" width="9" style="357" bestFit="1" customWidth="1"/>
    <col min="61" max="61" width="8.28515625" style="357" hidden="1" customWidth="1"/>
    <col min="62" max="62" width="4.28515625" style="357" customWidth="1"/>
    <col min="63" max="63" width="10.28515625" style="357" customWidth="1"/>
    <col min="64" max="64" width="10.85546875" style="387" customWidth="1"/>
    <col min="65" max="65" width="7.28515625" style="387" customWidth="1"/>
    <col min="66" max="66" width="8.85546875" style="387" hidden="1" customWidth="1"/>
    <col min="67" max="67" width="5.5703125" style="357" customWidth="1"/>
    <col min="68" max="68" width="12.7109375" style="387" customWidth="1"/>
    <col min="69" max="69" width="11.140625" style="387" customWidth="1"/>
    <col min="70" max="70" width="8.85546875" style="387" hidden="1" customWidth="1"/>
    <col min="71" max="71" width="6.42578125" style="357" customWidth="1"/>
    <col min="72" max="72" width="12.42578125" style="357" bestFit="1" customWidth="1"/>
    <col min="73" max="73" width="12.85546875" style="357" customWidth="1"/>
    <col min="74" max="74" width="10.28515625" style="357" customWidth="1"/>
    <col min="75" max="75" width="14" style="357" bestFit="1" customWidth="1"/>
    <col min="76" max="76" width="8.85546875" style="357"/>
    <col min="77" max="77" width="12.42578125" style="357" bestFit="1" customWidth="1"/>
    <col min="78" max="78" width="14.140625" style="357" bestFit="1" customWidth="1"/>
    <col min="79" max="79" width="13.140625" style="357" bestFit="1" customWidth="1"/>
    <col min="80" max="81" width="13" style="357" bestFit="1" customWidth="1"/>
    <col min="82" max="82" width="12" style="357" bestFit="1" customWidth="1"/>
    <col min="83" max="83" width="12" style="357" customWidth="1"/>
    <col min="84" max="84" width="12" style="357" bestFit="1" customWidth="1"/>
    <col min="85" max="85" width="11.85546875" style="357" bestFit="1" customWidth="1"/>
    <col min="86" max="86" width="14.140625" style="357" bestFit="1" customWidth="1"/>
    <col min="87" max="87" width="4.5703125" style="357" customWidth="1"/>
    <col min="88" max="88" width="12.42578125" style="357" bestFit="1" customWidth="1"/>
    <col min="89" max="89" width="13.85546875" style="357" bestFit="1" customWidth="1"/>
    <col min="90" max="90" width="13" style="357" bestFit="1" customWidth="1"/>
    <col min="91" max="92" width="11.85546875" style="357" bestFit="1" customWidth="1"/>
    <col min="93" max="93" width="12.7109375" style="357" bestFit="1" customWidth="1"/>
    <col min="94" max="94" width="12.7109375" style="357" customWidth="1"/>
    <col min="95" max="95" width="11.85546875" style="357" bestFit="1" customWidth="1"/>
    <col min="96" max="96" width="9.28515625" style="357" bestFit="1" customWidth="1"/>
    <col min="97" max="97" width="14" style="357" bestFit="1" customWidth="1"/>
    <col min="98" max="98" width="6.7109375" style="357" customWidth="1"/>
    <col min="99" max="99" width="12.42578125" style="357" bestFit="1" customWidth="1"/>
    <col min="100" max="100" width="14" style="357" bestFit="1" customWidth="1"/>
    <col min="101" max="101" width="13" style="357" bestFit="1" customWidth="1"/>
    <col min="102" max="103" width="12.85546875" style="357" bestFit="1" customWidth="1"/>
    <col min="104" max="105" width="13.28515625" style="357" bestFit="1" customWidth="1"/>
    <col min="106" max="106" width="11.85546875" style="357" bestFit="1" customWidth="1"/>
    <col min="107" max="107" width="12.28515625" style="357" bestFit="1" customWidth="1"/>
    <col min="108" max="108" width="14" style="357" bestFit="1" customWidth="1"/>
    <col min="109" max="109" width="12.7109375" style="357" bestFit="1" customWidth="1"/>
    <col min="110" max="110" width="9.28515625" style="420" bestFit="1" customWidth="1"/>
    <col min="111" max="111" width="12.140625" style="420" customWidth="1"/>
    <col min="112" max="112" width="12" style="420" customWidth="1"/>
    <col min="113" max="113" width="10.5703125" style="420" customWidth="1"/>
    <col min="114" max="114" width="12.28515625" style="420" customWidth="1"/>
    <col min="115" max="115" width="9.7109375" style="420" customWidth="1"/>
    <col min="116" max="116" width="9.42578125" style="420" customWidth="1"/>
    <col min="117" max="117" width="13.85546875" style="420" customWidth="1"/>
    <col min="118" max="16384" width="8.85546875" style="357"/>
  </cols>
  <sheetData>
    <row r="1" spans="2:117" ht="15.75" thickBot="1" x14ac:dyDescent="0.3"/>
    <row r="2" spans="2:117" ht="31.9" customHeight="1" thickBot="1" x14ac:dyDescent="0.3">
      <c r="B2" s="356"/>
      <c r="C2" s="701" t="s">
        <v>170</v>
      </c>
      <c r="D2" s="702"/>
      <c r="E2" s="702"/>
      <c r="F2" s="702"/>
      <c r="G2" s="702"/>
      <c r="H2" s="702"/>
      <c r="I2" s="702"/>
      <c r="J2" s="702"/>
      <c r="K2" s="702"/>
      <c r="L2" s="702"/>
      <c r="M2" s="702"/>
      <c r="N2" s="702"/>
      <c r="O2" s="703"/>
      <c r="Q2" s="701" t="s">
        <v>180</v>
      </c>
      <c r="R2" s="702"/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3"/>
      <c r="AJ2" s="358"/>
      <c r="AK2" s="359"/>
      <c r="AL2" s="360"/>
      <c r="AM2" s="361"/>
      <c r="AN2" s="362"/>
      <c r="AO2" s="363"/>
      <c r="AP2" s="363"/>
      <c r="AQ2" s="363"/>
      <c r="AR2" s="358"/>
      <c r="AS2" s="358"/>
      <c r="AU2" s="698" t="s">
        <v>192</v>
      </c>
      <c r="AV2" s="699"/>
      <c r="AW2" s="699"/>
      <c r="AX2" s="699"/>
      <c r="AY2" s="699"/>
      <c r="AZ2" s="700"/>
      <c r="BB2" s="698" t="s">
        <v>197</v>
      </c>
      <c r="BC2" s="699"/>
      <c r="BD2" s="699"/>
      <c r="BE2" s="699"/>
      <c r="BF2" s="699"/>
      <c r="BG2" s="699"/>
      <c r="BH2" s="699"/>
      <c r="BI2" s="700"/>
      <c r="BK2" s="698" t="s">
        <v>153</v>
      </c>
      <c r="BL2" s="699"/>
      <c r="BM2" s="700"/>
      <c r="BN2" s="364"/>
      <c r="BP2" s="698" t="s">
        <v>153</v>
      </c>
      <c r="BQ2" s="700"/>
      <c r="BR2" s="364"/>
      <c r="BT2" s="704" t="s">
        <v>152</v>
      </c>
      <c r="BU2" s="705"/>
      <c r="BV2" s="705"/>
      <c r="BW2" s="706"/>
      <c r="BY2" s="697" t="s">
        <v>159</v>
      </c>
      <c r="BZ2" s="697"/>
      <c r="CA2" s="697"/>
      <c r="CB2" s="697"/>
      <c r="CC2" s="697"/>
      <c r="CD2" s="697"/>
      <c r="CE2" s="697"/>
      <c r="CF2" s="697"/>
      <c r="CG2" s="697"/>
      <c r="CH2" s="697"/>
      <c r="CJ2" s="697" t="s">
        <v>160</v>
      </c>
      <c r="CK2" s="697"/>
      <c r="CL2" s="697"/>
      <c r="CM2" s="697"/>
      <c r="CN2" s="697"/>
      <c r="CO2" s="697"/>
      <c r="CP2" s="697"/>
      <c r="CQ2" s="697"/>
      <c r="CR2" s="697"/>
      <c r="CS2" s="697"/>
      <c r="CU2" s="697" t="s">
        <v>161</v>
      </c>
      <c r="CV2" s="697"/>
      <c r="CW2" s="697"/>
      <c r="CX2" s="697"/>
      <c r="CY2" s="697"/>
      <c r="CZ2" s="697"/>
      <c r="DA2" s="697"/>
      <c r="DB2" s="697"/>
      <c r="DC2" s="697"/>
      <c r="DD2" s="697"/>
      <c r="DF2" s="421" t="s">
        <v>225</v>
      </c>
    </row>
    <row r="3" spans="2:117" s="28" customFormat="1" ht="82.9" customHeight="1" thickBot="1" x14ac:dyDescent="0.3">
      <c r="B3" s="72" t="s">
        <v>8</v>
      </c>
      <c r="C3" s="29" t="s">
        <v>171</v>
      </c>
      <c r="D3" s="311" t="s">
        <v>177</v>
      </c>
      <c r="E3" s="311" t="s">
        <v>189</v>
      </c>
      <c r="F3" s="30" t="s">
        <v>326</v>
      </c>
      <c r="G3" s="33" t="s">
        <v>327</v>
      </c>
      <c r="H3" s="33" t="s">
        <v>190</v>
      </c>
      <c r="I3" s="33" t="s">
        <v>191</v>
      </c>
      <c r="J3" s="33" t="s">
        <v>172</v>
      </c>
      <c r="K3" s="33" t="s">
        <v>178</v>
      </c>
      <c r="L3" s="33" t="s">
        <v>174</v>
      </c>
      <c r="M3" s="33" t="s">
        <v>175</v>
      </c>
      <c r="N3" s="310" t="s">
        <v>173</v>
      </c>
      <c r="O3" s="319" t="s">
        <v>176</v>
      </c>
      <c r="Q3" s="72" t="s">
        <v>8</v>
      </c>
      <c r="R3" s="33" t="s">
        <v>293</v>
      </c>
      <c r="S3" s="33" t="s">
        <v>287</v>
      </c>
      <c r="T3" s="33" t="s">
        <v>319</v>
      </c>
      <c r="U3" s="33" t="s">
        <v>320</v>
      </c>
      <c r="V3" s="33" t="s">
        <v>286</v>
      </c>
      <c r="W3" s="33" t="s">
        <v>287</v>
      </c>
      <c r="X3" s="33" t="s">
        <v>276</v>
      </c>
      <c r="Y3" s="33" t="s">
        <v>277</v>
      </c>
      <c r="Z3" s="33" t="s">
        <v>281</v>
      </c>
      <c r="AA3" s="33" t="s">
        <v>282</v>
      </c>
      <c r="AB3" s="33" t="s">
        <v>290</v>
      </c>
      <c r="AC3" s="33" t="s">
        <v>291</v>
      </c>
      <c r="AD3" s="33" t="s">
        <v>181</v>
      </c>
      <c r="AE3" s="33" t="s">
        <v>182</v>
      </c>
      <c r="AF3" s="33" t="s">
        <v>183</v>
      </c>
      <c r="AG3" s="33" t="s">
        <v>184</v>
      </c>
      <c r="AH3" s="310" t="s">
        <v>185</v>
      </c>
      <c r="AI3" s="319" t="s">
        <v>186</v>
      </c>
      <c r="AJ3" s="312"/>
      <c r="AK3" s="43" t="s">
        <v>8</v>
      </c>
      <c r="AL3" s="320" t="s">
        <v>188</v>
      </c>
      <c r="AM3" s="320" t="s">
        <v>208</v>
      </c>
      <c r="AN3" s="323" t="s">
        <v>200</v>
      </c>
      <c r="AO3" s="319" t="s">
        <v>179</v>
      </c>
      <c r="AP3" s="319" t="s">
        <v>314</v>
      </c>
      <c r="AQ3" s="31" t="s">
        <v>187</v>
      </c>
      <c r="AR3" s="324" t="s">
        <v>201</v>
      </c>
      <c r="AS3" s="325" t="s">
        <v>202</v>
      </c>
      <c r="AU3" s="313" t="s">
        <v>8</v>
      </c>
      <c r="AV3" s="264" t="s">
        <v>199</v>
      </c>
      <c r="AW3" s="267" t="s">
        <v>193</v>
      </c>
      <c r="AX3" s="267" t="s">
        <v>194</v>
      </c>
      <c r="AY3" s="267" t="s">
        <v>195</v>
      </c>
      <c r="AZ3" s="315" t="s">
        <v>196</v>
      </c>
      <c r="BB3" s="313" t="s">
        <v>278</v>
      </c>
      <c r="BC3" s="267" t="s">
        <v>283</v>
      </c>
      <c r="BD3" s="267" t="s">
        <v>322</v>
      </c>
      <c r="BE3" s="267" t="s">
        <v>288</v>
      </c>
      <c r="BF3" s="267" t="s">
        <v>292</v>
      </c>
      <c r="BG3" s="267" t="s">
        <v>194</v>
      </c>
      <c r="BH3" s="267" t="s">
        <v>198</v>
      </c>
      <c r="BI3" s="315" t="s">
        <v>288</v>
      </c>
      <c r="BK3" s="313" t="s">
        <v>157</v>
      </c>
      <c r="BL3" s="267" t="s">
        <v>146</v>
      </c>
      <c r="BM3" s="315" t="s">
        <v>158</v>
      </c>
      <c r="BN3" s="316" t="s">
        <v>155</v>
      </c>
      <c r="BP3" s="317" t="s">
        <v>146</v>
      </c>
      <c r="BQ3" s="315" t="s">
        <v>145</v>
      </c>
      <c r="BR3" s="316" t="s">
        <v>4</v>
      </c>
      <c r="BT3" s="313" t="s">
        <v>8</v>
      </c>
      <c r="BU3" s="266" t="s">
        <v>147</v>
      </c>
      <c r="BV3" s="267" t="s">
        <v>149</v>
      </c>
      <c r="BW3" s="318" t="s">
        <v>148</v>
      </c>
      <c r="BY3" s="264" t="s">
        <v>8</v>
      </c>
      <c r="BZ3" s="264" t="s">
        <v>14</v>
      </c>
      <c r="CA3" s="264" t="s">
        <v>15</v>
      </c>
      <c r="CB3" s="264" t="s">
        <v>150</v>
      </c>
      <c r="CC3" s="264" t="s">
        <v>115</v>
      </c>
      <c r="CD3" s="264" t="s">
        <v>37</v>
      </c>
      <c r="CE3" s="264" t="s">
        <v>74</v>
      </c>
      <c r="CF3" s="266" t="s">
        <v>144</v>
      </c>
      <c r="CG3" s="266" t="s">
        <v>128</v>
      </c>
      <c r="CH3" s="266" t="s">
        <v>151</v>
      </c>
      <c r="CJ3" s="264" t="s">
        <v>8</v>
      </c>
      <c r="CK3" s="264" t="s">
        <v>14</v>
      </c>
      <c r="CL3" s="264" t="s">
        <v>15</v>
      </c>
      <c r="CM3" s="264" t="s">
        <v>150</v>
      </c>
      <c r="CN3" s="264" t="s">
        <v>115</v>
      </c>
      <c r="CO3" s="264" t="s">
        <v>37</v>
      </c>
      <c r="CP3" s="264" t="s">
        <v>74</v>
      </c>
      <c r="CQ3" s="266" t="s">
        <v>144</v>
      </c>
      <c r="CR3" s="266" t="s">
        <v>128</v>
      </c>
      <c r="CS3" s="266" t="s">
        <v>151</v>
      </c>
      <c r="CU3" s="264" t="s">
        <v>8</v>
      </c>
      <c r="CV3" s="264" t="s">
        <v>14</v>
      </c>
      <c r="CW3" s="264" t="s">
        <v>15</v>
      </c>
      <c r="CX3" s="264" t="s">
        <v>150</v>
      </c>
      <c r="CY3" s="264" t="s">
        <v>115</v>
      </c>
      <c r="CZ3" s="264" t="s">
        <v>37</v>
      </c>
      <c r="DA3" s="264" t="s">
        <v>74</v>
      </c>
      <c r="DB3" s="266" t="s">
        <v>144</v>
      </c>
      <c r="DC3" s="266" t="s">
        <v>128</v>
      </c>
      <c r="DD3" s="266" t="s">
        <v>151</v>
      </c>
      <c r="DF3" s="692" t="s">
        <v>226</v>
      </c>
      <c r="DG3" s="694" t="s">
        <v>227</v>
      </c>
      <c r="DH3" s="695"/>
      <c r="DI3" s="695"/>
      <c r="DJ3" s="696"/>
      <c r="DK3" s="694" t="s">
        <v>228</v>
      </c>
      <c r="DL3" s="695"/>
      <c r="DM3" s="696"/>
    </row>
    <row r="4" spans="2:117" ht="30.75" thickBot="1" x14ac:dyDescent="0.3">
      <c r="B4" s="47">
        <v>45627</v>
      </c>
      <c r="C4" s="365">
        <f>+Общо!C4+Общо!D4+Общо!E4+Общо!F4+Общо!L4+Общо!Y4+Общо!G4+Общо!S4</f>
        <v>1221.3879999999999</v>
      </c>
      <c r="D4" s="366">
        <f>+(Общо!C4+Общо!D4+Общо!E4+Общо!F4+Общо!G4+Общо!L4)*Цени!$T$42+Общо!Y4*Цени!$T$42+Общо!S4*Цени!$T$44</f>
        <v>93792.691620000012</v>
      </c>
      <c r="E4" s="366">
        <f>+Перник!T15</f>
        <v>0</v>
      </c>
      <c r="F4" s="367">
        <f>+Общо!H4+Общо!I4+Общо!J4+Общо!K4+Общо!M4+Общо!N4+Общо!O4+Общо!P4+Общо!Q4+Общо!R4+Общо!T4+Общо!U4+Общо!V4+Общо!W4</f>
        <v>4014.7469999999998</v>
      </c>
      <c r="G4" s="368">
        <f>+Общо!H4*Цени!$T$46+Общо!I4*Цени!$T$45+Общо!J4*Цени!$T$46+Общо!K4*Цени!$T$46+Общо!M4*Цени!$T$46+Общо!N4*Цени!$T$46+Общо!O4*Цени!$T$46+Общо!P4*Цени!$T$46+Общо!Q4*Цени!$T$46+Общо!R4*Цени!$T$47+Общо!T4*Цени!$T$45+Общо!V4*'PPC Гърция'!E4+Общо!U4*HERON!E4+'МЕТ ВИТОЛ ДХТ'!F4+'МЕТ ВИТОЛ ДХТ'!L4+'МЕТ ВИТОЛ ДХТ'!R4+'МЕТ ВИТОЛ ДХТ'!X4+'МЕТ ВИТОЛ ДХТ'!AD4+'МЕТ ВИТОЛ ДХТ'!AJ4+'МЕТ ВИТОЛ ДХТ'!AP4+'МЕТ ВИТОЛ ДХТ'!AV4</f>
        <v>340541.09753000003</v>
      </c>
      <c r="H4" s="368">
        <f>+'Борса и балансиране'!F4</f>
        <v>0</v>
      </c>
      <c r="I4" s="368">
        <f>+'Борса и балансиране'!H4</f>
        <v>0</v>
      </c>
      <c r="J4" s="368">
        <f>+'Борса и балансиране'!J4</f>
        <v>23.967999999999847</v>
      </c>
      <c r="K4" s="368">
        <f>+'Борса и балансиране'!N4</f>
        <v>1946.21</v>
      </c>
      <c r="L4" s="368">
        <f>+Цени!Y3</f>
        <v>0</v>
      </c>
      <c r="M4" s="368">
        <f>+Цени!AA3</f>
        <v>0</v>
      </c>
      <c r="N4" s="369">
        <f t="shared" ref="N4" si="0">+C4+F4+H4+J4+L4</f>
        <v>5260.1030000000001</v>
      </c>
      <c r="O4" s="370">
        <f t="shared" ref="O4" si="1">+D4+G4+I4+K4+M4+E4</f>
        <v>436279.99915000005</v>
      </c>
      <c r="Q4" s="47">
        <v>45627</v>
      </c>
      <c r="R4" s="368">
        <f>+Цени!R3</f>
        <v>0</v>
      </c>
      <c r="S4" s="368">
        <f>+R4*Цени!$R$36</f>
        <v>0</v>
      </c>
      <c r="T4" s="368">
        <f>+Цени!D3</f>
        <v>5245.5870000000004</v>
      </c>
      <c r="U4" s="368">
        <f>+Цени!D3*Цени!$D$36</f>
        <v>398087.59743000002</v>
      </c>
      <c r="V4" s="368">
        <f>+Цени!Q3</f>
        <v>0</v>
      </c>
      <c r="W4" s="368">
        <f>+V4*Цени!$Q$36</f>
        <v>0</v>
      </c>
      <c r="X4" s="368">
        <f>+Цени!C3</f>
        <v>14.516</v>
      </c>
      <c r="Y4" s="368">
        <f>+Цени!C3*Цени!$C$36</f>
        <v>1210.19892</v>
      </c>
      <c r="Z4" s="368">
        <f>+Цени!L3+Цени!M3+Цени!N3+Цени!O3+Цени!P3</f>
        <v>0</v>
      </c>
      <c r="AA4" s="368">
        <f>+Цени!L3*Цени!$L$36+Цени!M3*Цени!$M$36+Цени!N3*Цени!$N$36+Цени!O3*Цени!$O$36+Цени!P3*Цени!$P$36</f>
        <v>0</v>
      </c>
      <c r="AB4" s="368">
        <f>+Цени!S3</f>
        <v>0</v>
      </c>
      <c r="AC4" s="368">
        <f>+AB4*Цени!$S$36</f>
        <v>0</v>
      </c>
      <c r="AD4" s="368">
        <f>+'Борса и балансиране'!C4</f>
        <v>0</v>
      </c>
      <c r="AE4" s="368">
        <f>+'Борса и балансиране'!E4</f>
        <v>0</v>
      </c>
      <c r="AF4" s="368">
        <f>+'Борса и балансиране'!K4*-1</f>
        <v>0</v>
      </c>
      <c r="AG4" s="368">
        <f>+'Борса и балансиране'!O4*-1</f>
        <v>0</v>
      </c>
      <c r="AH4" s="368">
        <f>+R4+AD4+AF4+X4+Z4+T4+V4+AB4</f>
        <v>5260.1030000000001</v>
      </c>
      <c r="AI4" s="371">
        <f>+S4+Y4+AE4+AG4+AA4+U4+W4+AC4</f>
        <v>399297.79635000002</v>
      </c>
      <c r="AJ4" s="372"/>
      <c r="AK4" s="314">
        <f>+B4</f>
        <v>45627</v>
      </c>
      <c r="AL4" s="373">
        <f>+AI4</f>
        <v>399297.79635000002</v>
      </c>
      <c r="AM4" s="373">
        <f t="shared" ref="AM4:AM32" si="2">+O4</f>
        <v>436279.99915000005</v>
      </c>
      <c r="AN4" s="374">
        <f t="shared" ref="AN4:AN29" si="3">+AM4-AL4</f>
        <v>36982.202800000028</v>
      </c>
      <c r="AO4" s="370">
        <f>+Плевен!S4+(Общо!C4+Общо!D4+Общо!E4+Общо!F4+Общо!G4+Общо!S4+Общо!L4+Общо!Y4+Общо!I4+Общо!T4)*Цени!$L$58</f>
        <v>7235.2616489999991</v>
      </c>
      <c r="AP4" s="370">
        <v>10186.510272399993</v>
      </c>
      <c r="AQ4" s="371">
        <f>+Общо!AN4</f>
        <v>3890.9</v>
      </c>
      <c r="AR4" s="375">
        <f>+(Цени!$D$36-Цени!$Z$1)*Цени!D3</f>
        <v>-140345.08780794955</v>
      </c>
      <c r="AS4" s="376">
        <f>+AN4+AR4+AO4-AQ4-AP4</f>
        <v>-110205.03363134951</v>
      </c>
      <c r="AT4" s="377"/>
      <c r="AU4" s="314">
        <f>+AK4</f>
        <v>45627</v>
      </c>
      <c r="AV4" s="378">
        <f t="shared" ref="AV4:AV27" si="4">+IFERROR(D4/C4,0)</f>
        <v>76.791888916544139</v>
      </c>
      <c r="AW4" s="378">
        <f t="shared" ref="AW4:AW27" si="5">+IFERROR(G4/F4,)</f>
        <v>84.822554828486091</v>
      </c>
      <c r="AX4" s="378">
        <f t="shared" ref="AX4:AX27" si="6">+IFERROR(I4/H4,0)</f>
        <v>0</v>
      </c>
      <c r="AY4" s="378">
        <f t="shared" ref="AY4:AY27" si="7">+IFERROR(K4/J4,0)</f>
        <v>81.200350467290235</v>
      </c>
      <c r="AZ4" s="379">
        <f t="shared" ref="AZ4:AZ27" si="8">+IFERROR(M4/L4,0)</f>
        <v>0</v>
      </c>
      <c r="BA4" s="377"/>
      <c r="BB4" s="380">
        <f t="shared" ref="BB4" si="9">+IFERROR(Y4/(X4),0)</f>
        <v>83.37</v>
      </c>
      <c r="BC4" s="381">
        <f>+IFERROR(AA4/Z4,0)</f>
        <v>0</v>
      </c>
      <c r="BD4" s="381">
        <f>+IFERROR(U4/T4,0)</f>
        <v>75.89</v>
      </c>
      <c r="BE4" s="381">
        <f>+IFERROR(W4/V4,0)</f>
        <v>0</v>
      </c>
      <c r="BF4" s="381">
        <f>+IFERROR(AC4/AB4,0)</f>
        <v>0</v>
      </c>
      <c r="BG4" s="378">
        <f t="shared" ref="BG4" si="10">IFERROR(AE4/AD4,0)</f>
        <v>0</v>
      </c>
      <c r="BH4" s="378">
        <f>+'Борса и балансиране'!M4</f>
        <v>0</v>
      </c>
      <c r="BI4" s="379">
        <f t="shared" ref="BI4" si="11">+IFERROR(S4/R4,0)</f>
        <v>0</v>
      </c>
      <c r="BJ4" s="377"/>
      <c r="BK4" s="382">
        <f>+Общо!AT4</f>
        <v>75.89</v>
      </c>
      <c r="BL4" s="383">
        <f>+BP4</f>
        <v>75.910642120506012</v>
      </c>
      <c r="BM4" s="384">
        <f>+Общо!AV4</f>
        <v>92.461863249999993</v>
      </c>
      <c r="BN4" s="385">
        <f>+BL4-BM4</f>
        <v>-16.551221129493982</v>
      </c>
      <c r="BP4" s="382">
        <f t="shared" ref="BP4" si="12">++IFERROR(AI4/AH4,0)</f>
        <v>75.910642120506012</v>
      </c>
      <c r="BQ4" s="386">
        <f>++IFERROR((O4-M4)/(N4-L4),0)</f>
        <v>82.941341481336025</v>
      </c>
      <c r="BR4" s="385">
        <f>+BQ4-BP4</f>
        <v>7.0306993608300132</v>
      </c>
      <c r="BS4" s="387"/>
      <c r="BT4" s="314">
        <f>+AK4</f>
        <v>45627</v>
      </c>
      <c r="BU4" s="388">
        <f>+Общо!BE4</f>
        <v>499654.92000000062</v>
      </c>
      <c r="BV4" s="383">
        <f>+BW4/BU4</f>
        <v>102.6448870713515</v>
      </c>
      <c r="BW4" s="389">
        <f>+Общо!BG4</f>
        <v>51287022.838045232</v>
      </c>
      <c r="BY4" s="265">
        <f>+BT4</f>
        <v>45627</v>
      </c>
      <c r="BZ4" s="390">
        <f>+Общо!BJ4</f>
        <v>9359727.9399999995</v>
      </c>
      <c r="CA4" s="390">
        <f>+Общо!BK4</f>
        <v>2241930.75</v>
      </c>
      <c r="CB4" s="390">
        <f>+Общо!BL4</f>
        <v>638448.84999999974</v>
      </c>
      <c r="CC4" s="390">
        <f>+Общо!BM4</f>
        <v>391852.94000000018</v>
      </c>
      <c r="CD4" s="390">
        <f>+Общо!BN4</f>
        <v>2184342</v>
      </c>
      <c r="CE4" s="390">
        <f>+Общо!BO4</f>
        <v>1418882.8399999999</v>
      </c>
      <c r="CF4" s="390">
        <f>+Общо!BP4</f>
        <v>213959.69399999999</v>
      </c>
      <c r="CG4" s="390">
        <f>+Общо!BQ4</f>
        <v>0</v>
      </c>
      <c r="CH4" s="391">
        <f>SUM(BZ4:CG4)</f>
        <v>16449145.013999999</v>
      </c>
      <c r="CJ4" s="265">
        <f>+BY4</f>
        <v>45627</v>
      </c>
      <c r="CK4" s="392">
        <f>+Общо!BU4</f>
        <v>8077371.9400000032</v>
      </c>
      <c r="CL4" s="392">
        <f>+Общо!BV4</f>
        <v>1256881.5400000028</v>
      </c>
      <c r="CM4" s="392">
        <f>+Общо!BW4</f>
        <v>0</v>
      </c>
      <c r="CN4" s="392">
        <f>+Общо!BX4</f>
        <v>0</v>
      </c>
      <c r="CO4" s="392">
        <f>+Общо!BY4</f>
        <v>25079241.090000004</v>
      </c>
      <c r="CP4" s="392">
        <f>+Общо!BZ4</f>
        <v>0</v>
      </c>
      <c r="CQ4" s="392">
        <f>+Общо!CA4</f>
        <v>0</v>
      </c>
      <c r="CR4" s="392">
        <f>+Общо!CB4</f>
        <v>3567553.1529600001</v>
      </c>
      <c r="CS4" s="391">
        <f t="shared" ref="CS4:CS17" si="13">SUM(CK4:CR4)</f>
        <v>37981047.72296001</v>
      </c>
      <c r="CU4" s="265">
        <f>+CJ4</f>
        <v>45627</v>
      </c>
      <c r="CV4" s="393">
        <f>+Общо!CF4</f>
        <v>17437099.880000003</v>
      </c>
      <c r="CW4" s="393">
        <f>+Общо!CG4</f>
        <v>3498812.2900000028</v>
      </c>
      <c r="CX4" s="393">
        <f>+Общо!CH4</f>
        <v>638448.84999999974</v>
      </c>
      <c r="CY4" s="393">
        <f>+Общо!CI4</f>
        <v>391852.94000000018</v>
      </c>
      <c r="CZ4" s="393">
        <f>+Общо!CJ4</f>
        <v>27263583.090000004</v>
      </c>
      <c r="DA4" s="393">
        <f>+Общо!CK4</f>
        <v>1418882.8399999999</v>
      </c>
      <c r="DB4" s="393">
        <f>+Общо!CL4</f>
        <v>213959.69399999999</v>
      </c>
      <c r="DC4" s="393">
        <f>+Общо!CM4</f>
        <v>3567553.1529600001</v>
      </c>
      <c r="DD4" s="394">
        <f>SUM(CV4:DC4)</f>
        <v>54430192.736960016</v>
      </c>
      <c r="DF4" s="693"/>
      <c r="DG4" s="422" t="s">
        <v>230</v>
      </c>
      <c r="DH4" s="423" t="s">
        <v>231</v>
      </c>
      <c r="DI4" s="424" t="s">
        <v>232</v>
      </c>
      <c r="DJ4" s="425" t="s">
        <v>233</v>
      </c>
      <c r="DK4" s="422" t="s">
        <v>234</v>
      </c>
      <c r="DL4" s="423" t="s">
        <v>229</v>
      </c>
      <c r="DM4" s="426" t="s">
        <v>224</v>
      </c>
    </row>
    <row r="5" spans="2:117" x14ac:dyDescent="0.25">
      <c r="B5" s="47">
        <f>+B4+1</f>
        <v>45628</v>
      </c>
      <c r="C5" s="365">
        <f>+Общо!C5+Общо!D5+Общо!E5+Общо!F5+Общо!L5+Общо!Y5+Общо!G5+Общо!S5</f>
        <v>296.14099999999985</v>
      </c>
      <c r="D5" s="366">
        <f>+(Общо!C5+Общо!D5+Общо!E5+Общо!F5+Общо!G5+Общо!L5)*Цени!$T$42+Общо!Y5*Цени!$T$42+Общо!S5*Цени!$T$44</f>
        <v>22574.650189999989</v>
      </c>
      <c r="E5" s="366">
        <f>+Перник!T16</f>
        <v>0</v>
      </c>
      <c r="F5" s="367">
        <f>+Общо!H5+Общо!I5+Общо!J5+Общо!K5+Общо!M5+Общо!N5+Общо!O5+Общо!P5+Общо!Q5+Общо!R5+Общо!T5+Общо!U5+Общо!V5+Общо!W5</f>
        <v>5563.9619999999995</v>
      </c>
      <c r="G5" s="368">
        <f>+Общо!H5*Цени!$T$46+Общо!I5*Цени!$T$45+Общо!J5*Цени!$T$46+Общо!K5*Цени!$T$46+Общо!M5*Цени!$T$46+Общо!N5*Цени!$T$46+Общо!O5*Цени!$T$46+Общо!P5*Цени!$T$46+Общо!Q5*Цени!$T$46+Общо!R5*Цени!$T$47+Общо!T5*Цени!$T$45+Общо!V5*'PPC Гърция'!E5+Общо!U5*HERON!E5+'МЕТ ВИТОЛ ДХТ'!F5+'МЕТ ВИТОЛ ДХТ'!L5+'МЕТ ВИТОЛ ДХТ'!R5+'МЕТ ВИТОЛ ДХТ'!X5+'МЕТ ВИТОЛ ДХТ'!AD5+'МЕТ ВИТОЛ ДХТ'!AJ5+'МЕТ ВИТОЛ ДХТ'!AP5+'МЕТ ВИТОЛ ДХТ'!AV5</f>
        <v>476252.83698000002</v>
      </c>
      <c r="H5" s="368">
        <f>+'Борса и балансиране'!F5</f>
        <v>500</v>
      </c>
      <c r="I5" s="368">
        <f>+'Борса и балансиране'!H5</f>
        <v>43500</v>
      </c>
      <c r="J5" s="368">
        <f>+'Борса и балансиране'!J5</f>
        <v>0</v>
      </c>
      <c r="K5" s="368">
        <f>+'Борса и балансиране'!N5</f>
        <v>0</v>
      </c>
      <c r="L5" s="368">
        <f>+Цени!Y4</f>
        <v>0</v>
      </c>
      <c r="M5" s="368">
        <f>+Цени!AA4</f>
        <v>0</v>
      </c>
      <c r="N5" s="369">
        <f t="shared" ref="N5:N34" si="14">+C5+F5+H5+J5+L5</f>
        <v>6360.1029999999992</v>
      </c>
      <c r="O5" s="370">
        <f t="shared" ref="O5:O34" si="15">+D5+G5+I5+K5+M5+E5</f>
        <v>542327.48717000009</v>
      </c>
      <c r="Q5" s="47">
        <f>+Q4+1</f>
        <v>45628</v>
      </c>
      <c r="R5" s="368">
        <f>+Цени!R4</f>
        <v>0</v>
      </c>
      <c r="S5" s="368">
        <f>+R5*Цени!$R$36</f>
        <v>0</v>
      </c>
      <c r="T5" s="368">
        <f>+Цени!D4</f>
        <v>4845.5870000000004</v>
      </c>
      <c r="U5" s="368">
        <f>+Цени!D4*Цени!$D$36</f>
        <v>367731.59743000002</v>
      </c>
      <c r="V5" s="368">
        <f>+Цени!Q4</f>
        <v>0</v>
      </c>
      <c r="W5" s="368">
        <f>+V5*Цени!$Q$36</f>
        <v>0</v>
      </c>
      <c r="X5" s="368">
        <f>+Цени!C4</f>
        <v>14.516</v>
      </c>
      <c r="Y5" s="368">
        <f>+Цени!C4*Цени!$C$36</f>
        <v>1210.19892</v>
      </c>
      <c r="Z5" s="368">
        <f>+Цени!L4+Цени!M4+Цени!N4+Цени!O4+Цени!P4</f>
        <v>0</v>
      </c>
      <c r="AA5" s="368">
        <f>+Цени!L4*Цени!$L$36+Цени!M4*Цени!$M$36+Цени!N4*Цени!$N$36+Цени!O4*Цени!$O$36+Цени!P4*Цени!$P$36</f>
        <v>0</v>
      </c>
      <c r="AB5" s="368">
        <f>+Цени!S4</f>
        <v>0</v>
      </c>
      <c r="AC5" s="368">
        <f>+AB5*Цени!$S$36</f>
        <v>0</v>
      </c>
      <c r="AD5" s="368">
        <f>+'Борса и балансиране'!C5</f>
        <v>1500</v>
      </c>
      <c r="AE5" s="368">
        <f>+'Борса и балансиране'!E5</f>
        <v>130500</v>
      </c>
      <c r="AF5" s="368">
        <f>+'Борса и балансиране'!K5*-1</f>
        <v>0</v>
      </c>
      <c r="AG5" s="368">
        <f>+'Борса и балансиране'!O5*-1</f>
        <v>0</v>
      </c>
      <c r="AH5" s="368">
        <f t="shared" ref="AH5:AH31" si="16">+R5+AD5+AF5+X5+Z5+T5+V5+AB5</f>
        <v>6360.103000000001</v>
      </c>
      <c r="AI5" s="371">
        <f t="shared" ref="AI5:AI31" si="17">+S5+Y5+AE5+AG5+AA5+U5+W5+AC5</f>
        <v>499441.79635000002</v>
      </c>
      <c r="AJ5" s="372"/>
      <c r="AK5" s="314">
        <f>+AK4+1</f>
        <v>45628</v>
      </c>
      <c r="AL5" s="373">
        <f t="shared" ref="AL5:AL8" si="18">+AI5</f>
        <v>499441.79635000002</v>
      </c>
      <c r="AM5" s="373">
        <f t="shared" si="2"/>
        <v>542327.48717000009</v>
      </c>
      <c r="AN5" s="374">
        <f t="shared" si="3"/>
        <v>42885.690820000076</v>
      </c>
      <c r="AO5" s="370">
        <f>+Плевен!S5+(Общо!C5+Общо!D5+Общо!E5+Общо!F5+Общо!G5+Общо!S5+Общо!L5+Общо!Y5+Общо!I5+Общо!T5)*Цени!$L$58</f>
        <v>1406.8881765000001</v>
      </c>
      <c r="AP5" s="370">
        <v>10186.510272399993</v>
      </c>
      <c r="AQ5" s="371">
        <f>+Общо!AN5</f>
        <v>3890.9</v>
      </c>
      <c r="AR5" s="375">
        <f>+(Цени!$D$36-Цени!$Z$1)*Цени!D4</f>
        <v>-129643.13297940894</v>
      </c>
      <c r="AS5" s="376">
        <f t="shared" ref="AS5:AS29" si="19">+AN5+AR5+AO5-AQ5-AP5</f>
        <v>-99427.964255308849</v>
      </c>
      <c r="AT5" s="377"/>
      <c r="AU5" s="314">
        <f>+AU4+1</f>
        <v>45628</v>
      </c>
      <c r="AV5" s="378">
        <f t="shared" si="4"/>
        <v>76.22939812454203</v>
      </c>
      <c r="AW5" s="378">
        <f t="shared" si="5"/>
        <v>85.595990227826874</v>
      </c>
      <c r="AX5" s="378">
        <f t="shared" si="6"/>
        <v>87</v>
      </c>
      <c r="AY5" s="378">
        <f t="shared" si="7"/>
        <v>0</v>
      </c>
      <c r="AZ5" s="379">
        <f t="shared" si="8"/>
        <v>0</v>
      </c>
      <c r="BA5" s="377"/>
      <c r="BB5" s="380">
        <f t="shared" ref="BB5:BB27" si="20">+IFERROR(Y5/(X5),0)</f>
        <v>83.37</v>
      </c>
      <c r="BC5" s="381">
        <f t="shared" ref="BC5:BC27" si="21">+IFERROR(AA5/Z5,0)</f>
        <v>0</v>
      </c>
      <c r="BD5" s="381">
        <f t="shared" ref="BD5:BD27" si="22">+IFERROR(U5/T5,0)</f>
        <v>75.89</v>
      </c>
      <c r="BE5" s="381">
        <f t="shared" ref="BE5:BE27" si="23">+IFERROR(W5/V5,0)</f>
        <v>0</v>
      </c>
      <c r="BF5" s="381">
        <f t="shared" ref="BF5:BF27" si="24">+IFERROR(AC5/AB5,0)</f>
        <v>0</v>
      </c>
      <c r="BG5" s="378">
        <f t="shared" ref="BG5:BG27" si="25">IFERROR(AE5/AD5,0)</f>
        <v>87</v>
      </c>
      <c r="BH5" s="378">
        <f>+'Борса и балансиране'!M5</f>
        <v>0</v>
      </c>
      <c r="BI5" s="379">
        <f t="shared" ref="BI5:BI32" si="26">+IFERROR(S5/R5,0)</f>
        <v>0</v>
      </c>
      <c r="BJ5" s="377"/>
      <c r="BK5" s="382">
        <f>+Общо!AT5</f>
        <v>75.89</v>
      </c>
      <c r="BL5" s="383">
        <f t="shared" ref="BL5:BL27" si="27">+BP5</f>
        <v>78.527312584403106</v>
      </c>
      <c r="BM5" s="384">
        <f>+Общо!AV5</f>
        <v>92.461863249999993</v>
      </c>
      <c r="BN5" s="385">
        <f t="shared" ref="BN5:BN29" si="28">+BL5-BM5</f>
        <v>-13.934550665596888</v>
      </c>
      <c r="BP5" s="382">
        <f t="shared" ref="BP5:BP27" si="29">++IFERROR(AI5/AH5,0)</f>
        <v>78.527312584403106</v>
      </c>
      <c r="BQ5" s="386">
        <f t="shared" ref="BQ5:BQ27" si="30">++IFERROR((O5-M5)/(N5-L5),0)</f>
        <v>85.270236530760613</v>
      </c>
      <c r="BR5" s="385">
        <f t="shared" ref="BR5:BR29" si="31">+BQ5-BP5</f>
        <v>6.7429239463575072</v>
      </c>
      <c r="BT5" s="314">
        <f>+BT4+1</f>
        <v>45628</v>
      </c>
      <c r="BU5" s="388">
        <f>+Общо!BE5</f>
        <v>494809.33300000062</v>
      </c>
      <c r="BV5" s="383">
        <f t="shared" ref="BV5" si="32">+BW5/BU5</f>
        <v>102.6448870713515</v>
      </c>
      <c r="BW5" s="389">
        <f>+Общо!BG5</f>
        <v>50789648.107635826</v>
      </c>
      <c r="BY5" s="265">
        <f>+BY4+1</f>
        <v>45628</v>
      </c>
      <c r="BZ5" s="390">
        <f>+Общо!BJ5</f>
        <v>9359727.9399999995</v>
      </c>
      <c r="CA5" s="390">
        <f>+Общо!BK5</f>
        <v>2132214.83</v>
      </c>
      <c r="CB5" s="390">
        <f>+Общо!BL5</f>
        <v>638448.84999999974</v>
      </c>
      <c r="CC5" s="390">
        <f>+Общо!BM5</f>
        <v>391852.94000000018</v>
      </c>
      <c r="CD5" s="390">
        <f>+Общо!BN5</f>
        <v>2184342</v>
      </c>
      <c r="CE5" s="390">
        <f>+Общо!BO5</f>
        <v>1418882.8399999999</v>
      </c>
      <c r="CF5" s="390">
        <f>+Общо!BP5</f>
        <v>165498.18999999997</v>
      </c>
      <c r="CG5" s="390">
        <f>+Общо!BQ5</f>
        <v>0</v>
      </c>
      <c r="CH5" s="391">
        <f>SUM(BZ5:CG5)</f>
        <v>16290967.589999998</v>
      </c>
      <c r="CJ5" s="265">
        <f>+CJ4+1</f>
        <v>45628</v>
      </c>
      <c r="CK5" s="392">
        <f>+Общо!BU5</f>
        <v>2597045.7600000016</v>
      </c>
      <c r="CL5" s="392">
        <f>+Общо!BV5</f>
        <v>0</v>
      </c>
      <c r="CM5" s="392">
        <f>+Общо!BW5</f>
        <v>0</v>
      </c>
      <c r="CN5" s="392">
        <f>+Общо!BX5</f>
        <v>0</v>
      </c>
      <c r="CO5" s="392">
        <f>+Общо!BY5</f>
        <v>25079241.090000004</v>
      </c>
      <c r="CP5" s="392">
        <f>+Общо!BZ5</f>
        <v>0</v>
      </c>
      <c r="CQ5" s="392">
        <f>+Общо!CA5</f>
        <v>0</v>
      </c>
      <c r="CR5" s="392">
        <f>+Общо!CB5</f>
        <v>3567553.1529600001</v>
      </c>
      <c r="CS5" s="391">
        <f t="shared" si="13"/>
        <v>31243840.002960004</v>
      </c>
      <c r="CU5" s="265">
        <f>+CU4+1</f>
        <v>45628</v>
      </c>
      <c r="CV5" s="393">
        <f>+Общо!CF5</f>
        <v>11956773.700000001</v>
      </c>
      <c r="CW5" s="393">
        <f>+Общо!CG5</f>
        <v>2132214.83</v>
      </c>
      <c r="CX5" s="393">
        <f>+Общо!CH5</f>
        <v>638448.84999999974</v>
      </c>
      <c r="CY5" s="393">
        <f>+Общо!CI5</f>
        <v>391852.94000000018</v>
      </c>
      <c r="CZ5" s="393">
        <f>+Общо!CJ5</f>
        <v>27263583.090000004</v>
      </c>
      <c r="DA5" s="393">
        <f>+Общо!CK5</f>
        <v>1418882.8399999999</v>
      </c>
      <c r="DB5" s="393">
        <f>+Общо!CL5</f>
        <v>165498.18999999997</v>
      </c>
      <c r="DC5" s="393">
        <f>+Общо!CM5</f>
        <v>3567553.1529600001</v>
      </c>
      <c r="DD5" s="394">
        <f t="shared" ref="DD5:DD17" si="33">SUM(CV5:DC5)</f>
        <v>47534807.59296</v>
      </c>
      <c r="DF5" s="427">
        <v>45292</v>
      </c>
      <c r="DG5" s="428">
        <f>+'баланс 2024'!P5</f>
        <v>31</v>
      </c>
      <c r="DH5" s="429">
        <f>+'баланс 2024'!Q5</f>
        <v>0</v>
      </c>
      <c r="DI5" s="430">
        <f>+'баланс 2024'!R5</f>
        <v>0</v>
      </c>
      <c r="DJ5" s="431">
        <f>+'баланс 2024'!S5</f>
        <v>0</v>
      </c>
      <c r="DK5" s="432">
        <f>+'баланс 2024'!T5</f>
        <v>0</v>
      </c>
      <c r="DL5" s="433">
        <f>+'баланс 2024'!U5</f>
        <v>0</v>
      </c>
      <c r="DM5" s="434">
        <f>+'баланс 2024'!V5</f>
        <v>0</v>
      </c>
    </row>
    <row r="6" spans="2:117" x14ac:dyDescent="0.25">
      <c r="B6" s="47">
        <f t="shared" ref="B6:B34" si="34">+B5+1</f>
        <v>45629</v>
      </c>
      <c r="C6" s="365">
        <f>+Общо!C6+Общо!D6+Общо!E6+Общо!F6+Общо!L6+Общо!Y6+Общо!G6+Общо!S6</f>
        <v>592.47099999999989</v>
      </c>
      <c r="D6" s="366">
        <f>+(Общо!C6+Общо!D6+Общо!E6+Общо!F6+Общо!G6+Общо!L6)*Цени!$T$42+Общо!Y6*Цени!$T$42+Общо!S6*Цени!$T$44</f>
        <v>44962.624189999995</v>
      </c>
      <c r="E6" s="366">
        <f>+Перник!T17</f>
        <v>0</v>
      </c>
      <c r="F6" s="367">
        <f>+Общо!H6+Общо!I6+Общо!J6+Общо!K6+Общо!M6+Общо!N6+Общо!O6+Общо!P6+Общо!Q6+Общо!R6+Общо!T6+Общо!U6+Общо!V6+Общо!W6</f>
        <v>5558.53</v>
      </c>
      <c r="G6" s="368">
        <f>+Общо!H6*Цени!$T$46+Общо!I6*Цени!$T$45+Общо!J6*Цени!$T$46+Общо!K6*Цени!$T$46+Общо!M6*Цени!$T$46+Общо!N6*Цени!$T$46+Общо!O6*Цени!$T$46+Общо!P6*Цени!$T$46+Общо!Q6*Цени!$T$46+Общо!R6*Цени!$T$47+Общо!T6*Цени!$T$45+Общо!V6*'PPC Гърция'!E6+Общо!U6*HERON!E6+'МЕТ ВИТОЛ ДХТ'!F6+'МЕТ ВИТОЛ ДХТ'!L6+'МЕТ ВИТОЛ ДХТ'!R6+'МЕТ ВИТОЛ ДХТ'!X6+'МЕТ ВИТОЛ ДХТ'!AD6+'МЕТ ВИТОЛ ДХТ'!AJ6+'МЕТ ВИТОЛ ДХТ'!AP6+'МЕТ ВИТОЛ ДХТ'!AV6</f>
        <v>474455.86270000006</v>
      </c>
      <c r="H6" s="368">
        <f>+'Борса и балансиране'!F6</f>
        <v>200</v>
      </c>
      <c r="I6" s="368">
        <f>+'Борса и балансиране'!H6</f>
        <v>18405</v>
      </c>
      <c r="J6" s="368">
        <f>+'Борса и балансиране'!J6</f>
        <v>9.1019999999998618</v>
      </c>
      <c r="K6" s="368">
        <f>+'Борса и балансиране'!N6</f>
        <v>724.78</v>
      </c>
      <c r="L6" s="368">
        <f>+Цени!Y5</f>
        <v>0</v>
      </c>
      <c r="M6" s="368">
        <f>+Цени!AA5</f>
        <v>0</v>
      </c>
      <c r="N6" s="369">
        <f t="shared" si="14"/>
        <v>6360.1029999999992</v>
      </c>
      <c r="O6" s="370">
        <f t="shared" si="15"/>
        <v>538548.26689000009</v>
      </c>
      <c r="Q6" s="47">
        <f t="shared" ref="Q6:Q34" si="35">+Q5+1</f>
        <v>45629</v>
      </c>
      <c r="R6" s="368">
        <f>+Цени!R5</f>
        <v>0</v>
      </c>
      <c r="S6" s="368">
        <f>+R6*Цени!$R$36</f>
        <v>0</v>
      </c>
      <c r="T6" s="368">
        <f>+Цени!D5</f>
        <v>5345.5870000000004</v>
      </c>
      <c r="U6" s="368">
        <f>+Цени!D5*Цени!$D$36</f>
        <v>405676.59743000002</v>
      </c>
      <c r="V6" s="368">
        <f>+Цени!Q5</f>
        <v>0</v>
      </c>
      <c r="W6" s="368">
        <f>+V6*Цени!$Q$36</f>
        <v>0</v>
      </c>
      <c r="X6" s="368">
        <f>+Цени!C5</f>
        <v>14.516</v>
      </c>
      <c r="Y6" s="368">
        <f>+Цени!C5*Цени!$C$36</f>
        <v>1210.19892</v>
      </c>
      <c r="Z6" s="368">
        <f>+Цени!L5+Цени!M5+Цени!N5+Цени!O5+Цени!P5</f>
        <v>0</v>
      </c>
      <c r="AA6" s="368">
        <f>+Цени!L5*Цени!$L$36+Цени!M5*Цени!$M$36+Цени!N5*Цени!$N$36+Цени!O5*Цени!$O$36+Цени!P5*Цени!$P$36</f>
        <v>0</v>
      </c>
      <c r="AB6" s="368">
        <f>+Цени!S5</f>
        <v>0</v>
      </c>
      <c r="AC6" s="368">
        <f>+AB6*Цени!$S$36</f>
        <v>0</v>
      </c>
      <c r="AD6" s="368">
        <f>+'Борса и балансиране'!C6</f>
        <v>1000</v>
      </c>
      <c r="AE6" s="368">
        <f>+'Борса и балансиране'!E6</f>
        <v>85930</v>
      </c>
      <c r="AF6" s="368">
        <f>+'Борса и балансиране'!K6*-1</f>
        <v>0</v>
      </c>
      <c r="AG6" s="368">
        <f>+'Борса и балансиране'!O6*-1</f>
        <v>0</v>
      </c>
      <c r="AH6" s="368">
        <f t="shared" si="16"/>
        <v>6360.1030000000001</v>
      </c>
      <c r="AI6" s="371">
        <f t="shared" si="17"/>
        <v>492816.79635000002</v>
      </c>
      <c r="AJ6" s="372"/>
      <c r="AK6" s="314">
        <f t="shared" ref="AK6:AK34" si="36">+AK5+1</f>
        <v>45629</v>
      </c>
      <c r="AL6" s="373">
        <f t="shared" si="18"/>
        <v>492816.79635000002</v>
      </c>
      <c r="AM6" s="373">
        <f t="shared" si="2"/>
        <v>538548.26689000009</v>
      </c>
      <c r="AN6" s="374">
        <f t="shared" si="3"/>
        <v>45731.470540000068</v>
      </c>
      <c r="AO6" s="370">
        <f>+Плевен!S6+(Общо!C6+Общо!D6+Общо!E6+Общо!F6+Общо!G6+Общо!S6+Общо!L6+Общо!Y6+Общо!I6+Общо!T6)*Цени!$L$58</f>
        <v>3266.1210884999991</v>
      </c>
      <c r="AP6" s="370">
        <v>10186.510272399993</v>
      </c>
      <c r="AQ6" s="371">
        <f>+Общо!AN6</f>
        <v>3890.9</v>
      </c>
      <c r="AR6" s="375">
        <f>+(Цени!$D$36-Цени!$Z$1)*Цени!D5</f>
        <v>-143020.57651508469</v>
      </c>
      <c r="AS6" s="376">
        <f t="shared" si="19"/>
        <v>-108100.3951589846</v>
      </c>
      <c r="AT6" s="377"/>
      <c r="AU6" s="314">
        <f t="shared" ref="AU6:AU34" si="37">+AU5+1</f>
        <v>45629</v>
      </c>
      <c r="AV6" s="378">
        <f t="shared" si="4"/>
        <v>75.89</v>
      </c>
      <c r="AW6" s="378">
        <f t="shared" si="5"/>
        <v>85.356355493268921</v>
      </c>
      <c r="AX6" s="378">
        <f t="shared" si="6"/>
        <v>92.025000000000006</v>
      </c>
      <c r="AY6" s="378">
        <f t="shared" si="7"/>
        <v>79.628653043288395</v>
      </c>
      <c r="AZ6" s="379">
        <f t="shared" si="8"/>
        <v>0</v>
      </c>
      <c r="BA6" s="377"/>
      <c r="BB6" s="380">
        <f t="shared" si="20"/>
        <v>83.37</v>
      </c>
      <c r="BC6" s="381">
        <f t="shared" si="21"/>
        <v>0</v>
      </c>
      <c r="BD6" s="381">
        <f t="shared" si="22"/>
        <v>75.89</v>
      </c>
      <c r="BE6" s="381">
        <f t="shared" si="23"/>
        <v>0</v>
      </c>
      <c r="BF6" s="381">
        <f t="shared" si="24"/>
        <v>0</v>
      </c>
      <c r="BG6" s="378">
        <f t="shared" si="25"/>
        <v>85.93</v>
      </c>
      <c r="BH6" s="378">
        <f>+'Борса и балансиране'!M6</f>
        <v>0</v>
      </c>
      <c r="BI6" s="379">
        <f t="shared" si="26"/>
        <v>0</v>
      </c>
      <c r="BJ6" s="377"/>
      <c r="BK6" s="382">
        <f>+Общо!AT6</f>
        <v>75.89</v>
      </c>
      <c r="BL6" s="383">
        <f t="shared" si="27"/>
        <v>77.485662787222154</v>
      </c>
      <c r="BM6" s="384">
        <f>+Общо!AV6</f>
        <v>93.684256999999988</v>
      </c>
      <c r="BN6" s="385">
        <f t="shared" si="28"/>
        <v>-16.198594212777834</v>
      </c>
      <c r="BP6" s="382">
        <f t="shared" si="29"/>
        <v>77.485662787222154</v>
      </c>
      <c r="BQ6" s="386">
        <f t="shared" si="30"/>
        <v>84.676029128773564</v>
      </c>
      <c r="BR6" s="385">
        <f t="shared" si="31"/>
        <v>7.1903663415514103</v>
      </c>
      <c r="BS6" s="395"/>
      <c r="BT6" s="314">
        <f t="shared" ref="BT6:BT34" si="38">+BT5+1</f>
        <v>45629</v>
      </c>
      <c r="BU6" s="388">
        <f>+Общо!BE6</f>
        <v>489463.74600000062</v>
      </c>
      <c r="BV6" s="383">
        <f>+Общо!BF6</f>
        <v>102.6448870713515</v>
      </c>
      <c r="BW6" s="389">
        <f>+Общо!BG6</f>
        <v>50240950.933690742</v>
      </c>
      <c r="BY6" s="265">
        <f t="shared" ref="BY6:BY34" si="39">+BY5+1</f>
        <v>45629</v>
      </c>
      <c r="BZ6" s="390">
        <f>+Общо!BJ6</f>
        <v>9359727.9399999995</v>
      </c>
      <c r="CA6" s="390">
        <f>+Общо!BK6</f>
        <v>2132214.83</v>
      </c>
      <c r="CB6" s="390">
        <f>+Общо!BL6</f>
        <v>638448.84999999974</v>
      </c>
      <c r="CC6" s="390">
        <f>+Общо!BM6</f>
        <v>391852.94000000018</v>
      </c>
      <c r="CD6" s="390">
        <f>+Общо!BN6</f>
        <v>2184342</v>
      </c>
      <c r="CE6" s="390">
        <f>+Общо!BO6</f>
        <v>0</v>
      </c>
      <c r="CF6" s="390">
        <f>+Общо!BP6</f>
        <v>169893.66</v>
      </c>
      <c r="CG6" s="390">
        <f>+Общо!BQ6</f>
        <v>0</v>
      </c>
      <c r="CH6" s="391">
        <f>SUM(BZ6:CG6)</f>
        <v>14876480.219999999</v>
      </c>
      <c r="CJ6" s="265">
        <f t="shared" ref="CJ6:CJ34" si="40">+CJ5+1</f>
        <v>45629</v>
      </c>
      <c r="CK6" s="392">
        <f>+Общо!BU6</f>
        <v>2597045.7600000016</v>
      </c>
      <c r="CL6" s="392">
        <f>+Общо!BV6</f>
        <v>0</v>
      </c>
      <c r="CM6" s="392">
        <f>+Общо!BW6</f>
        <v>0</v>
      </c>
      <c r="CN6" s="392">
        <f>+Общо!BX6</f>
        <v>0</v>
      </c>
      <c r="CO6" s="392">
        <f>+Общо!BY6</f>
        <v>25079241.090000004</v>
      </c>
      <c r="CP6" s="392">
        <f>+Общо!BZ6</f>
        <v>0</v>
      </c>
      <c r="CQ6" s="392">
        <f>+Общо!CA6</f>
        <v>0</v>
      </c>
      <c r="CR6" s="392">
        <f>+Общо!CB6</f>
        <v>3567553.1529600001</v>
      </c>
      <c r="CS6" s="391">
        <f t="shared" si="13"/>
        <v>31243840.002960004</v>
      </c>
      <c r="CU6" s="265">
        <f t="shared" ref="CU6:CU34" si="41">+CU5+1</f>
        <v>45629</v>
      </c>
      <c r="CV6" s="393">
        <f>+Общо!CF6</f>
        <v>11956773.700000001</v>
      </c>
      <c r="CW6" s="393">
        <f>+Общо!CG6</f>
        <v>2132214.83</v>
      </c>
      <c r="CX6" s="393">
        <f>+Общо!CH6</f>
        <v>638448.84999999974</v>
      </c>
      <c r="CY6" s="393">
        <f>+Общо!CI6</f>
        <v>391852.94000000018</v>
      </c>
      <c r="CZ6" s="393">
        <f>+Общо!CJ6</f>
        <v>27263583.090000004</v>
      </c>
      <c r="DA6" s="393">
        <f>+Общо!CK6</f>
        <v>0</v>
      </c>
      <c r="DB6" s="393">
        <f>+Общо!CL6</f>
        <v>169893.66</v>
      </c>
      <c r="DC6" s="393">
        <f>+Общо!CM6</f>
        <v>3567553.1529600001</v>
      </c>
      <c r="DD6" s="394">
        <f t="shared" si="33"/>
        <v>46120320.222960003</v>
      </c>
      <c r="DF6" s="435">
        <v>45323</v>
      </c>
      <c r="DG6" s="436">
        <f>+'баланс 2024'!P6</f>
        <v>29</v>
      </c>
      <c r="DH6" s="437">
        <f>+'баланс 2024'!Q6</f>
        <v>0</v>
      </c>
      <c r="DI6" s="438">
        <f>+'баланс 2024'!R6</f>
        <v>0</v>
      </c>
      <c r="DJ6" s="439">
        <f>+'баланс 2024'!S6</f>
        <v>0</v>
      </c>
      <c r="DK6" s="436">
        <f>+'баланс 2024'!T6</f>
        <v>0</v>
      </c>
      <c r="DL6" s="440">
        <f>+'баланс 2024'!U6</f>
        <v>0</v>
      </c>
      <c r="DM6" s="438">
        <f>+'баланс 2024'!V6</f>
        <v>0</v>
      </c>
    </row>
    <row r="7" spans="2:117" x14ac:dyDescent="0.25">
      <c r="B7" s="47">
        <f t="shared" si="34"/>
        <v>45630</v>
      </c>
      <c r="C7" s="365">
        <f>+Общо!C7+Общо!D7+Общо!E7+Общо!F7+Общо!L7+Общо!Y7+Общо!G7+Общо!S7</f>
        <v>202.42699999999988</v>
      </c>
      <c r="D7" s="366">
        <f>+(Общо!C7+Общо!D7+Общо!E7+Общо!F7+Общо!G7+Общо!L7)*Цени!$T$42+Общо!Y7*Цени!$T$42+Общо!S7*Цени!$T$44</f>
        <v>15459.016429999992</v>
      </c>
      <c r="E7" s="366">
        <f>+Перник!T18</f>
        <v>0</v>
      </c>
      <c r="F7" s="367">
        <f>+Общо!H7+Общо!I7+Общо!J7+Общо!K7+Общо!M7+Общо!N7+Общо!O7+Общо!P7+Общо!Q7+Общо!R7+Общо!T7+Общо!U7+Общо!V7+Общо!W7</f>
        <v>5557.4769999999999</v>
      </c>
      <c r="G7" s="368">
        <f>+Общо!H7*Цени!$T$46+Общо!I7*Цени!$T$45+Общо!J7*Цени!$T$46+Общо!K7*Цени!$T$46+Общо!M7*Цени!$T$46+Общо!N7*Цени!$T$46+Общо!O7*Цени!$T$46+Общо!P7*Цени!$T$46+Общо!Q7*Цени!$T$46+Общо!R7*Цени!$T$47+Общо!T7*Цени!$T$45+Общо!V7*'PPC Гърция'!E7+Общо!U7*HERON!E7+'МЕТ ВИТОЛ ДХТ'!F7+'МЕТ ВИТОЛ ДХТ'!L7+'МЕТ ВИТОЛ ДХТ'!R7+'МЕТ ВИТОЛ ДХТ'!X7+'МЕТ ВИТОЛ ДХТ'!AD7+'МЕТ ВИТОЛ ДХТ'!AJ7+'МЕТ ВИТОЛ ДХТ'!AP7+'МЕТ ВИТОЛ ДХТ'!AV7</f>
        <v>476589.20082999999</v>
      </c>
      <c r="H7" s="368">
        <f>+'Борса и балансиране'!F7</f>
        <v>100</v>
      </c>
      <c r="I7" s="368">
        <f>+'Борса и балансиране'!H7</f>
        <v>9740</v>
      </c>
      <c r="J7" s="368">
        <f>+'Борса и балансиране'!J7</f>
        <v>0.19899999999961437</v>
      </c>
      <c r="K7" s="368">
        <f>+'Борса и балансиране'!N7</f>
        <v>16.079999999999998</v>
      </c>
      <c r="L7" s="368">
        <f>+Цени!Y6</f>
        <v>0</v>
      </c>
      <c r="M7" s="368">
        <f>+Цени!AA6</f>
        <v>0</v>
      </c>
      <c r="N7" s="369">
        <f t="shared" si="14"/>
        <v>5860.1029999999992</v>
      </c>
      <c r="O7" s="370">
        <f t="shared" si="15"/>
        <v>501804.29726000002</v>
      </c>
      <c r="Q7" s="47">
        <f t="shared" si="35"/>
        <v>45630</v>
      </c>
      <c r="R7" s="368">
        <f>+Цени!R6</f>
        <v>0</v>
      </c>
      <c r="S7" s="368">
        <f>+R7*Цени!$R$36</f>
        <v>0</v>
      </c>
      <c r="T7" s="368">
        <f>+Цени!D6</f>
        <v>4845.5870000000004</v>
      </c>
      <c r="U7" s="368">
        <f>+Цени!D6*Цени!$D$36</f>
        <v>367731.59743000002</v>
      </c>
      <c r="V7" s="368">
        <f>+Цени!Q6</f>
        <v>0</v>
      </c>
      <c r="W7" s="368">
        <f>+V7*Цени!$Q$36</f>
        <v>0</v>
      </c>
      <c r="X7" s="368">
        <f>+Цени!C6</f>
        <v>14.516</v>
      </c>
      <c r="Y7" s="368">
        <f>+Цени!C6*Цени!$C$36</f>
        <v>1210.19892</v>
      </c>
      <c r="Z7" s="368">
        <f>+Цени!L6+Цени!M6+Цени!N6+Цени!O6+Цени!P6</f>
        <v>0</v>
      </c>
      <c r="AA7" s="368">
        <f>+Цени!L6*Цени!$L$36+Цени!M6*Цени!$M$36+Цени!N6*Цени!$N$36+Цени!O6*Цени!$O$36+Цени!P6*Цени!$P$36</f>
        <v>0</v>
      </c>
      <c r="AB7" s="368">
        <f>+Цени!S6</f>
        <v>0</v>
      </c>
      <c r="AC7" s="368">
        <f>+AB7*Цени!$S$36</f>
        <v>0</v>
      </c>
      <c r="AD7" s="368">
        <f>+'Борса и балансиране'!C7</f>
        <v>1000</v>
      </c>
      <c r="AE7" s="368">
        <f>+'Борса и балансиране'!E7</f>
        <v>87815</v>
      </c>
      <c r="AF7" s="368">
        <f>+'Борса и балансиране'!K7*-1</f>
        <v>0</v>
      </c>
      <c r="AG7" s="368">
        <f>+'Борса и балансиране'!O7*-1</f>
        <v>0</v>
      </c>
      <c r="AH7" s="368">
        <f t="shared" si="16"/>
        <v>5860.1030000000001</v>
      </c>
      <c r="AI7" s="371">
        <f t="shared" si="17"/>
        <v>456756.79635000002</v>
      </c>
      <c r="AJ7" s="372"/>
      <c r="AK7" s="314">
        <f t="shared" si="36"/>
        <v>45630</v>
      </c>
      <c r="AL7" s="373">
        <f t="shared" si="18"/>
        <v>456756.79635000002</v>
      </c>
      <c r="AM7" s="373">
        <f t="shared" si="2"/>
        <v>501804.29726000002</v>
      </c>
      <c r="AN7" s="374">
        <f t="shared" si="3"/>
        <v>45047.500910000002</v>
      </c>
      <c r="AO7" s="370">
        <f>+Плевен!S7+(Общо!C7+Общо!D7+Общо!E7+Общо!F7+Общо!G7+Общо!S7+Общо!L7+Общо!Y7+Общо!I7+Общо!T7)*Цени!$L$58</f>
        <v>1244.7207225</v>
      </c>
      <c r="AP7" s="370">
        <v>10186.510272399993</v>
      </c>
      <c r="AQ7" s="371">
        <f>+Общо!AN7</f>
        <v>3890.9</v>
      </c>
      <c r="AR7" s="375">
        <f>+(Цени!$D$36-Цени!$Z$1)*Цени!D6</f>
        <v>-129643.13297940894</v>
      </c>
      <c r="AS7" s="376">
        <f t="shared" si="19"/>
        <v>-97428.321619308917</v>
      </c>
      <c r="AT7" s="377"/>
      <c r="AU7" s="314">
        <f t="shared" si="37"/>
        <v>45630</v>
      </c>
      <c r="AV7" s="378">
        <f t="shared" si="4"/>
        <v>76.368352196100332</v>
      </c>
      <c r="AW7" s="378">
        <f t="shared" si="5"/>
        <v>85.75639644212653</v>
      </c>
      <c r="AX7" s="378">
        <f t="shared" si="6"/>
        <v>97.4</v>
      </c>
      <c r="AY7" s="378">
        <f t="shared" si="7"/>
        <v>80.804020100659088</v>
      </c>
      <c r="AZ7" s="379">
        <f t="shared" si="8"/>
        <v>0</v>
      </c>
      <c r="BA7" s="377"/>
      <c r="BB7" s="380">
        <f t="shared" si="20"/>
        <v>83.37</v>
      </c>
      <c r="BC7" s="381">
        <f t="shared" si="21"/>
        <v>0</v>
      </c>
      <c r="BD7" s="381">
        <f t="shared" si="22"/>
        <v>75.89</v>
      </c>
      <c r="BE7" s="381">
        <f t="shared" si="23"/>
        <v>0</v>
      </c>
      <c r="BF7" s="381">
        <f t="shared" si="24"/>
        <v>0</v>
      </c>
      <c r="BG7" s="378">
        <f t="shared" si="25"/>
        <v>87.814999999999998</v>
      </c>
      <c r="BH7" s="378">
        <f>+'Борса и балансиране'!M7</f>
        <v>0</v>
      </c>
      <c r="BI7" s="379">
        <f t="shared" si="26"/>
        <v>0</v>
      </c>
      <c r="BJ7" s="377"/>
      <c r="BK7" s="382">
        <f>+Общо!AT7</f>
        <v>75.89</v>
      </c>
      <c r="BL7" s="383">
        <f t="shared" si="27"/>
        <v>77.943475797268405</v>
      </c>
      <c r="BM7" s="384">
        <f>+Общо!AV7</f>
        <v>92.217384499999994</v>
      </c>
      <c r="BN7" s="385">
        <f t="shared" si="28"/>
        <v>-14.273908702731589</v>
      </c>
      <c r="BP7" s="382">
        <f t="shared" si="29"/>
        <v>77.943475797268405</v>
      </c>
      <c r="BQ7" s="386">
        <f t="shared" si="30"/>
        <v>85.630627526512768</v>
      </c>
      <c r="BR7" s="385">
        <f t="shared" si="31"/>
        <v>7.6871517292443627</v>
      </c>
      <c r="BS7" s="395"/>
      <c r="BT7" s="314">
        <f t="shared" si="38"/>
        <v>45630</v>
      </c>
      <c r="BU7" s="388">
        <f>+Общо!BE7</f>
        <v>484618.15900000063</v>
      </c>
      <c r="BV7" s="383">
        <f>+Общо!BF7</f>
        <v>102.6448870713515</v>
      </c>
      <c r="BW7" s="389">
        <f>+Общо!BG7</f>
        <v>49743576.203281336</v>
      </c>
      <c r="BY7" s="265">
        <f t="shared" si="39"/>
        <v>45630</v>
      </c>
      <c r="BZ7" s="390">
        <f>+Общо!BJ7</f>
        <v>9359727.9399999995</v>
      </c>
      <c r="CA7" s="390">
        <f>+Общо!BK7</f>
        <v>2132214.83</v>
      </c>
      <c r="CB7" s="390">
        <f>+Общо!BL7</f>
        <v>188448.84999999974</v>
      </c>
      <c r="CC7" s="390">
        <f>+Общо!BM7</f>
        <v>391852.94000000018</v>
      </c>
      <c r="CD7" s="390">
        <f>+Общо!BN7</f>
        <v>2184342</v>
      </c>
      <c r="CE7" s="390">
        <f>+Общо!BO7</f>
        <v>0</v>
      </c>
      <c r="CF7" s="390">
        <f>+Общо!BP7</f>
        <v>210429.50999999998</v>
      </c>
      <c r="CG7" s="390">
        <f>+Общо!BQ7</f>
        <v>0</v>
      </c>
      <c r="CH7" s="391">
        <f t="shared" ref="CH7:CH17" si="42">SUM(BZ7:CG7)</f>
        <v>14467016.069999998</v>
      </c>
      <c r="CJ7" s="265">
        <f t="shared" si="40"/>
        <v>45630</v>
      </c>
      <c r="CK7" s="392">
        <f>+Общо!BU7</f>
        <v>2597045.7600000016</v>
      </c>
      <c r="CL7" s="392">
        <f>+Общо!BV7</f>
        <v>0</v>
      </c>
      <c r="CM7" s="392">
        <f>+Общо!BW7</f>
        <v>0</v>
      </c>
      <c r="CN7" s="392">
        <f>+Общо!BX7</f>
        <v>0</v>
      </c>
      <c r="CO7" s="392">
        <f>+Общо!BY7</f>
        <v>25079241.090000004</v>
      </c>
      <c r="CP7" s="392">
        <f>+Общо!BZ7</f>
        <v>0</v>
      </c>
      <c r="CQ7" s="392">
        <f>+Общо!CA7</f>
        <v>0</v>
      </c>
      <c r="CR7" s="392">
        <f>+Общо!CB7</f>
        <v>3567553.1529600001</v>
      </c>
      <c r="CS7" s="391">
        <f t="shared" si="13"/>
        <v>31243840.002960004</v>
      </c>
      <c r="CU7" s="265">
        <f t="shared" si="41"/>
        <v>45630</v>
      </c>
      <c r="CV7" s="393">
        <f>+Общо!CF7</f>
        <v>11956773.700000001</v>
      </c>
      <c r="CW7" s="393">
        <f>+Общо!CG7</f>
        <v>2132214.83</v>
      </c>
      <c r="CX7" s="393">
        <f>+Общо!CH7</f>
        <v>188448.84999999974</v>
      </c>
      <c r="CY7" s="393">
        <f>+Общо!CI7</f>
        <v>391852.94000000018</v>
      </c>
      <c r="CZ7" s="393">
        <f>+Общо!CJ7</f>
        <v>27263583.090000004</v>
      </c>
      <c r="DA7" s="393">
        <f>+Общо!CK7</f>
        <v>0</v>
      </c>
      <c r="DB7" s="393">
        <f>+Общо!CL7</f>
        <v>210429.50999999998</v>
      </c>
      <c r="DC7" s="393">
        <f>+Общо!CM7</f>
        <v>3567553.1529600001</v>
      </c>
      <c r="DD7" s="394">
        <f t="shared" si="33"/>
        <v>45710856.072960004</v>
      </c>
      <c r="DF7" s="435">
        <v>45352</v>
      </c>
      <c r="DG7" s="436">
        <f>+'баланс 2024'!P7</f>
        <v>31</v>
      </c>
      <c r="DH7" s="437">
        <f>+'баланс 2024'!Q7</f>
        <v>0</v>
      </c>
      <c r="DI7" s="438">
        <f>+'баланс 2024'!R7</f>
        <v>0</v>
      </c>
      <c r="DJ7" s="439">
        <f>+'баланс 2024'!S7</f>
        <v>0</v>
      </c>
      <c r="DK7" s="436">
        <f>+'баланс 2024'!T7</f>
        <v>0</v>
      </c>
      <c r="DL7" s="440">
        <f>+'баланс 2024'!U7</f>
        <v>0</v>
      </c>
      <c r="DM7" s="438">
        <f>+'баланс 2024'!V7</f>
        <v>0</v>
      </c>
    </row>
    <row r="8" spans="2:117" x14ac:dyDescent="0.25">
      <c r="B8" s="47">
        <f t="shared" si="34"/>
        <v>45631</v>
      </c>
      <c r="C8" s="365">
        <f>+Общо!C8+Общо!D8+Общо!E8+Общо!F8+Общо!L8+Общо!Y8+Общо!G8+Общо!S8</f>
        <v>385.84799999999996</v>
      </c>
      <c r="D8" s="366">
        <f>+(Общо!C8+Общо!D8+Общо!E8+Общо!F8+Общо!G8+Общо!L8)*Цени!$T$42+Общо!Y8*Цени!$T$42+Общо!S8*Цени!$T$44</f>
        <v>29282.004719999997</v>
      </c>
      <c r="E8" s="366">
        <f>+Перник!T19</f>
        <v>0</v>
      </c>
      <c r="F8" s="367">
        <f>+Общо!H8+Общо!I8+Общо!J8+Общо!K8+Общо!M8+Общо!N8+Общо!O8+Общо!P8+Общо!Q8+Общо!R8+Общо!T8+Общо!U8+Общо!V8+Общо!W8</f>
        <v>5554.6489999999994</v>
      </c>
      <c r="G8" s="368">
        <f>+Общо!H8*Цени!$T$46+Общо!I8*Цени!$T$45+Общо!J8*Цени!$T$46+Общо!K8*Цени!$T$46+Общо!M8*Цени!$T$46+Общо!N8*Цени!$T$46+Общо!O8*Цени!$T$46+Общо!P8*Цени!$T$46+Общо!Q8*Цени!$T$46+Общо!R8*Цени!$T$47+Общо!T8*Цени!$T$45+Общо!V8*'PPC Гърция'!E8+Общо!U8*HERON!E8+'МЕТ ВИТОЛ ДХТ'!F8+'МЕТ ВИТОЛ ДХТ'!L8+'МЕТ ВИТОЛ ДХТ'!R8+'МЕТ ВИТОЛ ДХТ'!X8+'МЕТ ВИТОЛ ДХТ'!AD8+'МЕТ ВИТОЛ ДХТ'!AJ8+'МЕТ ВИТОЛ ДХТ'!AP8+'МЕТ ВИТОЛ ДХТ'!AV8</f>
        <v>482784.19300999999</v>
      </c>
      <c r="H8" s="368">
        <f>+'Борса и балансиране'!F8</f>
        <v>0</v>
      </c>
      <c r="I8" s="368">
        <f>+'Борса и балансиране'!H8</f>
        <v>0</v>
      </c>
      <c r="J8" s="368">
        <f>+'Борса и балансиране'!J8</f>
        <v>19.606000000000677</v>
      </c>
      <c r="K8" s="368">
        <f>+'Борса и балансиране'!N8</f>
        <v>1645.98</v>
      </c>
      <c r="L8" s="368">
        <f>+Цени!Y7</f>
        <v>0</v>
      </c>
      <c r="M8" s="368">
        <f>+Цени!AA7</f>
        <v>0</v>
      </c>
      <c r="N8" s="369">
        <f t="shared" si="14"/>
        <v>5960.1030000000001</v>
      </c>
      <c r="O8" s="370">
        <f t="shared" si="15"/>
        <v>513712.17773</v>
      </c>
      <c r="Q8" s="47">
        <f t="shared" si="35"/>
        <v>45631</v>
      </c>
      <c r="R8" s="368">
        <f>+Цени!R7</f>
        <v>0</v>
      </c>
      <c r="S8" s="368">
        <f>+R8*Цени!$R$36</f>
        <v>0</v>
      </c>
      <c r="T8" s="368">
        <f>+Цени!D7</f>
        <v>4845.5870000000004</v>
      </c>
      <c r="U8" s="368">
        <f>+Цени!D7*Цени!$D$36</f>
        <v>367731.59743000002</v>
      </c>
      <c r="V8" s="368">
        <f>+Цени!Q7</f>
        <v>0</v>
      </c>
      <c r="W8" s="368">
        <f>+V8*Цени!$Q$36</f>
        <v>0</v>
      </c>
      <c r="X8" s="368">
        <f>+Цени!C7</f>
        <v>14.516</v>
      </c>
      <c r="Y8" s="368">
        <f>+Цени!C7*Цени!$C$36</f>
        <v>1210.19892</v>
      </c>
      <c r="Z8" s="368">
        <f>+Цени!L7+Цени!M7+Цени!N7+Цени!O7+Цени!P7</f>
        <v>0</v>
      </c>
      <c r="AA8" s="368">
        <f>+Цени!L7*Цени!$L$36+Цени!M7*Цени!$M$36+Цени!N7*Цени!$N$36+Цени!O7*Цени!$O$36+Цени!P7*Цени!$P$36</f>
        <v>0</v>
      </c>
      <c r="AB8" s="368">
        <f>+Цени!S7</f>
        <v>0</v>
      </c>
      <c r="AC8" s="368">
        <f>+AB8*Цени!$S$36</f>
        <v>0</v>
      </c>
      <c r="AD8" s="368">
        <f>+'Борса и балансиране'!C8</f>
        <v>1100</v>
      </c>
      <c r="AE8" s="368">
        <f>+'Борса и балансиране'!E8</f>
        <v>99999</v>
      </c>
      <c r="AF8" s="368">
        <f>+'Борса и балансиране'!K8*-1</f>
        <v>0</v>
      </c>
      <c r="AG8" s="368">
        <f>+'Борса и балансиране'!O8*-1</f>
        <v>0</v>
      </c>
      <c r="AH8" s="368">
        <f t="shared" si="16"/>
        <v>5960.103000000001</v>
      </c>
      <c r="AI8" s="371">
        <f t="shared" si="17"/>
        <v>468940.79635000002</v>
      </c>
      <c r="AJ8" s="372"/>
      <c r="AK8" s="314">
        <f t="shared" si="36"/>
        <v>45631</v>
      </c>
      <c r="AL8" s="373">
        <f t="shared" si="18"/>
        <v>468940.79635000002</v>
      </c>
      <c r="AM8" s="373">
        <f t="shared" si="2"/>
        <v>513712.17773</v>
      </c>
      <c r="AN8" s="374">
        <f t="shared" si="3"/>
        <v>44771.381379999977</v>
      </c>
      <c r="AO8" s="370">
        <f>+Плевен!S8+(Общо!C8+Общо!D8+Общо!E8+Общо!F8+Общо!G8+Общо!S8+Общо!L8+Общо!Y8+Общо!I8+Общо!T8)*Цени!$L$58</f>
        <v>1464.3024525000001</v>
      </c>
      <c r="AP8" s="370">
        <v>10186.510272399993</v>
      </c>
      <c r="AQ8" s="371">
        <f>+Общо!AN8</f>
        <v>3890.9</v>
      </c>
      <c r="AR8" s="375">
        <f>+(Цени!$D$36-Цени!$Z$1)*Цени!D7</f>
        <v>-129643.13297940894</v>
      </c>
      <c r="AS8" s="376">
        <f t="shared" si="19"/>
        <v>-97484.859419308952</v>
      </c>
      <c r="AT8" s="377"/>
      <c r="AU8" s="314">
        <f t="shared" si="37"/>
        <v>45631</v>
      </c>
      <c r="AV8" s="378">
        <f t="shared" si="4"/>
        <v>75.89</v>
      </c>
      <c r="AW8" s="378">
        <f t="shared" si="5"/>
        <v>86.915337586587384</v>
      </c>
      <c r="AX8" s="378">
        <f t="shared" si="6"/>
        <v>0</v>
      </c>
      <c r="AY8" s="378">
        <f t="shared" si="7"/>
        <v>83.952871569924682</v>
      </c>
      <c r="AZ8" s="379">
        <f t="shared" si="8"/>
        <v>0</v>
      </c>
      <c r="BA8" s="377"/>
      <c r="BB8" s="380">
        <f t="shared" si="20"/>
        <v>83.37</v>
      </c>
      <c r="BC8" s="381">
        <f t="shared" si="21"/>
        <v>0</v>
      </c>
      <c r="BD8" s="381">
        <f t="shared" si="22"/>
        <v>75.89</v>
      </c>
      <c r="BE8" s="381">
        <f t="shared" si="23"/>
        <v>0</v>
      </c>
      <c r="BF8" s="381">
        <f t="shared" si="24"/>
        <v>0</v>
      </c>
      <c r="BG8" s="378">
        <f t="shared" si="25"/>
        <v>90.908181818181816</v>
      </c>
      <c r="BH8" s="378">
        <f>+'Борса и балансиране'!M8</f>
        <v>0</v>
      </c>
      <c r="BI8" s="379">
        <f t="shared" si="26"/>
        <v>0</v>
      </c>
      <c r="BJ8" s="377"/>
      <c r="BK8" s="382">
        <f>+Общо!AT8</f>
        <v>75.89</v>
      </c>
      <c r="BL8" s="383">
        <f t="shared" si="27"/>
        <v>78.679981931520302</v>
      </c>
      <c r="BM8" s="384">
        <f>+Общо!AV8</f>
        <v>90.408241750000002</v>
      </c>
      <c r="BN8" s="385">
        <f t="shared" si="28"/>
        <v>-11.7282598184797</v>
      </c>
      <c r="BP8" s="382">
        <f t="shared" si="29"/>
        <v>78.679981931520302</v>
      </c>
      <c r="BQ8" s="386">
        <f t="shared" si="30"/>
        <v>86.191828854299999</v>
      </c>
      <c r="BR8" s="385">
        <f t="shared" si="31"/>
        <v>7.5118469227796965</v>
      </c>
      <c r="BT8" s="314">
        <f t="shared" si="38"/>
        <v>45631</v>
      </c>
      <c r="BU8" s="388">
        <f>+Общо!BE8</f>
        <v>479772.57200000063</v>
      </c>
      <c r="BV8" s="383">
        <f>+Общо!BF8</f>
        <v>102.64488707135152</v>
      </c>
      <c r="BW8" s="389">
        <f>+Общо!BG8</f>
        <v>49246201.472871929</v>
      </c>
      <c r="BY8" s="265">
        <f t="shared" si="39"/>
        <v>45631</v>
      </c>
      <c r="BZ8" s="390">
        <f>+Общо!BJ8</f>
        <v>9359727.9399999995</v>
      </c>
      <c r="CA8" s="390">
        <f>+Общо!BK8</f>
        <v>2753236.08</v>
      </c>
      <c r="CB8" s="390">
        <f>+Общо!BL8</f>
        <v>1965909.42</v>
      </c>
      <c r="CC8" s="390">
        <f>+Общо!BM8</f>
        <v>1014254.12</v>
      </c>
      <c r="CD8" s="390">
        <f>+Общо!BN8</f>
        <v>2184342</v>
      </c>
      <c r="CE8" s="390">
        <f>+Общо!BO8</f>
        <v>2295842.69</v>
      </c>
      <c r="CF8" s="390">
        <f>+Общо!BP8</f>
        <v>172816</v>
      </c>
      <c r="CG8" s="390">
        <f>+Общо!BQ8</f>
        <v>0</v>
      </c>
      <c r="CH8" s="391">
        <f>SUM(BZ8:CG8)</f>
        <v>19746128.25</v>
      </c>
      <c r="CJ8" s="265">
        <f t="shared" si="40"/>
        <v>45631</v>
      </c>
      <c r="CK8" s="392">
        <f>+Общо!BU8</f>
        <v>2597045.7600000016</v>
      </c>
      <c r="CL8" s="392">
        <f>+Общо!BV8</f>
        <v>2132214.83</v>
      </c>
      <c r="CM8" s="392">
        <f>+Общо!BW8</f>
        <v>188448.84999999963</v>
      </c>
      <c r="CN8" s="392">
        <f>+Общо!BX8</f>
        <v>391852.94000000006</v>
      </c>
      <c r="CO8" s="392">
        <f>+Общо!BY8</f>
        <v>25079241.090000004</v>
      </c>
      <c r="CP8" s="392">
        <f>+Общо!BZ8</f>
        <v>0</v>
      </c>
      <c r="CQ8" s="392">
        <f>+Общо!CA8</f>
        <v>0</v>
      </c>
      <c r="CR8" s="392">
        <f>+Общо!CB8</f>
        <v>3567553.1529600001</v>
      </c>
      <c r="CS8" s="391">
        <f t="shared" si="13"/>
        <v>33956356.622960009</v>
      </c>
      <c r="CU8" s="265">
        <f t="shared" si="41"/>
        <v>45631</v>
      </c>
      <c r="CV8" s="393">
        <f>+Общо!CF8</f>
        <v>11956773.700000001</v>
      </c>
      <c r="CW8" s="393">
        <f>+Общо!CG8</f>
        <v>4885450.91</v>
      </c>
      <c r="CX8" s="393">
        <f>+Общо!CH8</f>
        <v>2154358.2699999996</v>
      </c>
      <c r="CY8" s="393">
        <f>+Общо!CI8</f>
        <v>1406107.06</v>
      </c>
      <c r="CZ8" s="393">
        <f>+Общо!CJ8</f>
        <v>27263583.090000004</v>
      </c>
      <c r="DA8" s="393">
        <f>+Общо!CK8</f>
        <v>2295842.69</v>
      </c>
      <c r="DB8" s="393">
        <f>+Общо!CL8</f>
        <v>172816</v>
      </c>
      <c r="DC8" s="393">
        <f>+Общо!CM8</f>
        <v>3567553.1529600001</v>
      </c>
      <c r="DD8" s="394">
        <f t="shared" si="33"/>
        <v>53702484.872960001</v>
      </c>
      <c r="DF8" s="435">
        <v>45383</v>
      </c>
      <c r="DG8" s="436">
        <f>+'баланс 2024'!P8</f>
        <v>30</v>
      </c>
      <c r="DH8" s="437">
        <f>+'баланс 2024'!Q8</f>
        <v>0</v>
      </c>
      <c r="DI8" s="438">
        <f>+'баланс 2024'!R8</f>
        <v>0</v>
      </c>
      <c r="DJ8" s="439">
        <f>+'баланс 2024'!S8</f>
        <v>0</v>
      </c>
      <c r="DK8" s="436">
        <f>+'баланс 2024'!T8</f>
        <v>0</v>
      </c>
      <c r="DL8" s="440">
        <f>+'баланс 2024'!U8</f>
        <v>0</v>
      </c>
      <c r="DM8" s="438">
        <f>+'баланс 2024'!V8</f>
        <v>0</v>
      </c>
    </row>
    <row r="9" spans="2:117" x14ac:dyDescent="0.25">
      <c r="B9" s="47">
        <f t="shared" si="34"/>
        <v>45632</v>
      </c>
      <c r="C9" s="365">
        <f>+Общо!C9+Общо!D9+Общо!E9+Общо!F9+Общо!L9+Общо!Y9+Общо!G9+Общо!S9</f>
        <v>815</v>
      </c>
      <c r="D9" s="366">
        <f>+(Общо!C9+Общо!D9+Общо!E9+Общо!F9+Общо!G9+Общо!L9)*Цени!$T$42+Общо!Y9*Цени!$T$42+Общо!S9*Цени!$T$44</f>
        <v>61850.35</v>
      </c>
      <c r="E9" s="366">
        <f>+Перник!T20</f>
        <v>0</v>
      </c>
      <c r="F9" s="367">
        <f>+Общо!H9+Общо!I9+Общо!J9+Общо!K9+Общо!M9+Общо!N9+Общо!O9+Общо!P9+Общо!Q9+Общо!R9+Общо!T9+Общо!U9+Общо!V9+Общо!W9</f>
        <v>5545.1080000000002</v>
      </c>
      <c r="G9" s="368">
        <f>+Общо!H9*Цени!$T$46+Общо!I9*Цени!$T$45+Общо!J9*Цени!$T$46+Общо!K9*Цени!$T$46+Общо!M9*Цени!$T$46+Общо!N9*Цени!$T$46+Общо!O9*Цени!$T$46+Общо!P9*Цени!$T$46+Общо!Q9*Цени!$T$46+Общо!R9*Цени!$T$47+Общо!T9*Цени!$T$45+Общо!V9*'PPC Гърция'!E9+Общо!U9*HERON!E9+'МЕТ ВИТОЛ ДХТ'!F9+'МЕТ ВИТОЛ ДХТ'!L9+'МЕТ ВИТОЛ ДХТ'!R9+'МЕТ ВИТОЛ ДХТ'!X9+'МЕТ ВИТОЛ ДХТ'!AD9+'МЕТ ВИТОЛ ДХТ'!AJ9+'МЕТ ВИТОЛ ДХТ'!AP9+'МЕТ ВИТОЛ ДХТ'!AV9</f>
        <v>483035.30692</v>
      </c>
      <c r="H9" s="368">
        <f>+'Борса и балансиране'!F9</f>
        <v>0</v>
      </c>
      <c r="I9" s="368">
        <f>+'Борса и балансиране'!H9</f>
        <v>0</v>
      </c>
      <c r="J9" s="368">
        <f>+'Борса и балансиране'!J9</f>
        <v>0</v>
      </c>
      <c r="K9" s="368">
        <f>+'Борса и балансиране'!N9</f>
        <v>0</v>
      </c>
      <c r="L9" s="368">
        <f>+Цени!Y8</f>
        <v>0</v>
      </c>
      <c r="M9" s="368">
        <f>+Цени!AA8</f>
        <v>0</v>
      </c>
      <c r="N9" s="369">
        <f t="shared" si="14"/>
        <v>6360.1080000000002</v>
      </c>
      <c r="O9" s="370">
        <f t="shared" si="15"/>
        <v>544885.65691999998</v>
      </c>
      <c r="Q9" s="47">
        <f t="shared" si="35"/>
        <v>45632</v>
      </c>
      <c r="R9" s="368">
        <f>+Цени!R8</f>
        <v>0</v>
      </c>
      <c r="S9" s="368">
        <f>+R9*Цени!$R$36</f>
        <v>0</v>
      </c>
      <c r="T9" s="368">
        <f>+Цени!D8</f>
        <v>4845.5870000000004</v>
      </c>
      <c r="U9" s="368">
        <f>+Цени!D8*Цени!$D$36</f>
        <v>367731.59743000002</v>
      </c>
      <c r="V9" s="368">
        <f>+Цени!Q8</f>
        <v>0</v>
      </c>
      <c r="W9" s="368">
        <f>+V9*Цени!$Q$36</f>
        <v>0</v>
      </c>
      <c r="X9" s="368">
        <f>+Цени!C8</f>
        <v>14.516</v>
      </c>
      <c r="Y9" s="368">
        <f>+Цени!C8*Цени!$C$36</f>
        <v>1210.19892</v>
      </c>
      <c r="Z9" s="368">
        <f>+Цени!L8+Цени!M8+Цени!N8+Цени!O8+Цени!P8</f>
        <v>0</v>
      </c>
      <c r="AA9" s="368">
        <f>+Цени!L8*Цени!$L$36+Цени!M8*Цени!$M$36+Цени!N8*Цени!$N$36+Цени!O8*Цени!$O$36+Цени!P8*Цени!$P$36</f>
        <v>0</v>
      </c>
      <c r="AB9" s="368">
        <f>+Цени!S8</f>
        <v>0</v>
      </c>
      <c r="AC9" s="368">
        <f>+AB9*Цени!$S$36</f>
        <v>0</v>
      </c>
      <c r="AD9" s="368">
        <f>+'Борса и балансиране'!C9</f>
        <v>1500</v>
      </c>
      <c r="AE9" s="368">
        <f>+'Борса и балансиране'!E9</f>
        <v>134400</v>
      </c>
      <c r="AF9" s="368">
        <f>+'Борса и балансиране'!K9*-1</f>
        <v>5.0000000001091394E-3</v>
      </c>
      <c r="AG9" s="368">
        <f>+'Борса и балансиране'!O9*-1</f>
        <v>0.49</v>
      </c>
      <c r="AH9" s="368">
        <f t="shared" si="16"/>
        <v>6360.1080000000002</v>
      </c>
      <c r="AI9" s="371">
        <f t="shared" si="17"/>
        <v>503342.28635000001</v>
      </c>
      <c r="AJ9" s="372"/>
      <c r="AK9" s="314">
        <f t="shared" si="36"/>
        <v>45632</v>
      </c>
      <c r="AL9" s="373">
        <f t="shared" ref="AL9" si="43">+AI9</f>
        <v>503342.28635000001</v>
      </c>
      <c r="AM9" s="373">
        <f t="shared" si="2"/>
        <v>544885.65691999998</v>
      </c>
      <c r="AN9" s="374">
        <f t="shared" si="3"/>
        <v>41543.37056999997</v>
      </c>
      <c r="AO9" s="370">
        <f>+Плевен!S9+(Общо!C9+Общо!D9+Общо!E9+Общо!F9+Общо!G9+Общо!S9+Общо!L9+Общо!Y9+Общо!I9+Общо!T9)*Цени!$L$58</f>
        <v>5060.9966340000001</v>
      </c>
      <c r="AP9" s="370">
        <v>10186.510272399993</v>
      </c>
      <c r="AQ9" s="371">
        <f>+Общо!AN9</f>
        <v>3890.9</v>
      </c>
      <c r="AR9" s="375">
        <f>+(Цени!$D$36-Цени!$Z$1)*Цени!D8</f>
        <v>-129643.13297940894</v>
      </c>
      <c r="AS9" s="376">
        <f t="shared" si="19"/>
        <v>-97116.176047808956</v>
      </c>
      <c r="AU9" s="314">
        <f t="shared" si="37"/>
        <v>45632</v>
      </c>
      <c r="AV9" s="378">
        <f t="shared" si="4"/>
        <v>75.89</v>
      </c>
      <c r="AW9" s="378">
        <f t="shared" si="5"/>
        <v>87.110171149056072</v>
      </c>
      <c r="AX9" s="378">
        <f t="shared" si="6"/>
        <v>0</v>
      </c>
      <c r="AY9" s="378">
        <f t="shared" si="7"/>
        <v>0</v>
      </c>
      <c r="AZ9" s="379">
        <f t="shared" si="8"/>
        <v>0</v>
      </c>
      <c r="BB9" s="380">
        <f t="shared" si="20"/>
        <v>83.37</v>
      </c>
      <c r="BC9" s="381">
        <f t="shared" si="21"/>
        <v>0</v>
      </c>
      <c r="BD9" s="381">
        <f t="shared" si="22"/>
        <v>75.89</v>
      </c>
      <c r="BE9" s="381">
        <f t="shared" si="23"/>
        <v>0</v>
      </c>
      <c r="BF9" s="381">
        <f t="shared" si="24"/>
        <v>0</v>
      </c>
      <c r="BG9" s="378">
        <f t="shared" si="25"/>
        <v>89.6</v>
      </c>
      <c r="BH9" s="378">
        <f>+'Борса и балансиране'!M9</f>
        <v>98.288579999999996</v>
      </c>
      <c r="BI9" s="379">
        <f t="shared" si="26"/>
        <v>0</v>
      </c>
      <c r="BK9" s="382">
        <f>+Общо!AT9</f>
        <v>75.89</v>
      </c>
      <c r="BL9" s="383">
        <f t="shared" si="27"/>
        <v>79.140525027247961</v>
      </c>
      <c r="BM9" s="384">
        <f>+Общо!AV9</f>
        <v>91.337260999999998</v>
      </c>
      <c r="BN9" s="385">
        <f t="shared" si="28"/>
        <v>-12.196735972752037</v>
      </c>
      <c r="BP9" s="382">
        <f t="shared" si="29"/>
        <v>79.140525027247961</v>
      </c>
      <c r="BQ9" s="386">
        <f t="shared" si="30"/>
        <v>85.672390613492723</v>
      </c>
      <c r="BR9" s="385">
        <f t="shared" si="31"/>
        <v>6.5318655862447628</v>
      </c>
      <c r="BT9" s="314">
        <f t="shared" si="38"/>
        <v>45632</v>
      </c>
      <c r="BU9" s="388">
        <f>+Общо!BE9</f>
        <v>474926.98500000063</v>
      </c>
      <c r="BV9" s="383">
        <f>+Общо!BF9</f>
        <v>102.64488707135152</v>
      </c>
      <c r="BW9" s="389">
        <f>+Общо!BG9</f>
        <v>48748826.742462523</v>
      </c>
      <c r="BY9" s="265">
        <f t="shared" si="39"/>
        <v>45632</v>
      </c>
      <c r="BZ9" s="390">
        <f>+Общо!BJ9</f>
        <v>9359727.9399999995</v>
      </c>
      <c r="CA9" s="390">
        <f>+Общо!BK9</f>
        <v>2753236.08</v>
      </c>
      <c r="CB9" s="390">
        <f>+Общо!BL9</f>
        <v>1965909.42</v>
      </c>
      <c r="CC9" s="390">
        <f>+Общо!BM9</f>
        <v>1014254.12</v>
      </c>
      <c r="CD9" s="390">
        <f>+Общо!BN9</f>
        <v>2184342</v>
      </c>
      <c r="CE9" s="390">
        <f>+Общо!BO9</f>
        <v>2295842.69</v>
      </c>
      <c r="CF9" s="390">
        <f>+Общо!BP9</f>
        <v>172816</v>
      </c>
      <c r="CG9" s="390">
        <f>+Общо!BQ9</f>
        <v>0</v>
      </c>
      <c r="CH9" s="391">
        <f>SUM(BZ9:CG9)</f>
        <v>19746128.25</v>
      </c>
      <c r="CJ9" s="265">
        <f t="shared" si="40"/>
        <v>45632</v>
      </c>
      <c r="CK9" s="392">
        <f>+Общо!BU9</f>
        <v>2597045.7600000016</v>
      </c>
      <c r="CL9" s="392">
        <f>+Общо!BV9</f>
        <v>2132214.83</v>
      </c>
      <c r="CM9" s="392">
        <f>+Общо!BW9</f>
        <v>188448.84999999963</v>
      </c>
      <c r="CN9" s="392">
        <f>+Общо!BX9</f>
        <v>391852.94000000006</v>
      </c>
      <c r="CO9" s="392">
        <f>+Общо!BY9</f>
        <v>25079241.090000004</v>
      </c>
      <c r="CP9" s="392">
        <f>+Общо!BZ9</f>
        <v>0</v>
      </c>
      <c r="CQ9" s="392">
        <f>+Общо!CA9</f>
        <v>0</v>
      </c>
      <c r="CR9" s="392">
        <f>+Общо!CB9</f>
        <v>3567553.1529600001</v>
      </c>
      <c r="CS9" s="391">
        <f t="shared" si="13"/>
        <v>33956356.622960009</v>
      </c>
      <c r="CU9" s="265">
        <f t="shared" si="41"/>
        <v>45632</v>
      </c>
      <c r="CV9" s="393">
        <f>+Общо!CF9</f>
        <v>11956773.700000001</v>
      </c>
      <c r="CW9" s="393">
        <f>+Общо!CG9</f>
        <v>4885450.91</v>
      </c>
      <c r="CX9" s="393">
        <f>+Общо!CH9</f>
        <v>2154358.2699999996</v>
      </c>
      <c r="CY9" s="393">
        <f>+Общо!CI9</f>
        <v>1406107.06</v>
      </c>
      <c r="CZ9" s="393">
        <f>+Общо!CJ9</f>
        <v>27263583.090000004</v>
      </c>
      <c r="DA9" s="393">
        <f>+Общо!CK9</f>
        <v>2295842.69</v>
      </c>
      <c r="DB9" s="393">
        <f>+Общо!CL9</f>
        <v>172816</v>
      </c>
      <c r="DC9" s="393">
        <f>+Общо!CM9</f>
        <v>3567553.1529600001</v>
      </c>
      <c r="DD9" s="394">
        <f t="shared" si="33"/>
        <v>53702484.872960001</v>
      </c>
      <c r="DF9" s="435">
        <v>45413</v>
      </c>
      <c r="DG9" s="436">
        <f>+'баланс 2024'!P9</f>
        <v>31</v>
      </c>
      <c r="DH9" s="437">
        <f>+'баланс 2024'!Q9</f>
        <v>0</v>
      </c>
      <c r="DI9" s="438">
        <f>+'баланс 2024'!R9</f>
        <v>0</v>
      </c>
      <c r="DJ9" s="439">
        <f>+'баланс 2024'!S9</f>
        <v>0</v>
      </c>
      <c r="DK9" s="436">
        <f>+'баланс 2024'!T9</f>
        <v>0</v>
      </c>
      <c r="DL9" s="440">
        <f>+'баланс 2024'!U9</f>
        <v>0</v>
      </c>
      <c r="DM9" s="438">
        <f>+'баланс 2024'!V9</f>
        <v>0</v>
      </c>
    </row>
    <row r="10" spans="2:117" x14ac:dyDescent="0.25">
      <c r="B10" s="47">
        <f t="shared" si="34"/>
        <v>45633</v>
      </c>
      <c r="C10" s="365">
        <f>+Общо!C10+Общо!D10+Общо!E10+Общо!F10+Общо!L10+Общо!Y10+Общо!G10+Общо!S10</f>
        <v>386.91999999999996</v>
      </c>
      <c r="D10" s="366">
        <f>+(Общо!C10+Общо!D10+Общо!E10+Общо!F10+Общо!G10+Общо!L10)*Цени!$T$42+Общо!Y10*Цени!$T$42+Общо!S10*Цени!$T$44</f>
        <v>29363.358800000002</v>
      </c>
      <c r="E10" s="366">
        <f>+Перник!T21</f>
        <v>0</v>
      </c>
      <c r="F10" s="367">
        <f>+Общо!H10+Общо!I10+Общо!J10+Общо!K10+Общо!M10+Общо!N10+Общо!O10+Общо!P10+Общо!Q10+Общо!R10+Общо!T10+Общо!U10+Общо!V10+Общо!W10</f>
        <v>4522.1080000000002</v>
      </c>
      <c r="G10" s="368">
        <f>+Общо!H10*Цени!$T$46+Общо!I10*Цени!$T$45+Общо!J10*Цени!$T$46+Общо!K10*Цени!$T$46+Общо!M10*Цени!$T$46+Общо!N10*Цени!$T$46+Общо!O10*Цени!$T$46+Общо!P10*Цени!$T$46+Общо!Q10*Цени!$T$46+Общо!R10*Цени!$T$47+Общо!T10*Цени!$T$45+Общо!V10*'PPC Гърция'!E10+Общо!U10*HERON!E10+'МЕТ ВИТОЛ ДХТ'!F10+'МЕТ ВИТОЛ ДХТ'!L10+'МЕТ ВИТОЛ ДХТ'!R10+'МЕТ ВИТОЛ ДХТ'!X10+'МЕТ ВИТОЛ ДХТ'!AD10+'МЕТ ВИТОЛ ДХТ'!AJ10+'МЕТ ВИТОЛ ДХТ'!AP10+'МЕТ ВИТОЛ ДХТ'!AV10</f>
        <v>386682.45712000004</v>
      </c>
      <c r="H10" s="368">
        <f>+'Борса и балансиране'!F10</f>
        <v>0</v>
      </c>
      <c r="I10" s="368">
        <f>+'Борса и балансиране'!H10</f>
        <v>0</v>
      </c>
      <c r="J10" s="368">
        <f>+'Борса и балансиране'!J10</f>
        <v>1.0749999999998181</v>
      </c>
      <c r="K10" s="368">
        <f>+'Борса и балансиране'!N10</f>
        <v>82.64</v>
      </c>
      <c r="L10" s="368">
        <f>+Цени!Y9</f>
        <v>0</v>
      </c>
      <c r="M10" s="368">
        <f>+Цени!AA9</f>
        <v>0</v>
      </c>
      <c r="N10" s="369">
        <f t="shared" si="14"/>
        <v>4910.1030000000001</v>
      </c>
      <c r="O10" s="370">
        <f t="shared" si="15"/>
        <v>416128.45592000004</v>
      </c>
      <c r="Q10" s="47">
        <f t="shared" si="35"/>
        <v>45633</v>
      </c>
      <c r="R10" s="368">
        <f>+Цени!R9</f>
        <v>0</v>
      </c>
      <c r="S10" s="368">
        <f>+R10*Цени!$R$36</f>
        <v>0</v>
      </c>
      <c r="T10" s="368">
        <f>+Цени!D9</f>
        <v>4345.5870000000004</v>
      </c>
      <c r="U10" s="368">
        <f>+Цени!D9*Цени!$D$36</f>
        <v>329786.59743000002</v>
      </c>
      <c r="V10" s="368">
        <f>+Цени!Q9</f>
        <v>0</v>
      </c>
      <c r="W10" s="368">
        <f>+V10*Цени!$Q$36</f>
        <v>0</v>
      </c>
      <c r="X10" s="368">
        <f>+Цени!C9</f>
        <v>14.516</v>
      </c>
      <c r="Y10" s="368">
        <f>+Цени!C9*Цени!$C$36</f>
        <v>1210.19892</v>
      </c>
      <c r="Z10" s="368">
        <f>+Цени!L9+Цени!M9+Цени!N9+Цени!O9+Цени!P9</f>
        <v>0</v>
      </c>
      <c r="AA10" s="368">
        <f>+Цени!L9*Цени!$L$36+Цени!M9*Цени!$M$36+Цени!N9*Цени!$N$36+Цени!O9*Цени!$O$36+Цени!P9*Цени!$P$36</f>
        <v>0</v>
      </c>
      <c r="AB10" s="368">
        <f>+Цени!S9</f>
        <v>0</v>
      </c>
      <c r="AC10" s="368">
        <f>+AB10*Цени!$S$36</f>
        <v>0</v>
      </c>
      <c r="AD10" s="368">
        <f>+'Борса и балансиране'!C10</f>
        <v>550</v>
      </c>
      <c r="AE10" s="368">
        <f>+'Борса и балансиране'!E10</f>
        <v>44250</v>
      </c>
      <c r="AF10" s="368">
        <f>+'Борса и балансиране'!K10*-1</f>
        <v>0</v>
      </c>
      <c r="AG10" s="368">
        <f>+'Борса и балансиране'!O10*-1</f>
        <v>0</v>
      </c>
      <c r="AH10" s="368">
        <f t="shared" si="16"/>
        <v>4910.1030000000001</v>
      </c>
      <c r="AI10" s="371">
        <f t="shared" si="17"/>
        <v>375246.79635000002</v>
      </c>
      <c r="AJ10" s="372"/>
      <c r="AK10" s="314">
        <f t="shared" si="36"/>
        <v>45633</v>
      </c>
      <c r="AL10" s="373">
        <f t="shared" ref="AL10:AL29" si="44">+AI10</f>
        <v>375246.79635000002</v>
      </c>
      <c r="AM10" s="373">
        <f t="shared" si="2"/>
        <v>416128.45592000004</v>
      </c>
      <c r="AN10" s="374">
        <f t="shared" si="3"/>
        <v>40881.659570000018</v>
      </c>
      <c r="AO10" s="370">
        <f>+Плевен!S10+(Общо!C10+Общо!D10+Общо!E10+Общо!F10+Общо!G10+Общо!S10+Общо!L10+Общо!Y10+Общо!I10+Общо!T10)*Цени!$L$58</f>
        <v>2681.0249130000002</v>
      </c>
      <c r="AP10" s="370">
        <v>10186.510272399993</v>
      </c>
      <c r="AQ10" s="371">
        <f>+Общо!AN10</f>
        <v>3890.9</v>
      </c>
      <c r="AR10" s="375">
        <f>+(Цени!$D$36-Цени!$Z$1)*Цени!D9</f>
        <v>-116265.68944373318</v>
      </c>
      <c r="AS10" s="376">
        <f t="shared" si="19"/>
        <v>-86780.415233133142</v>
      </c>
      <c r="AU10" s="314">
        <f t="shared" si="37"/>
        <v>45633</v>
      </c>
      <c r="AV10" s="378">
        <f t="shared" si="4"/>
        <v>75.890000000000015</v>
      </c>
      <c r="AW10" s="378">
        <f t="shared" si="5"/>
        <v>85.509337043697329</v>
      </c>
      <c r="AX10" s="378">
        <f t="shared" si="6"/>
        <v>0</v>
      </c>
      <c r="AY10" s="378">
        <f t="shared" si="7"/>
        <v>76.874418604664172</v>
      </c>
      <c r="AZ10" s="379">
        <f t="shared" si="8"/>
        <v>0</v>
      </c>
      <c r="BB10" s="380">
        <f t="shared" si="20"/>
        <v>83.37</v>
      </c>
      <c r="BC10" s="381">
        <f t="shared" si="21"/>
        <v>0</v>
      </c>
      <c r="BD10" s="381">
        <f t="shared" si="22"/>
        <v>75.89</v>
      </c>
      <c r="BE10" s="381">
        <f t="shared" si="23"/>
        <v>0</v>
      </c>
      <c r="BF10" s="381">
        <f t="shared" si="24"/>
        <v>0</v>
      </c>
      <c r="BG10" s="378">
        <f t="shared" si="25"/>
        <v>80.454545454545453</v>
      </c>
      <c r="BH10" s="378">
        <f>+'Борса и балансиране'!M10</f>
        <v>0</v>
      </c>
      <c r="BI10" s="379">
        <f t="shared" si="26"/>
        <v>0</v>
      </c>
      <c r="BK10" s="382">
        <f>+Общо!AT10</f>
        <v>75.89</v>
      </c>
      <c r="BL10" s="383">
        <f t="shared" si="27"/>
        <v>76.423406260520409</v>
      </c>
      <c r="BM10" s="384">
        <f>+Общо!AV10</f>
        <v>92.315176000000008</v>
      </c>
      <c r="BN10" s="385">
        <f t="shared" si="28"/>
        <v>-15.891769739479599</v>
      </c>
      <c r="BP10" s="382">
        <f t="shared" si="29"/>
        <v>76.423406260520409</v>
      </c>
      <c r="BQ10" s="386">
        <f t="shared" si="30"/>
        <v>84.749435178854711</v>
      </c>
      <c r="BR10" s="385">
        <f t="shared" si="31"/>
        <v>8.3260289183343019</v>
      </c>
      <c r="BT10" s="314">
        <f t="shared" si="38"/>
        <v>45633</v>
      </c>
      <c r="BU10" s="388">
        <f>+Общо!BE10</f>
        <v>470581.39800000063</v>
      </c>
      <c r="BV10" s="383">
        <f>+Общо!BF10</f>
        <v>102.64488707135152</v>
      </c>
      <c r="BW10" s="389">
        <f>+Общо!BG10</f>
        <v>48302774.455588788</v>
      </c>
      <c r="BY10" s="265">
        <f t="shared" si="39"/>
        <v>45633</v>
      </c>
      <c r="BZ10" s="390">
        <f>+Общо!BJ10</f>
        <v>9359727.9399999995</v>
      </c>
      <c r="CA10" s="390">
        <f>+Общо!BK10</f>
        <v>2753236.08</v>
      </c>
      <c r="CB10" s="390">
        <f>+Общо!BL10</f>
        <v>1965909.42</v>
      </c>
      <c r="CC10" s="390">
        <f>+Общо!BM10</f>
        <v>1014254.12</v>
      </c>
      <c r="CD10" s="390">
        <f>+Общо!BN10</f>
        <v>2184342</v>
      </c>
      <c r="CE10" s="390">
        <f>+Общо!BO10</f>
        <v>2295842.69</v>
      </c>
      <c r="CF10" s="390">
        <f>+Общо!BP10</f>
        <v>172816</v>
      </c>
      <c r="CG10" s="390">
        <f>+Общо!BQ10</f>
        <v>0</v>
      </c>
      <c r="CH10" s="391">
        <f>SUM(BZ10:CG10)</f>
        <v>19746128.25</v>
      </c>
      <c r="CJ10" s="265">
        <f t="shared" si="40"/>
        <v>45633</v>
      </c>
      <c r="CK10" s="392">
        <f>+Общо!BU10</f>
        <v>2597045.7600000016</v>
      </c>
      <c r="CL10" s="392">
        <f>+Общо!BV10</f>
        <v>2132214.83</v>
      </c>
      <c r="CM10" s="392">
        <f>+Общо!BW10</f>
        <v>188448.84999999963</v>
      </c>
      <c r="CN10" s="392">
        <f>+Общо!BX10</f>
        <v>391852.94000000006</v>
      </c>
      <c r="CO10" s="392">
        <f>+Общо!BY10</f>
        <v>25079241.090000004</v>
      </c>
      <c r="CP10" s="392">
        <f>+Общо!BZ10</f>
        <v>0</v>
      </c>
      <c r="CQ10" s="392">
        <f>+Общо!CA10</f>
        <v>0</v>
      </c>
      <c r="CR10" s="392">
        <f>+Общо!CB10</f>
        <v>3567553.1529600001</v>
      </c>
      <c r="CS10" s="391">
        <f t="shared" si="13"/>
        <v>33956356.622960009</v>
      </c>
      <c r="CU10" s="265">
        <f t="shared" si="41"/>
        <v>45633</v>
      </c>
      <c r="CV10" s="393">
        <f>+Общо!CF10</f>
        <v>11956773.700000001</v>
      </c>
      <c r="CW10" s="393">
        <f>+Общо!CG10</f>
        <v>4885450.91</v>
      </c>
      <c r="CX10" s="393">
        <f>+Общо!CH10</f>
        <v>2154358.2699999996</v>
      </c>
      <c r="CY10" s="393">
        <f>+Общо!CI10</f>
        <v>1406107.06</v>
      </c>
      <c r="CZ10" s="393">
        <f>+Общо!CJ10</f>
        <v>27263583.090000004</v>
      </c>
      <c r="DA10" s="393">
        <f>+Общо!CK10</f>
        <v>2295842.69</v>
      </c>
      <c r="DB10" s="393">
        <f>+Общо!CL10</f>
        <v>172816</v>
      </c>
      <c r="DC10" s="393">
        <f>+Общо!CM10</f>
        <v>3567553.1529600001</v>
      </c>
      <c r="DD10" s="394">
        <f t="shared" si="33"/>
        <v>53702484.872960001</v>
      </c>
      <c r="DF10" s="435">
        <v>45444</v>
      </c>
      <c r="DG10" s="436">
        <f>+'баланс 2024'!P10</f>
        <v>30</v>
      </c>
      <c r="DH10" s="437">
        <f>+'баланс 2024'!Q10</f>
        <v>0</v>
      </c>
      <c r="DI10" s="438">
        <f>+'баланс 2024'!R10</f>
        <v>0</v>
      </c>
      <c r="DJ10" s="439">
        <f>+'баланс 2024'!S10</f>
        <v>0</v>
      </c>
      <c r="DK10" s="436">
        <f>+'баланс 2024'!T10</f>
        <v>0</v>
      </c>
      <c r="DL10" s="440">
        <f>+'баланс 2024'!U10</f>
        <v>0</v>
      </c>
      <c r="DM10" s="438">
        <f>+'баланс 2024'!V10</f>
        <v>0</v>
      </c>
    </row>
    <row r="11" spans="2:117" x14ac:dyDescent="0.25">
      <c r="B11" s="47">
        <f t="shared" si="34"/>
        <v>45634</v>
      </c>
      <c r="C11" s="365">
        <f>+Общо!C11+Общо!D11+Общо!E11+Общо!F11+Общо!L11+Общо!Y11+Общо!G11+Общо!S11</f>
        <v>430.89</v>
      </c>
      <c r="D11" s="366">
        <f>+(Общо!C11+Общо!D11+Общо!E11+Общо!F11+Общо!G11+Общо!L11)*Цени!$T$42+Общо!Y11*Цени!$T$42+Общо!S11*Цени!$T$44</f>
        <v>35003.980299999996</v>
      </c>
      <c r="E11" s="366">
        <f>+Перник!T22</f>
        <v>0</v>
      </c>
      <c r="F11" s="367">
        <f>+Общо!H11+Общо!I11+Общо!J11+Общо!K11+Общо!M11+Общо!N11+Общо!O11+Общо!P11+Общо!Q11+Общо!R11+Общо!T11+Общо!U11+Общо!V11+Общо!W11</f>
        <v>4516.2129999999997</v>
      </c>
      <c r="G11" s="368">
        <f>+Общо!H11*Цени!$T$46+Общо!I11*Цени!$T$45+Общо!J11*Цени!$T$46+Общо!K11*Цени!$T$46+Общо!M11*Цени!$T$46+Общо!N11*Цени!$T$46+Общо!O11*Цени!$T$46+Общо!P11*Цени!$T$46+Общо!Q11*Цени!$T$46+Общо!R11*Цени!$T$47+Общо!T11*Цени!$T$45+Общо!V11*'PPC Гърция'!E11+Общо!U11*HERON!E11+'МЕТ ВИТОЛ ДХТ'!F11+'МЕТ ВИТОЛ ДХТ'!L11+'МЕТ ВИТОЛ ДХТ'!R11+'МЕТ ВИТОЛ ДХТ'!X11+'МЕТ ВИТОЛ ДХТ'!AD11+'МЕТ ВИТОЛ ДХТ'!AJ11+'МЕТ ВИТОЛ ДХТ'!AP11+'МЕТ ВИТОЛ ДХТ'!AV11</f>
        <v>386186.05137</v>
      </c>
      <c r="H11" s="368">
        <f>+'Борса и балансиране'!F11</f>
        <v>0</v>
      </c>
      <c r="I11" s="368">
        <f>+'Борса и балансиране'!H11</f>
        <v>0</v>
      </c>
      <c r="J11" s="368">
        <f>+'Борса и балансиране'!J11</f>
        <v>0</v>
      </c>
      <c r="K11" s="368">
        <f>+'Борса и балансиране'!N11</f>
        <v>0</v>
      </c>
      <c r="L11" s="368">
        <f>+Цени!Y10</f>
        <v>0</v>
      </c>
      <c r="M11" s="368">
        <f>+Цени!AA10</f>
        <v>0</v>
      </c>
      <c r="N11" s="369">
        <f t="shared" si="14"/>
        <v>4947.1030000000001</v>
      </c>
      <c r="O11" s="370">
        <f t="shared" si="15"/>
        <v>421190.03167</v>
      </c>
      <c r="Q11" s="47">
        <f t="shared" si="35"/>
        <v>45634</v>
      </c>
      <c r="R11" s="368">
        <f>+Цени!R10</f>
        <v>0</v>
      </c>
      <c r="S11" s="368">
        <f>+R11*Цени!$R$36</f>
        <v>0</v>
      </c>
      <c r="T11" s="368">
        <f>+Цени!D10</f>
        <v>4345.5870000000004</v>
      </c>
      <c r="U11" s="368">
        <f>+Цени!D10*Цени!$D$36</f>
        <v>329786.59743000002</v>
      </c>
      <c r="V11" s="368">
        <f>+Цени!Q10</f>
        <v>0</v>
      </c>
      <c r="W11" s="368">
        <f>+V11*Цени!$Q$36</f>
        <v>0</v>
      </c>
      <c r="X11" s="368">
        <f>+Цени!C10</f>
        <v>14.516</v>
      </c>
      <c r="Y11" s="368">
        <f>+Цени!C10*Цени!$C$36</f>
        <v>1210.19892</v>
      </c>
      <c r="Z11" s="368">
        <f>+Цени!L10+Цени!M10+Цени!N10+Цени!O10+Цени!P10</f>
        <v>0</v>
      </c>
      <c r="AA11" s="368">
        <f>+Цени!L10*Цени!$L$36+Цени!M10*Цени!$M$36+Цени!N10*Цени!$N$36+Цени!O10*Цени!$O$36+Цени!P10*Цени!$P$36</f>
        <v>0</v>
      </c>
      <c r="AB11" s="368">
        <f>+Цени!S10</f>
        <v>0</v>
      </c>
      <c r="AC11" s="368">
        <f>+AB11*Цени!$S$36</f>
        <v>0</v>
      </c>
      <c r="AD11" s="368">
        <f>+'Борса и балансиране'!C11</f>
        <v>587</v>
      </c>
      <c r="AE11" s="368">
        <f>+'Борса и балансиране'!E11</f>
        <v>47610</v>
      </c>
      <c r="AF11" s="368">
        <f>+'Борса и балансиране'!K11*-1</f>
        <v>0</v>
      </c>
      <c r="AG11" s="368">
        <f>+'Борса и балансиране'!O11*-1</f>
        <v>0</v>
      </c>
      <c r="AH11" s="368">
        <f t="shared" si="16"/>
        <v>4947.1030000000001</v>
      </c>
      <c r="AI11" s="371">
        <f t="shared" si="17"/>
        <v>378606.79635000002</v>
      </c>
      <c r="AJ11" s="372"/>
      <c r="AK11" s="314">
        <f t="shared" si="36"/>
        <v>45634</v>
      </c>
      <c r="AL11" s="373">
        <f t="shared" si="44"/>
        <v>378606.79635000002</v>
      </c>
      <c r="AM11" s="373">
        <f t="shared" si="2"/>
        <v>421190.03167</v>
      </c>
      <c r="AN11" s="374">
        <f t="shared" si="3"/>
        <v>42583.235319999978</v>
      </c>
      <c r="AO11" s="370">
        <f>+Плевен!S11+(Общо!C11+Общо!D11+Общо!E11+Общо!F11+Общо!G11+Общо!S11+Общо!L11+Общо!Y11+Общо!I11+Общо!T11)*Цени!$L$58</f>
        <v>2883.0023414999996</v>
      </c>
      <c r="AP11" s="370">
        <v>10186.510272399993</v>
      </c>
      <c r="AQ11" s="371">
        <f>+Общо!AN11</f>
        <v>3890.9</v>
      </c>
      <c r="AR11" s="375">
        <f>+(Цени!$D$36-Цени!$Z$1)*Цени!D10</f>
        <v>-116265.68944373318</v>
      </c>
      <c r="AS11" s="376">
        <f t="shared" si="19"/>
        <v>-84876.86205463318</v>
      </c>
      <c r="AU11" s="314">
        <f t="shared" si="37"/>
        <v>45634</v>
      </c>
      <c r="AV11" s="378">
        <f t="shared" si="4"/>
        <v>81.236464758987211</v>
      </c>
      <c r="AW11" s="378">
        <f t="shared" si="5"/>
        <v>85.511035766027874</v>
      </c>
      <c r="AX11" s="378">
        <f t="shared" si="6"/>
        <v>0</v>
      </c>
      <c r="AY11" s="378">
        <f t="shared" si="7"/>
        <v>0</v>
      </c>
      <c r="AZ11" s="379">
        <f t="shared" si="8"/>
        <v>0</v>
      </c>
      <c r="BB11" s="380">
        <f t="shared" si="20"/>
        <v>83.37</v>
      </c>
      <c r="BC11" s="381">
        <f t="shared" si="21"/>
        <v>0</v>
      </c>
      <c r="BD11" s="381">
        <f t="shared" si="22"/>
        <v>75.89</v>
      </c>
      <c r="BE11" s="381">
        <f t="shared" si="23"/>
        <v>0</v>
      </c>
      <c r="BF11" s="381">
        <f t="shared" si="24"/>
        <v>0</v>
      </c>
      <c r="BG11" s="378">
        <f t="shared" si="25"/>
        <v>81.107325383304939</v>
      </c>
      <c r="BH11" s="378">
        <f>+'Борса и балансиране'!M11</f>
        <v>0</v>
      </c>
      <c r="BI11" s="379">
        <f t="shared" si="26"/>
        <v>0</v>
      </c>
      <c r="BK11" s="382">
        <f>+Общо!AT11</f>
        <v>75.89</v>
      </c>
      <c r="BL11" s="383">
        <f t="shared" si="27"/>
        <v>76.531011452561231</v>
      </c>
      <c r="BM11" s="384">
        <f>+Общо!AV11</f>
        <v>89.968180000000004</v>
      </c>
      <c r="BN11" s="385">
        <f t="shared" si="28"/>
        <v>-13.437168547438773</v>
      </c>
      <c r="BP11" s="382">
        <f t="shared" si="29"/>
        <v>76.531011452561231</v>
      </c>
      <c r="BQ11" s="386">
        <f t="shared" si="30"/>
        <v>85.138722939465779</v>
      </c>
      <c r="BR11" s="385">
        <f t="shared" si="31"/>
        <v>8.6077114869045488</v>
      </c>
      <c r="BT11" s="314">
        <f t="shared" si="38"/>
        <v>45634</v>
      </c>
      <c r="BU11" s="388">
        <f>+Общо!BE11</f>
        <v>466235.81100000063</v>
      </c>
      <c r="BV11" s="383">
        <f>+Общо!BF11</f>
        <v>102.64488707135152</v>
      </c>
      <c r="BW11" s="389">
        <f>+Общо!BG11</f>
        <v>47856722.168715052</v>
      </c>
      <c r="BY11" s="265">
        <f t="shared" si="39"/>
        <v>45634</v>
      </c>
      <c r="BZ11" s="390">
        <f>+Общо!BJ11</f>
        <v>9359727.9399999995</v>
      </c>
      <c r="CA11" s="390">
        <f>+Общо!BK11</f>
        <v>2753236.08</v>
      </c>
      <c r="CB11" s="390">
        <f>+Общо!BL11</f>
        <v>1965909.42</v>
      </c>
      <c r="CC11" s="390">
        <f>+Общо!BM11</f>
        <v>1014254.12</v>
      </c>
      <c r="CD11" s="390">
        <f>+Общо!BN11</f>
        <v>2567115.04</v>
      </c>
      <c r="CE11" s="390">
        <f>+Общо!BO11</f>
        <v>2295842.69</v>
      </c>
      <c r="CF11" s="390">
        <f>+Общо!BP11</f>
        <v>312626.3899999999</v>
      </c>
      <c r="CG11" s="390">
        <f>+Общо!BQ11</f>
        <v>0</v>
      </c>
      <c r="CH11" s="391">
        <f t="shared" si="42"/>
        <v>20268711.68</v>
      </c>
      <c r="CJ11" s="265">
        <f t="shared" si="40"/>
        <v>45634</v>
      </c>
      <c r="CK11" s="392">
        <f>+Общо!BU11</f>
        <v>2597045.7600000016</v>
      </c>
      <c r="CL11" s="392">
        <f>+Общо!BV11</f>
        <v>2132214.83</v>
      </c>
      <c r="CM11" s="392">
        <f>+Общо!BW11</f>
        <v>196792.96999999974</v>
      </c>
      <c r="CN11" s="392">
        <f>+Общо!BX11</f>
        <v>391852.94000000006</v>
      </c>
      <c r="CO11" s="392">
        <f>+Общо!BY11</f>
        <v>27263583.090000004</v>
      </c>
      <c r="CP11" s="392">
        <f>+Общо!BZ11</f>
        <v>0</v>
      </c>
      <c r="CQ11" s="392">
        <f>+Общо!CA11</f>
        <v>0</v>
      </c>
      <c r="CR11" s="392">
        <f>+Общо!CB11</f>
        <v>3567553.1529600001</v>
      </c>
      <c r="CS11" s="391">
        <f t="shared" si="13"/>
        <v>36149042.742960006</v>
      </c>
      <c r="CU11" s="265">
        <f t="shared" si="41"/>
        <v>45634</v>
      </c>
      <c r="CV11" s="393">
        <f>+Общо!CF11</f>
        <v>11956773.700000001</v>
      </c>
      <c r="CW11" s="393">
        <f>+Общо!CG11</f>
        <v>4885450.91</v>
      </c>
      <c r="CX11" s="393">
        <f>+Общо!CH11</f>
        <v>2162702.3899999997</v>
      </c>
      <c r="CY11" s="393">
        <f>+Общо!CI11</f>
        <v>1406107.06</v>
      </c>
      <c r="CZ11" s="393">
        <f>+Общо!CJ11</f>
        <v>29830698.130000003</v>
      </c>
      <c r="DA11" s="393">
        <f>+Общо!CK11</f>
        <v>2295842.69</v>
      </c>
      <c r="DB11" s="393">
        <f>+Общо!CL11</f>
        <v>312626.3899999999</v>
      </c>
      <c r="DC11" s="393">
        <f>+Общо!CM11</f>
        <v>3567553.1529600001</v>
      </c>
      <c r="DD11" s="394">
        <f t="shared" si="33"/>
        <v>56417754.422959998</v>
      </c>
      <c r="DF11" s="435">
        <v>45474</v>
      </c>
      <c r="DG11" s="436">
        <f>+'баланс 2024'!P11</f>
        <v>31</v>
      </c>
      <c r="DH11" s="437">
        <f>+'баланс 2024'!Q11</f>
        <v>0</v>
      </c>
      <c r="DI11" s="438">
        <f>+'баланс 2024'!R11</f>
        <v>0</v>
      </c>
      <c r="DJ11" s="439">
        <f>+'баланс 2024'!S11</f>
        <v>0</v>
      </c>
      <c r="DK11" s="436">
        <f>+'баланс 2024'!T11</f>
        <v>0</v>
      </c>
      <c r="DL11" s="440">
        <f>+'баланс 2024'!U11</f>
        <v>0</v>
      </c>
      <c r="DM11" s="438">
        <f>+'баланс 2024'!V11</f>
        <v>0</v>
      </c>
    </row>
    <row r="12" spans="2:117" x14ac:dyDescent="0.25">
      <c r="B12" s="47">
        <f t="shared" si="34"/>
        <v>45635</v>
      </c>
      <c r="C12" s="365">
        <f>+Общо!C12+Общо!D12+Общо!E12+Общо!F12+Общо!L12+Общо!Y12+Общо!G12+Общо!S12</f>
        <v>266.13499999999999</v>
      </c>
      <c r="D12" s="366">
        <f>+(Общо!C12+Общо!D12+Общо!E12+Общо!F12+Общо!G12+Общо!L12)*Цени!$T$42+Общо!Y12*Цени!$T$42+Общо!S12*Цени!$T$44</f>
        <v>20196.98515</v>
      </c>
      <c r="E12" s="366">
        <f>+Перник!T23</f>
        <v>0</v>
      </c>
      <c r="F12" s="367">
        <f>+Общо!H12+Общо!I12+Общо!J12+Общо!K12+Общо!M12+Общо!N12+Общо!O12+Общо!P12+Общо!Q12+Общо!R12+Общо!T12+Общо!U12+Общо!V12+Общо!W12</f>
        <v>5593.9679999999998</v>
      </c>
      <c r="G12" s="368">
        <f>+Общо!H12*Цени!$T$46+Общо!I12*Цени!$T$45+Общо!J12*Цени!$T$46+Общо!K12*Цени!$T$46+Общо!M12*Цени!$T$46+Общо!N12*Цени!$T$46+Общо!O12*Цени!$T$46+Общо!P12*Цени!$T$46+Общо!Q12*Цени!$T$46+Общо!R12*Цени!$T$47+Общо!T12*Цени!$T$45+Общо!V12*'PPC Гърция'!E12+Общо!U12*HERON!E12+'МЕТ ВИТОЛ ДХТ'!F12+'МЕТ ВИТОЛ ДХТ'!L12+'МЕТ ВИТОЛ ДХТ'!R12+'МЕТ ВИТОЛ ДХТ'!X12+'МЕТ ВИТОЛ ДХТ'!AD12+'МЕТ ВИТОЛ ДХТ'!AJ12+'МЕТ ВИТОЛ ДХТ'!AP12+'МЕТ ВИТОЛ ДХТ'!AV12</f>
        <v>477946.46542000002</v>
      </c>
      <c r="H12" s="368">
        <f>+'Борса и балансиране'!F12</f>
        <v>0</v>
      </c>
      <c r="I12" s="368">
        <f>+'Борса и балансиране'!H12</f>
        <v>0</v>
      </c>
      <c r="J12" s="368">
        <f>+'Борса и балансиране'!J12</f>
        <v>9.0949470177292824E-13</v>
      </c>
      <c r="K12" s="368">
        <f>+'Борса и балансиране'!N12</f>
        <v>0</v>
      </c>
      <c r="L12" s="368">
        <f>+Цени!Y11</f>
        <v>0</v>
      </c>
      <c r="M12" s="368">
        <f>+Цени!AA11</f>
        <v>0</v>
      </c>
      <c r="N12" s="369">
        <f t="shared" si="14"/>
        <v>5860.103000000001</v>
      </c>
      <c r="O12" s="370">
        <f t="shared" si="15"/>
        <v>498143.45057000004</v>
      </c>
      <c r="Q12" s="47">
        <f t="shared" si="35"/>
        <v>45635</v>
      </c>
      <c r="R12" s="368">
        <f>+Цени!R11</f>
        <v>0</v>
      </c>
      <c r="S12" s="368">
        <f>+R12*Цени!$R$36</f>
        <v>0</v>
      </c>
      <c r="T12" s="368">
        <f>+Цени!D11</f>
        <v>4845.5870000000004</v>
      </c>
      <c r="U12" s="368">
        <f>+Цени!D11*Цени!$D$36</f>
        <v>367731.59743000002</v>
      </c>
      <c r="V12" s="368">
        <f>+Цени!Q11</f>
        <v>0</v>
      </c>
      <c r="W12" s="368">
        <f>+V12*Цени!$Q$36</f>
        <v>0</v>
      </c>
      <c r="X12" s="368">
        <f>+Цени!C11</f>
        <v>14.516</v>
      </c>
      <c r="Y12" s="368">
        <f>+Цени!C11*Цени!$C$36</f>
        <v>1210.19892</v>
      </c>
      <c r="Z12" s="368">
        <f>+Цени!L11+Цени!M11+Цени!N11+Цени!O11+Цени!P11</f>
        <v>0</v>
      </c>
      <c r="AA12" s="368">
        <f>+Цени!L11*Цени!$L$36+Цени!M11*Цени!$M$36+Цени!N11*Цени!$N$36+Цени!O11*Цени!$O$36+Цени!P11*Цени!$P$36</f>
        <v>0</v>
      </c>
      <c r="AB12" s="368">
        <f>+Цени!S11</f>
        <v>0</v>
      </c>
      <c r="AC12" s="368">
        <f>+AB12*Цени!$S$36</f>
        <v>0</v>
      </c>
      <c r="AD12" s="368">
        <f>+'Борса и балансиране'!C12</f>
        <v>1000</v>
      </c>
      <c r="AE12" s="368">
        <f>+'Борса и балансиране'!E12</f>
        <v>84500</v>
      </c>
      <c r="AF12" s="368">
        <f>+'Борса и балансиране'!K12*-1</f>
        <v>0</v>
      </c>
      <c r="AG12" s="368">
        <f>+'Борса и балансиране'!O12*-1</f>
        <v>0</v>
      </c>
      <c r="AH12" s="368">
        <f t="shared" si="16"/>
        <v>5860.1030000000001</v>
      </c>
      <c r="AI12" s="371">
        <f t="shared" si="17"/>
        <v>453441.79635000002</v>
      </c>
      <c r="AJ12" s="372"/>
      <c r="AK12" s="314">
        <f t="shared" si="36"/>
        <v>45635</v>
      </c>
      <c r="AL12" s="373">
        <f t="shared" si="44"/>
        <v>453441.79635000002</v>
      </c>
      <c r="AM12" s="373">
        <f t="shared" si="2"/>
        <v>498143.45057000004</v>
      </c>
      <c r="AN12" s="374">
        <f t="shared" si="3"/>
        <v>44701.654220000026</v>
      </c>
      <c r="AO12" s="370">
        <f>+Плевен!S12+(Общо!C12+Общо!D12+Общо!E12+Общо!F12+Общо!G12+Общо!S12+Общо!L12+Общо!Y12+Общо!I12+Общо!T12)*Цени!$L$58</f>
        <v>1644.4179810000001</v>
      </c>
      <c r="AP12" s="370">
        <v>10186.510272399993</v>
      </c>
      <c r="AQ12" s="371">
        <f>+Общо!AN12</f>
        <v>3890.9</v>
      </c>
      <c r="AR12" s="375">
        <f>+(Цени!$D$36-Цени!$Z$1)*Цени!D11</f>
        <v>-129643.13297940894</v>
      </c>
      <c r="AS12" s="376">
        <f t="shared" si="19"/>
        <v>-97374.47105080889</v>
      </c>
      <c r="AT12" s="387"/>
      <c r="AU12" s="314">
        <f t="shared" si="37"/>
        <v>45635</v>
      </c>
      <c r="AV12" s="378">
        <f t="shared" si="4"/>
        <v>75.89</v>
      </c>
      <c r="AW12" s="378">
        <f t="shared" si="5"/>
        <v>85.439613780414916</v>
      </c>
      <c r="AX12" s="378">
        <f t="shared" si="6"/>
        <v>0</v>
      </c>
      <c r="AY12" s="378">
        <f t="shared" si="7"/>
        <v>0</v>
      </c>
      <c r="AZ12" s="379">
        <f t="shared" si="8"/>
        <v>0</v>
      </c>
      <c r="BB12" s="380">
        <f t="shared" si="20"/>
        <v>83.37</v>
      </c>
      <c r="BC12" s="381">
        <f t="shared" si="21"/>
        <v>0</v>
      </c>
      <c r="BD12" s="381">
        <f t="shared" si="22"/>
        <v>75.89</v>
      </c>
      <c r="BE12" s="381">
        <f t="shared" si="23"/>
        <v>0</v>
      </c>
      <c r="BF12" s="381">
        <f t="shared" si="24"/>
        <v>0</v>
      </c>
      <c r="BG12" s="378">
        <f t="shared" si="25"/>
        <v>84.5</v>
      </c>
      <c r="BH12" s="378">
        <f>+'Борса и балансиране'!M12</f>
        <v>0</v>
      </c>
      <c r="BI12" s="379">
        <f t="shared" si="26"/>
        <v>0</v>
      </c>
      <c r="BK12" s="382">
        <f>+Общо!AT12</f>
        <v>75.89</v>
      </c>
      <c r="BL12" s="383">
        <f t="shared" si="27"/>
        <v>77.377786081575707</v>
      </c>
      <c r="BM12" s="384">
        <f>+Общо!AV12</f>
        <v>89.968180000000004</v>
      </c>
      <c r="BN12" s="385">
        <f t="shared" si="28"/>
        <v>-12.590393918424297</v>
      </c>
      <c r="BP12" s="382">
        <f t="shared" si="29"/>
        <v>77.377786081575707</v>
      </c>
      <c r="BQ12" s="386">
        <f t="shared" si="30"/>
        <v>85.005920641667899</v>
      </c>
      <c r="BR12" s="385">
        <f t="shared" si="31"/>
        <v>7.6281345600921924</v>
      </c>
      <c r="BT12" s="314">
        <f t="shared" si="38"/>
        <v>45635</v>
      </c>
      <c r="BU12" s="388">
        <f>+Общо!BE12</f>
        <v>461390.22400000063</v>
      </c>
      <c r="BV12" s="383">
        <f>+Общо!BF12</f>
        <v>102.64488707135152</v>
      </c>
      <c r="BW12" s="389">
        <f>+Общо!BG12</f>
        <v>47359347.438305646</v>
      </c>
      <c r="BY12" s="265">
        <f t="shared" si="39"/>
        <v>45635</v>
      </c>
      <c r="BZ12" s="390">
        <f>+Общо!BJ12</f>
        <v>13159019.48</v>
      </c>
      <c r="CA12" s="390">
        <f>+Общо!BK12</f>
        <v>2753236.08</v>
      </c>
      <c r="CB12" s="390">
        <f>+Общо!BL12</f>
        <v>1965909.42</v>
      </c>
      <c r="CC12" s="390">
        <f>+Общо!BM12</f>
        <v>1014254.12</v>
      </c>
      <c r="CD12" s="390">
        <f>+Общо!BN12</f>
        <v>2567115.04</v>
      </c>
      <c r="CE12" s="390">
        <f>+Общо!BO12</f>
        <v>2295842.69</v>
      </c>
      <c r="CF12" s="390">
        <f>+Общо!BP12</f>
        <v>52915.199999999997</v>
      </c>
      <c r="CG12" s="390">
        <f>+Общо!BQ12</f>
        <v>0</v>
      </c>
      <c r="CH12" s="391">
        <f t="shared" si="42"/>
        <v>23808292.030000001</v>
      </c>
      <c r="CJ12" s="265">
        <f t="shared" si="40"/>
        <v>45635</v>
      </c>
      <c r="CK12" s="392">
        <f>+Общо!BU12</f>
        <v>12644149.52999999</v>
      </c>
      <c r="CL12" s="392">
        <f>+Общо!BV12</f>
        <v>2082002.6400000025</v>
      </c>
      <c r="CM12" s="392">
        <f>+Общо!BW12</f>
        <v>196792.96999999974</v>
      </c>
      <c r="CN12" s="392">
        <f>+Общо!BX12</f>
        <v>391852.94000000006</v>
      </c>
      <c r="CO12" s="392">
        <f>+Общо!BY12</f>
        <v>27263583.090000004</v>
      </c>
      <c r="CP12" s="392">
        <f>+Общо!BZ12</f>
        <v>1501047.7600000002</v>
      </c>
      <c r="CQ12" s="392">
        <f>+Общо!CA12</f>
        <v>0</v>
      </c>
      <c r="CR12" s="392">
        <f>+Общо!CB12</f>
        <v>3567553.1529600001</v>
      </c>
      <c r="CS12" s="391">
        <f t="shared" si="13"/>
        <v>47646982.082959995</v>
      </c>
      <c r="CU12" s="265">
        <f t="shared" si="41"/>
        <v>45635</v>
      </c>
      <c r="CV12" s="393">
        <f>+Общо!CF12</f>
        <v>25803169.00999999</v>
      </c>
      <c r="CW12" s="393">
        <f>+Общо!CG12</f>
        <v>4835238.7200000025</v>
      </c>
      <c r="CX12" s="393">
        <f>+Общо!CH12</f>
        <v>2162702.3899999997</v>
      </c>
      <c r="CY12" s="393">
        <f>+Общо!CI12</f>
        <v>1406107.06</v>
      </c>
      <c r="CZ12" s="393">
        <f>+Общо!CJ12</f>
        <v>29830698.130000003</v>
      </c>
      <c r="DA12" s="393">
        <f>+Общо!CK12</f>
        <v>3796890.45</v>
      </c>
      <c r="DB12" s="393">
        <f>+Общо!CL12</f>
        <v>52915.199999999997</v>
      </c>
      <c r="DC12" s="393">
        <f>+Общо!CM12</f>
        <v>3567553.1529600001</v>
      </c>
      <c r="DD12" s="394">
        <f t="shared" si="33"/>
        <v>71455274.112959996</v>
      </c>
      <c r="DF12" s="435">
        <v>45505</v>
      </c>
      <c r="DG12" s="436">
        <f>+'баланс 2024'!P12</f>
        <v>31</v>
      </c>
      <c r="DH12" s="437">
        <f>+'баланс 2024'!Q12</f>
        <v>0</v>
      </c>
      <c r="DI12" s="438">
        <f>+'баланс 2024'!R12</f>
        <v>0</v>
      </c>
      <c r="DJ12" s="439">
        <f>+'баланс 2024'!S12</f>
        <v>0</v>
      </c>
      <c r="DK12" s="436">
        <f>+'баланс 2024'!T12</f>
        <v>0</v>
      </c>
      <c r="DL12" s="440">
        <f>+'баланс 2024'!U12</f>
        <v>0</v>
      </c>
      <c r="DM12" s="438">
        <f>+'баланс 2024'!V12</f>
        <v>0</v>
      </c>
    </row>
    <row r="13" spans="2:117" x14ac:dyDescent="0.25">
      <c r="B13" s="47">
        <f t="shared" si="34"/>
        <v>45636</v>
      </c>
      <c r="C13" s="365">
        <f>+Общо!C13+Общо!D13+Общо!E13+Общо!F13+Общо!L13+Общо!Y13+Общо!G13+Общо!S13</f>
        <v>328.28700000000015</v>
      </c>
      <c r="D13" s="366">
        <f>+(Общо!C13+Общо!D13+Общо!E13+Общо!F13+Общо!G13+Общо!L13)*Цени!$T$42+Общо!Y13*Цени!$T$42+Общо!S13*Цени!$T$44</f>
        <v>24942.699830000012</v>
      </c>
      <c r="E13" s="366">
        <f>+Перник!T24</f>
        <v>0</v>
      </c>
      <c r="F13" s="367">
        <f>+Общо!H13+Общо!I13+Общо!J13+Общо!K13+Общо!M13+Общо!N13+Общо!O13+Общо!P13+Общо!Q13+Общо!R13+Общо!T13+Общо!U13+Общо!V13+Общо!W13</f>
        <v>5531.4870000000001</v>
      </c>
      <c r="G13" s="368">
        <f>+Общо!H13*Цени!$T$46+Общо!I13*Цени!$T$45+Общо!J13*Цени!$T$46+Общо!K13*Цени!$T$46+Общо!M13*Цени!$T$46+Общо!N13*Цени!$T$46+Общо!O13*Цени!$T$46+Общо!P13*Цени!$T$46+Общо!Q13*Цени!$T$46+Общо!R13*Цени!$T$47+Общо!T13*Цени!$T$45+Общо!V13*'PPC Гърция'!E13+Общо!U13*HERON!E13+'МЕТ ВИТОЛ ДХТ'!F13+'МЕТ ВИТОЛ ДХТ'!L13+'МЕТ ВИТОЛ ДХТ'!R13+'МЕТ ВИТОЛ ДХТ'!X13+'МЕТ ВИТОЛ ДХТ'!AD13+'МЕТ ВИТОЛ ДХТ'!AJ13+'МЕТ ВИТОЛ ДХТ'!AP13+'МЕТ ВИТОЛ ДХТ'!AV13</f>
        <v>471902.77723000001</v>
      </c>
      <c r="H13" s="368">
        <f>+'Борса и балансиране'!F13</f>
        <v>0</v>
      </c>
      <c r="I13" s="368">
        <f>+'Борса и балансиране'!H13</f>
        <v>0</v>
      </c>
      <c r="J13" s="368">
        <f>+'Борса и балансиране'!J13</f>
        <v>0.32899999999972351</v>
      </c>
      <c r="K13" s="368">
        <f>+'Борса и балансиране'!N13</f>
        <v>25.36</v>
      </c>
      <c r="L13" s="368">
        <f>+Цени!Y12</f>
        <v>0</v>
      </c>
      <c r="M13" s="368">
        <f>+Цени!AA12</f>
        <v>0</v>
      </c>
      <c r="N13" s="369">
        <f t="shared" si="14"/>
        <v>5860.1030000000001</v>
      </c>
      <c r="O13" s="370">
        <f t="shared" si="15"/>
        <v>496870.83705999999</v>
      </c>
      <c r="Q13" s="47">
        <f t="shared" si="35"/>
        <v>45636</v>
      </c>
      <c r="R13" s="368">
        <f>+Цени!R12</f>
        <v>0</v>
      </c>
      <c r="S13" s="368">
        <f>+R13*Цени!$R$36</f>
        <v>0</v>
      </c>
      <c r="T13" s="368">
        <f>+Цени!D12</f>
        <v>4345.5870000000004</v>
      </c>
      <c r="U13" s="368">
        <f>+Цени!D12*Цени!$D$36</f>
        <v>329786.59743000002</v>
      </c>
      <c r="V13" s="368">
        <f>+Цени!Q12</f>
        <v>0</v>
      </c>
      <c r="W13" s="368">
        <f>+V13*Цени!$Q$36</f>
        <v>0</v>
      </c>
      <c r="X13" s="368">
        <f>+Цени!C12</f>
        <v>14.516</v>
      </c>
      <c r="Y13" s="368">
        <f>+Цени!C12*Цени!$C$36</f>
        <v>1210.19892</v>
      </c>
      <c r="Z13" s="368">
        <f>+Цени!L12+Цени!M12+Цени!N12+Цени!O12+Цени!P12</f>
        <v>0</v>
      </c>
      <c r="AA13" s="368">
        <f>+Цени!L12*Цени!$L$36+Цени!M12*Цени!$M$36+Цени!N12*Цени!$N$36+Цени!O12*Цени!$O$36+Цени!P12*Цени!$P$36</f>
        <v>0</v>
      </c>
      <c r="AB13" s="368">
        <f>+Цени!S12</f>
        <v>0</v>
      </c>
      <c r="AC13" s="368">
        <f>+AB13*Цени!$S$36</f>
        <v>0</v>
      </c>
      <c r="AD13" s="368">
        <f>+'Борса и балансиране'!C13</f>
        <v>1500</v>
      </c>
      <c r="AE13" s="368">
        <f>+'Борса и балансиране'!E13</f>
        <v>125375</v>
      </c>
      <c r="AF13" s="368">
        <f>+'Борса и балансиране'!K13*-1</f>
        <v>0</v>
      </c>
      <c r="AG13" s="368">
        <f>+'Борса и балансиране'!O13*-1</f>
        <v>0</v>
      </c>
      <c r="AH13" s="368">
        <f t="shared" si="16"/>
        <v>5860.103000000001</v>
      </c>
      <c r="AI13" s="371">
        <f t="shared" si="17"/>
        <v>456371.79635000002</v>
      </c>
      <c r="AJ13" s="372" t="s">
        <v>73</v>
      </c>
      <c r="AK13" s="314">
        <f t="shared" si="36"/>
        <v>45636</v>
      </c>
      <c r="AL13" s="373">
        <f t="shared" si="44"/>
        <v>456371.79635000002</v>
      </c>
      <c r="AM13" s="373">
        <f t="shared" si="2"/>
        <v>496870.83705999999</v>
      </c>
      <c r="AN13" s="374">
        <f t="shared" si="3"/>
        <v>40499.040709999972</v>
      </c>
      <c r="AO13" s="370">
        <f>+Плевен!S13+(Общо!C13+Общо!D13+Общо!E13+Общо!F13+Общо!G13+Общо!S13+Общо!L13+Общо!Y13+Общо!I13+Общо!T13)*Цени!$L$58</f>
        <v>1834.9646399999999</v>
      </c>
      <c r="AP13" s="370">
        <v>10186.510272399993</v>
      </c>
      <c r="AQ13" s="371">
        <f>+Общо!AN13</f>
        <v>3890.9</v>
      </c>
      <c r="AR13" s="375">
        <f>+(Цени!$D$36-Цени!$Z$1)*Цени!D12</f>
        <v>-116265.68944373318</v>
      </c>
      <c r="AS13" s="376">
        <f t="shared" si="19"/>
        <v>-88009.094366133184</v>
      </c>
      <c r="AT13" s="387"/>
      <c r="AU13" s="314">
        <f t="shared" si="37"/>
        <v>45636</v>
      </c>
      <c r="AV13" s="378">
        <f t="shared" si="4"/>
        <v>75.978335511305659</v>
      </c>
      <c r="AW13" s="378">
        <f t="shared" si="5"/>
        <v>85.312100928737607</v>
      </c>
      <c r="AX13" s="378">
        <f t="shared" si="6"/>
        <v>0</v>
      </c>
      <c r="AY13" s="378">
        <f t="shared" si="7"/>
        <v>77.08206686936569</v>
      </c>
      <c r="AZ13" s="379">
        <f t="shared" si="8"/>
        <v>0</v>
      </c>
      <c r="BB13" s="380">
        <f t="shared" si="20"/>
        <v>83.37</v>
      </c>
      <c r="BC13" s="381">
        <f t="shared" si="21"/>
        <v>0</v>
      </c>
      <c r="BD13" s="381">
        <f t="shared" si="22"/>
        <v>75.89</v>
      </c>
      <c r="BE13" s="381">
        <f t="shared" si="23"/>
        <v>0</v>
      </c>
      <c r="BF13" s="381">
        <f t="shared" si="24"/>
        <v>0</v>
      </c>
      <c r="BG13" s="378">
        <f t="shared" si="25"/>
        <v>83.583333333333329</v>
      </c>
      <c r="BH13" s="378">
        <f>+'Борса и балансиране'!M13</f>
        <v>0</v>
      </c>
      <c r="BI13" s="379">
        <f t="shared" si="26"/>
        <v>0</v>
      </c>
      <c r="BK13" s="382">
        <f>+Общо!AT13</f>
        <v>75.89</v>
      </c>
      <c r="BL13" s="383">
        <f t="shared" si="27"/>
        <v>77.877777293334248</v>
      </c>
      <c r="BM13" s="384">
        <f>+Общо!AV13</f>
        <v>86.39879024999999</v>
      </c>
      <c r="BN13" s="385">
        <f t="shared" si="28"/>
        <v>-8.5210129566657429</v>
      </c>
      <c r="BP13" s="382">
        <f t="shared" si="29"/>
        <v>77.877777293334248</v>
      </c>
      <c r="BQ13" s="386">
        <f t="shared" si="30"/>
        <v>84.788754917788978</v>
      </c>
      <c r="BR13" s="385">
        <f t="shared" si="31"/>
        <v>6.9109776244547305</v>
      </c>
      <c r="BT13" s="314">
        <f t="shared" si="38"/>
        <v>45636</v>
      </c>
      <c r="BU13" s="388">
        <f>+Общо!BE13</f>
        <v>457044.63700000063</v>
      </c>
      <c r="BV13" s="383">
        <f>+Общо!BF13</f>
        <v>102.64488707135152</v>
      </c>
      <c r="BW13" s="389">
        <f>+Общо!BG13</f>
        <v>46913295.151431911</v>
      </c>
      <c r="BY13" s="265">
        <f t="shared" si="39"/>
        <v>45636</v>
      </c>
      <c r="BZ13" s="390">
        <f>+Общо!BJ13</f>
        <v>13159019.48</v>
      </c>
      <c r="CA13" s="390">
        <f>+Общо!BK13</f>
        <v>2753236.08</v>
      </c>
      <c r="CB13" s="390">
        <f>+Общо!BL13</f>
        <v>1965909.42</v>
      </c>
      <c r="CC13" s="390">
        <f>+Общо!BM13</f>
        <v>1014254.12</v>
      </c>
      <c r="CD13" s="390">
        <f>+Общо!BN13</f>
        <v>2567115.04</v>
      </c>
      <c r="CE13" s="390">
        <f>+Общо!BO13</f>
        <v>2295842.69</v>
      </c>
      <c r="CF13" s="390">
        <f>+Общо!BP13</f>
        <v>420656.25</v>
      </c>
      <c r="CG13" s="390">
        <f>+Общо!BQ13</f>
        <v>0</v>
      </c>
      <c r="CH13" s="391">
        <f t="shared" si="42"/>
        <v>24176033.080000002</v>
      </c>
      <c r="CJ13" s="265">
        <f t="shared" si="40"/>
        <v>45636</v>
      </c>
      <c r="CK13" s="392">
        <f>+Общо!BU13</f>
        <v>12644149.52999999</v>
      </c>
      <c r="CL13" s="392">
        <f>+Общо!BV13</f>
        <v>2082002.6400000025</v>
      </c>
      <c r="CM13" s="392">
        <f>+Общо!BW13</f>
        <v>196792.96999999974</v>
      </c>
      <c r="CN13" s="392">
        <f>+Общо!BX13</f>
        <v>28708.110000000102</v>
      </c>
      <c r="CO13" s="392">
        <f>+Общо!BY13</f>
        <v>27263583.090000004</v>
      </c>
      <c r="CP13" s="392">
        <f>+Общо!BZ13</f>
        <v>1501047.7600000002</v>
      </c>
      <c r="CQ13" s="392">
        <f>+Общо!CA13</f>
        <v>0</v>
      </c>
      <c r="CR13" s="392">
        <f>+Общо!CB13</f>
        <v>3567553.1529600001</v>
      </c>
      <c r="CS13" s="391">
        <f t="shared" si="13"/>
        <v>47283837.252959996</v>
      </c>
      <c r="CU13" s="265">
        <f t="shared" si="41"/>
        <v>45636</v>
      </c>
      <c r="CV13" s="393">
        <f>+Общо!CF13</f>
        <v>25803169.00999999</v>
      </c>
      <c r="CW13" s="393">
        <f>+Общо!CG13</f>
        <v>4835238.7200000025</v>
      </c>
      <c r="CX13" s="393">
        <f>+Общо!CH13</f>
        <v>2162702.3899999997</v>
      </c>
      <c r="CY13" s="393">
        <f>+Общо!CI13</f>
        <v>1042962.2300000001</v>
      </c>
      <c r="CZ13" s="393">
        <f>+Общо!CJ13</f>
        <v>29830698.130000003</v>
      </c>
      <c r="DA13" s="393">
        <f>+Общо!CK13</f>
        <v>3796890.45</v>
      </c>
      <c r="DB13" s="393">
        <f>+Общо!CL13</f>
        <v>420656.25</v>
      </c>
      <c r="DC13" s="393">
        <f>+Общо!CM13</f>
        <v>3567553.1529600001</v>
      </c>
      <c r="DD13" s="394">
        <f t="shared" si="33"/>
        <v>71459870.332959995</v>
      </c>
      <c r="DF13" s="435">
        <v>45536</v>
      </c>
      <c r="DG13" s="436">
        <f>+'баланс 2024'!P13</f>
        <v>30</v>
      </c>
      <c r="DH13" s="437">
        <f>+'баланс 2024'!Q13</f>
        <v>0</v>
      </c>
      <c r="DI13" s="438">
        <f>+'баланс 2024'!R13</f>
        <v>0</v>
      </c>
      <c r="DJ13" s="439">
        <f>+'баланс 2024'!S13</f>
        <v>0</v>
      </c>
      <c r="DK13" s="436">
        <f>+'баланс 2024'!T13</f>
        <v>0</v>
      </c>
      <c r="DL13" s="440">
        <f>+'баланс 2024'!U13</f>
        <v>0</v>
      </c>
      <c r="DM13" s="438">
        <f>+'баланс 2024'!V13</f>
        <v>0</v>
      </c>
    </row>
    <row r="14" spans="2:117" x14ac:dyDescent="0.25">
      <c r="B14" s="47">
        <f t="shared" si="34"/>
        <v>45637</v>
      </c>
      <c r="C14" s="365">
        <f>+Общо!C14+Общо!D14+Общо!E14+Общо!F14+Общо!L14+Общо!Y14+Общо!G14+Общо!S14</f>
        <v>333.43499999999995</v>
      </c>
      <c r="D14" s="366">
        <f>+(Общо!C14+Общо!D14+Общо!E14+Общо!F14+Общо!G14+Общо!L14)*Цени!$T$42+Общо!Y14*Цени!$T$42+Общо!S14*Цени!$T$44</f>
        <v>25304.382149999998</v>
      </c>
      <c r="E14" s="366">
        <f>+Перник!T25</f>
        <v>0</v>
      </c>
      <c r="F14" s="367">
        <f>+Общо!H14+Общо!I14+Общо!J14+Общо!K14+Общо!M14+Общо!N14+Общо!O14+Общо!P14+Общо!Q14+Общо!R14+Общо!T14+Общо!U14+Общо!V14+Общо!W14</f>
        <v>5526.6679999999997</v>
      </c>
      <c r="G14" s="368">
        <f>+Общо!H14*Цени!$T$46+Общо!I14*Цени!$T$45+Общо!J14*Цени!$T$46+Общо!K14*Цени!$T$46+Общо!M14*Цени!$T$46+Общо!N14*Цени!$T$46+Общо!O14*Цени!$T$46+Общо!P14*Цени!$T$46+Общо!Q14*Цени!$T$46+Общо!R14*Цени!$T$47+Общо!T14*Цени!$T$45+Общо!V14*'PPC Гърция'!E14+Общо!U14*HERON!E14+'МЕТ ВИТОЛ ДХТ'!F14+'МЕТ ВИТОЛ ДХТ'!L14+'МЕТ ВИТОЛ ДХТ'!R14+'МЕТ ВИТОЛ ДХТ'!X14+'МЕТ ВИТОЛ ДХТ'!AD14+'МЕТ ВИТОЛ ДХТ'!AJ14+'МЕТ ВИТОЛ ДХТ'!AP14+'МЕТ ВИТОЛ ДХТ'!AV14</f>
        <v>470506.71282000002</v>
      </c>
      <c r="H14" s="368">
        <f>+'Борса и балансиране'!F14</f>
        <v>400</v>
      </c>
      <c r="I14" s="368">
        <f>+'Борса и балансиране'!H14</f>
        <v>33380</v>
      </c>
      <c r="J14" s="368">
        <f>+'Борса и балансиране'!J14</f>
        <v>0</v>
      </c>
      <c r="K14" s="368">
        <f>+'Борса и балансиране'!N14</f>
        <v>0</v>
      </c>
      <c r="L14" s="368">
        <f>+Цени!Y13</f>
        <v>0</v>
      </c>
      <c r="M14" s="368">
        <f>+Цени!AA13</f>
        <v>0</v>
      </c>
      <c r="N14" s="369">
        <f t="shared" si="14"/>
        <v>6260.1029999999992</v>
      </c>
      <c r="O14" s="370">
        <f t="shared" si="15"/>
        <v>529191.09496999998</v>
      </c>
      <c r="Q14" s="47">
        <f t="shared" si="35"/>
        <v>45637</v>
      </c>
      <c r="R14" s="368">
        <f>+Цени!R13</f>
        <v>0</v>
      </c>
      <c r="S14" s="368">
        <f>+R14*Цени!$R$36</f>
        <v>0</v>
      </c>
      <c r="T14" s="368">
        <f>+Цени!D13</f>
        <v>4345.5870000000004</v>
      </c>
      <c r="U14" s="368">
        <f>+Цени!D13*Цени!$D$36</f>
        <v>329786.59743000002</v>
      </c>
      <c r="V14" s="368">
        <f>+Цени!Q13</f>
        <v>0</v>
      </c>
      <c r="W14" s="368">
        <f>+V14*Цени!$Q$36</f>
        <v>0</v>
      </c>
      <c r="X14" s="368">
        <f>+Цени!C13</f>
        <v>14.516</v>
      </c>
      <c r="Y14" s="368">
        <f>+Цени!C13*Цени!$C$36</f>
        <v>1210.19892</v>
      </c>
      <c r="Z14" s="368">
        <f>+Цени!L13+Цени!M13+Цени!N13+Цени!O13+Цени!P13</f>
        <v>0</v>
      </c>
      <c r="AA14" s="368">
        <f>+Цени!L13*Цени!$L$36+Цени!M13*Цени!$M$36+Цени!N13*Цени!$N$36+Цени!O13*Цени!$O$36+Цени!P13*Цени!$P$36</f>
        <v>0</v>
      </c>
      <c r="AB14" s="368">
        <f>+Цени!S13</f>
        <v>0</v>
      </c>
      <c r="AC14" s="368">
        <f>+AB14*Цени!$S$36</f>
        <v>0</v>
      </c>
      <c r="AD14" s="368">
        <f>+'Борса и балансиране'!C14</f>
        <v>1900</v>
      </c>
      <c r="AE14" s="368">
        <f>+'Борса и балансиране'!E14</f>
        <v>157250</v>
      </c>
      <c r="AF14" s="368">
        <f>+'Борса и балансиране'!K14*-1</f>
        <v>0</v>
      </c>
      <c r="AG14" s="368">
        <f>+'Борса и балансиране'!O14*-1</f>
        <v>0</v>
      </c>
      <c r="AH14" s="368">
        <f t="shared" si="16"/>
        <v>6260.103000000001</v>
      </c>
      <c r="AI14" s="371">
        <f t="shared" si="17"/>
        <v>488246.79635000002</v>
      </c>
      <c r="AJ14" s="372"/>
      <c r="AK14" s="314">
        <f t="shared" si="36"/>
        <v>45637</v>
      </c>
      <c r="AL14" s="373">
        <f t="shared" si="44"/>
        <v>488246.79635000002</v>
      </c>
      <c r="AM14" s="373">
        <f t="shared" si="2"/>
        <v>529191.09496999998</v>
      </c>
      <c r="AN14" s="374">
        <f t="shared" si="3"/>
        <v>40944.298619999958</v>
      </c>
      <c r="AO14" s="370">
        <f>+Плевен!S14+(Общо!C14+Общо!D14+Общо!E14+Общо!F14+Общо!G14+Общо!S14+Общо!L14+Общо!Y14+Общо!I14+Общо!T14)*Цени!$L$58</f>
        <v>1433.5564289999998</v>
      </c>
      <c r="AP14" s="370">
        <v>10186.510272399993</v>
      </c>
      <c r="AQ14" s="371">
        <f>+Общо!AN14</f>
        <v>3890.9</v>
      </c>
      <c r="AR14" s="375">
        <f>+(Цени!$D$36-Цени!$Z$1)*Цени!D13</f>
        <v>-116265.68944373318</v>
      </c>
      <c r="AS14" s="376">
        <f t="shared" si="19"/>
        <v>-87965.2446671332</v>
      </c>
      <c r="AU14" s="314">
        <f t="shared" si="37"/>
        <v>45637</v>
      </c>
      <c r="AV14" s="378">
        <f t="shared" si="4"/>
        <v>75.89</v>
      </c>
      <c r="AW14" s="378">
        <f t="shared" si="5"/>
        <v>85.133884072645586</v>
      </c>
      <c r="AX14" s="378">
        <f t="shared" si="6"/>
        <v>83.45</v>
      </c>
      <c r="AY14" s="378">
        <f t="shared" si="7"/>
        <v>0</v>
      </c>
      <c r="AZ14" s="379">
        <f t="shared" si="8"/>
        <v>0</v>
      </c>
      <c r="BB14" s="380">
        <f t="shared" si="20"/>
        <v>83.37</v>
      </c>
      <c r="BC14" s="381">
        <f t="shared" si="21"/>
        <v>0</v>
      </c>
      <c r="BD14" s="381">
        <f t="shared" si="22"/>
        <v>75.89</v>
      </c>
      <c r="BE14" s="381">
        <f t="shared" si="23"/>
        <v>0</v>
      </c>
      <c r="BF14" s="381">
        <f t="shared" si="24"/>
        <v>0</v>
      </c>
      <c r="BG14" s="378">
        <f t="shared" si="25"/>
        <v>82.763157894736835</v>
      </c>
      <c r="BH14" s="378">
        <f>+'Борса и балансиране'!M14</f>
        <v>0</v>
      </c>
      <c r="BI14" s="379">
        <f t="shared" si="26"/>
        <v>0</v>
      </c>
      <c r="BK14" s="382">
        <f>+Общо!AT14</f>
        <v>75.89</v>
      </c>
      <c r="BL14" s="383">
        <f t="shared" si="27"/>
        <v>77.993412624360957</v>
      </c>
      <c r="BM14" s="384">
        <f>+Общо!AV14</f>
        <v>87.5233925</v>
      </c>
      <c r="BN14" s="385">
        <f t="shared" si="28"/>
        <v>-9.529979875639043</v>
      </c>
      <c r="BP14" s="382">
        <f t="shared" si="29"/>
        <v>77.993412624360957</v>
      </c>
      <c r="BQ14" s="386">
        <f t="shared" si="30"/>
        <v>84.533927791603432</v>
      </c>
      <c r="BR14" s="385">
        <f t="shared" si="31"/>
        <v>6.5405151672424751</v>
      </c>
      <c r="BT14" s="314">
        <f t="shared" si="38"/>
        <v>45637</v>
      </c>
      <c r="BU14" s="388">
        <f>+Общо!BE14</f>
        <v>452699.05000000063</v>
      </c>
      <c r="BV14" s="383">
        <f>+Общо!BF14</f>
        <v>102.6448870713515</v>
      </c>
      <c r="BW14" s="389">
        <f>+Общо!BG14</f>
        <v>46467242.864558175</v>
      </c>
      <c r="BY14" s="265">
        <f t="shared" si="39"/>
        <v>45637</v>
      </c>
      <c r="BZ14" s="390">
        <f>+Общо!BJ14</f>
        <v>13159019.48</v>
      </c>
      <c r="CA14" s="390">
        <f>+Общо!BK14</f>
        <v>2753236.08</v>
      </c>
      <c r="CB14" s="390">
        <f>+Общо!BL14</f>
        <v>1965909.42</v>
      </c>
      <c r="CC14" s="390">
        <f>+Общо!BM14</f>
        <v>1014254.12</v>
      </c>
      <c r="CD14" s="390">
        <f>+Общо!BN14</f>
        <v>2567115.04</v>
      </c>
      <c r="CE14" s="390">
        <f>+Общо!BO14</f>
        <v>2295842.69</v>
      </c>
      <c r="CF14" s="390">
        <f>+Общо!BP14</f>
        <v>391634.65944399999</v>
      </c>
      <c r="CG14" s="390">
        <f>+Общо!BQ14</f>
        <v>0</v>
      </c>
      <c r="CH14" s="391">
        <f>SUM(BZ14:CG14)</f>
        <v>24147011.489444003</v>
      </c>
      <c r="CJ14" s="265">
        <f t="shared" si="40"/>
        <v>45637</v>
      </c>
      <c r="CK14" s="392">
        <f>+Общо!BU14</f>
        <v>12644149.52999999</v>
      </c>
      <c r="CL14" s="392">
        <f>+Общо!BV14</f>
        <v>2082002.6400000025</v>
      </c>
      <c r="CM14" s="392">
        <f>+Общо!BW14</f>
        <v>196792.96999999974</v>
      </c>
      <c r="CN14" s="392">
        <f>+Общо!BX14</f>
        <v>28708.110000000102</v>
      </c>
      <c r="CO14" s="392">
        <f>+Общо!BY14</f>
        <v>27263583.090000004</v>
      </c>
      <c r="CP14" s="392">
        <f>+Общо!BZ14</f>
        <v>1501047.7600000002</v>
      </c>
      <c r="CQ14" s="392">
        <f>+Общо!CA14</f>
        <v>0</v>
      </c>
      <c r="CR14" s="392">
        <f>+Общо!CB14</f>
        <v>3567553.1529600001</v>
      </c>
      <c r="CS14" s="391">
        <f t="shared" si="13"/>
        <v>47283837.252959996</v>
      </c>
      <c r="CU14" s="265">
        <f t="shared" si="41"/>
        <v>45637</v>
      </c>
      <c r="CV14" s="393">
        <f>+Общо!CF14</f>
        <v>25803169.00999999</v>
      </c>
      <c r="CW14" s="393">
        <f>+Общо!CG14</f>
        <v>4835238.7200000025</v>
      </c>
      <c r="CX14" s="393">
        <f>+Общо!CH14</f>
        <v>2162702.3899999997</v>
      </c>
      <c r="CY14" s="393">
        <f>+Общо!CI14</f>
        <v>1042962.2300000001</v>
      </c>
      <c r="CZ14" s="393">
        <f>+Общо!CJ14</f>
        <v>29830698.130000003</v>
      </c>
      <c r="DA14" s="393">
        <f>+Общо!CK14</f>
        <v>3796890.45</v>
      </c>
      <c r="DB14" s="393">
        <f>+Общо!CL14</f>
        <v>391634.65944399999</v>
      </c>
      <c r="DC14" s="393">
        <f>+Общо!CM14</f>
        <v>3567553.1529600001</v>
      </c>
      <c r="DD14" s="394">
        <f t="shared" si="33"/>
        <v>71430848.742403999</v>
      </c>
      <c r="DF14" s="435">
        <v>45566</v>
      </c>
      <c r="DG14" s="436">
        <f>+'баланс 2024'!P14</f>
        <v>31</v>
      </c>
      <c r="DH14" s="437">
        <f>+'баланс 2024'!Q14</f>
        <v>0</v>
      </c>
      <c r="DI14" s="438">
        <f>+'баланс 2024'!R14</f>
        <v>0</v>
      </c>
      <c r="DJ14" s="439">
        <f>+'баланс 2024'!S14</f>
        <v>0</v>
      </c>
      <c r="DK14" s="436">
        <f>+'баланс 2024'!T14</f>
        <v>0</v>
      </c>
      <c r="DL14" s="440">
        <f>+'баланс 2024'!U14</f>
        <v>0</v>
      </c>
      <c r="DM14" s="438">
        <f>+'баланс 2024'!V14</f>
        <v>0</v>
      </c>
    </row>
    <row r="15" spans="2:117" x14ac:dyDescent="0.25">
      <c r="B15" s="47">
        <f t="shared" si="34"/>
        <v>45638</v>
      </c>
      <c r="C15" s="365">
        <f>+Общо!C15+Общо!D15+Общо!E15+Общо!F15+Общо!L15+Общо!Y15+Общо!G15+Общо!S15</f>
        <v>332.13800000000003</v>
      </c>
      <c r="D15" s="366">
        <f>+(Общо!C15+Общо!D15+Общо!E15+Общо!F15+Общо!G15+Общо!L15)*Цени!$T$42+Общо!Y15*Цени!$T$42+Общо!S15*Цени!$T$44</f>
        <v>25205.952820000002</v>
      </c>
      <c r="E15" s="366">
        <f>+Перник!T26</f>
        <v>0</v>
      </c>
      <c r="F15" s="367">
        <f>+Общо!H15+Общо!I15+Общо!J15+Общо!K15+Общо!M15+Общо!N15+Общо!O15+Общо!P15+Общо!Q15+Общо!R15+Общо!T15+Общо!U15+Общо!V15+Общо!W15</f>
        <v>5527.9650000000001</v>
      </c>
      <c r="G15" s="368">
        <f>+Общо!H15*Цени!$T$46+Общо!I15*Цени!$T$45+Общо!J15*Цени!$T$46+Общо!K15*Цени!$T$46+Общо!M15*Цени!$T$46+Общо!N15*Цени!$T$46+Общо!O15*Цени!$T$46+Общо!P15*Цени!$T$46+Общо!Q15*Цени!$T$46+Общо!R15*Цени!$T$47+Общо!T15*Цени!$T$45+Общо!V15*'PPC Гърция'!E15+Общо!U15*HERON!E15+'МЕТ ВИТОЛ ДХТ'!F15+'МЕТ ВИТОЛ ДХТ'!L15+'МЕТ ВИТОЛ ДХТ'!R15+'МЕТ ВИТОЛ ДХТ'!X15+'МЕТ ВИТОЛ ДХТ'!AD15+'МЕТ ВИТОЛ ДХТ'!AJ15+'МЕТ ВИТОЛ ДХТ'!AP15+'МЕТ ВИТОЛ ДХТ'!AV15</f>
        <v>471143.55935</v>
      </c>
      <c r="H15" s="368">
        <f>+'Борса и балансиране'!F15</f>
        <v>0</v>
      </c>
      <c r="I15" s="368">
        <f>+'Борса и балансиране'!H15</f>
        <v>0</v>
      </c>
      <c r="J15" s="368">
        <f>+'Борса и балансиране'!J15</f>
        <v>0</v>
      </c>
      <c r="K15" s="368">
        <f>+'Борса и балансиране'!N15</f>
        <v>0</v>
      </c>
      <c r="L15" s="368">
        <f>+Цени!Y14</f>
        <v>0</v>
      </c>
      <c r="M15" s="368">
        <f>+Цени!AA14</f>
        <v>0</v>
      </c>
      <c r="N15" s="369">
        <f t="shared" si="14"/>
        <v>5860.1030000000001</v>
      </c>
      <c r="O15" s="370">
        <f t="shared" si="15"/>
        <v>496349.51217</v>
      </c>
      <c r="Q15" s="47">
        <f t="shared" si="35"/>
        <v>45638</v>
      </c>
      <c r="R15" s="368">
        <f>+Цени!R14</f>
        <v>0</v>
      </c>
      <c r="S15" s="368">
        <f>+R15*Цени!$R$36</f>
        <v>0</v>
      </c>
      <c r="T15" s="368">
        <f>+Цени!D14</f>
        <v>4345.5870000000004</v>
      </c>
      <c r="U15" s="368">
        <f>+Цени!D14*Цени!$D$36</f>
        <v>329786.59743000002</v>
      </c>
      <c r="V15" s="368">
        <f>+Цени!Q14</f>
        <v>0</v>
      </c>
      <c r="W15" s="368">
        <f>+V15*Цени!$Q$36</f>
        <v>0</v>
      </c>
      <c r="X15" s="368">
        <f>+Цени!C14</f>
        <v>14.516</v>
      </c>
      <c r="Y15" s="368">
        <f>+Цени!C14*Цени!$C$36</f>
        <v>1210.19892</v>
      </c>
      <c r="Z15" s="368">
        <f>+Цени!L14+Цени!M14+Цени!N14+Цени!O14+Цени!P14</f>
        <v>0</v>
      </c>
      <c r="AA15" s="368">
        <f>+Цени!L14*Цени!$L$36+Цени!M14*Цени!$M$36+Цени!N14*Цени!$N$36+Цени!O14*Цени!$O$36+Цени!P14*Цени!$P$36</f>
        <v>0</v>
      </c>
      <c r="AB15" s="368">
        <f>+Цени!S14</f>
        <v>0</v>
      </c>
      <c r="AC15" s="368">
        <f>+AB15*Цени!$S$36</f>
        <v>0</v>
      </c>
      <c r="AD15" s="368">
        <f>+'Борса и балансиране'!C15</f>
        <v>1500</v>
      </c>
      <c r="AE15" s="368">
        <f>+'Борса и балансиране'!E15</f>
        <v>124705</v>
      </c>
      <c r="AF15" s="368">
        <f>+'Борса и балансиране'!K15*-1</f>
        <v>0</v>
      </c>
      <c r="AG15" s="368">
        <f>+'Борса и балансиране'!O15*-1</f>
        <v>0</v>
      </c>
      <c r="AH15" s="368">
        <f t="shared" si="16"/>
        <v>5860.103000000001</v>
      </c>
      <c r="AI15" s="371">
        <f t="shared" si="17"/>
        <v>455701.79635000002</v>
      </c>
      <c r="AJ15" s="372"/>
      <c r="AK15" s="314">
        <f t="shared" si="36"/>
        <v>45638</v>
      </c>
      <c r="AL15" s="373">
        <f t="shared" si="44"/>
        <v>455701.79635000002</v>
      </c>
      <c r="AM15" s="373">
        <f t="shared" si="2"/>
        <v>496349.51217</v>
      </c>
      <c r="AN15" s="374">
        <f t="shared" si="3"/>
        <v>40647.715819999983</v>
      </c>
      <c r="AO15" s="370">
        <f>+Плевен!S15+(Общо!C15+Общо!D15+Общо!E15+Общо!F15+Общо!G15+Общо!S15+Общо!L15+Общо!Y15+Общо!I15+Общо!T15)*Цени!$L$58</f>
        <v>1454.7121679999998</v>
      </c>
      <c r="AP15" s="370">
        <v>10186.510272399993</v>
      </c>
      <c r="AQ15" s="371">
        <f>+Общо!AN15</f>
        <v>3890.9</v>
      </c>
      <c r="AR15" s="375">
        <f>+(Цени!$D$36-Цени!$Z$1)*Цени!D14</f>
        <v>-116265.68944373318</v>
      </c>
      <c r="AS15" s="376">
        <f t="shared" si="19"/>
        <v>-88240.67172813318</v>
      </c>
      <c r="AU15" s="314">
        <f t="shared" si="37"/>
        <v>45638</v>
      </c>
      <c r="AV15" s="378">
        <f t="shared" si="4"/>
        <v>75.89</v>
      </c>
      <c r="AW15" s="378">
        <f t="shared" si="5"/>
        <v>85.229114032017208</v>
      </c>
      <c r="AX15" s="378">
        <f t="shared" si="6"/>
        <v>0</v>
      </c>
      <c r="AY15" s="378">
        <f t="shared" si="7"/>
        <v>0</v>
      </c>
      <c r="AZ15" s="379">
        <f t="shared" si="8"/>
        <v>0</v>
      </c>
      <c r="BB15" s="380">
        <f t="shared" si="20"/>
        <v>83.37</v>
      </c>
      <c r="BC15" s="381">
        <f t="shared" si="21"/>
        <v>0</v>
      </c>
      <c r="BD15" s="381">
        <f t="shared" si="22"/>
        <v>75.89</v>
      </c>
      <c r="BE15" s="381">
        <f t="shared" si="23"/>
        <v>0</v>
      </c>
      <c r="BF15" s="381">
        <f t="shared" si="24"/>
        <v>0</v>
      </c>
      <c r="BG15" s="378">
        <f t="shared" si="25"/>
        <v>83.13666666666667</v>
      </c>
      <c r="BH15" s="378">
        <f>+'Борса и балансиране'!M15</f>
        <v>0</v>
      </c>
      <c r="BI15" s="379">
        <f t="shared" si="26"/>
        <v>0</v>
      </c>
      <c r="BK15" s="382">
        <f>+Общо!AT15</f>
        <v>75.89</v>
      </c>
      <c r="BL15" s="383">
        <f t="shared" si="27"/>
        <v>77.763444831942365</v>
      </c>
      <c r="BM15" s="384">
        <f>+Общо!AV15</f>
        <v>87.5233925</v>
      </c>
      <c r="BN15" s="385">
        <f t="shared" si="28"/>
        <v>-9.7599476680576345</v>
      </c>
      <c r="BP15" s="382">
        <f t="shared" si="29"/>
        <v>77.763444831942365</v>
      </c>
      <c r="BQ15" s="386">
        <f t="shared" si="30"/>
        <v>84.699793189641895</v>
      </c>
      <c r="BR15" s="385">
        <f t="shared" si="31"/>
        <v>6.9363483576995293</v>
      </c>
      <c r="BT15" s="314">
        <f t="shared" si="38"/>
        <v>45638</v>
      </c>
      <c r="BU15" s="388">
        <f>+Общо!BE15</f>
        <v>448353.46300000063</v>
      </c>
      <c r="BV15" s="383">
        <f>+Общо!BF15</f>
        <v>102.6448870713515</v>
      </c>
      <c r="BW15" s="389">
        <f>+Общо!BG15</f>
        <v>46021190.57768444</v>
      </c>
      <c r="BY15" s="265">
        <f t="shared" si="39"/>
        <v>45638</v>
      </c>
      <c r="BZ15" s="390">
        <f>+Общо!BJ15</f>
        <v>13159019.48</v>
      </c>
      <c r="CA15" s="390">
        <f>+Общо!BK15</f>
        <v>2753236.08</v>
      </c>
      <c r="CB15" s="390">
        <f>+Общо!BL15</f>
        <v>1965909.42</v>
      </c>
      <c r="CC15" s="390">
        <f>+Общо!BM15</f>
        <v>1014254.12</v>
      </c>
      <c r="CD15" s="390">
        <f>+Общо!BN15</f>
        <v>2567115.04</v>
      </c>
      <c r="CE15" s="390">
        <f>+Общо!BO15</f>
        <v>2295842.69</v>
      </c>
      <c r="CF15" s="390">
        <f>+Общо!BP15</f>
        <v>214211.4</v>
      </c>
      <c r="CG15" s="390">
        <f>+Общо!BQ15</f>
        <v>0</v>
      </c>
      <c r="CH15" s="391">
        <f t="shared" si="42"/>
        <v>23969588.23</v>
      </c>
      <c r="CJ15" s="265">
        <f t="shared" si="40"/>
        <v>45638</v>
      </c>
      <c r="CK15" s="392">
        <f>+Общо!BU15</f>
        <v>12644149.52999999</v>
      </c>
      <c r="CL15" s="392">
        <f>+Общо!BV15</f>
        <v>2082002.6400000025</v>
      </c>
      <c r="CM15" s="392">
        <f>+Общо!BW15</f>
        <v>196792.96999999974</v>
      </c>
      <c r="CN15" s="392">
        <f>+Общо!BX15</f>
        <v>28708.110000000102</v>
      </c>
      <c r="CO15" s="392">
        <f>+Общо!BY15</f>
        <v>27263583.090000004</v>
      </c>
      <c r="CP15" s="392">
        <f>+Общо!BZ15</f>
        <v>1501047.7600000002</v>
      </c>
      <c r="CQ15" s="392">
        <f>+Общо!CA15</f>
        <v>0</v>
      </c>
      <c r="CR15" s="392">
        <f>+Общо!CB15</f>
        <v>3567553.1529600001</v>
      </c>
      <c r="CS15" s="391">
        <f t="shared" si="13"/>
        <v>47283837.252959996</v>
      </c>
      <c r="CU15" s="265">
        <f t="shared" si="41"/>
        <v>45638</v>
      </c>
      <c r="CV15" s="393">
        <f>+Общо!CF15</f>
        <v>25803169.00999999</v>
      </c>
      <c r="CW15" s="393">
        <f>+Общо!CG15</f>
        <v>4835238.7200000025</v>
      </c>
      <c r="CX15" s="393">
        <f>+Общо!CH15</f>
        <v>2162702.3899999997</v>
      </c>
      <c r="CY15" s="393">
        <f>+Общо!CI15</f>
        <v>1042962.2300000001</v>
      </c>
      <c r="CZ15" s="393">
        <f>+Общо!CJ15</f>
        <v>29830698.130000003</v>
      </c>
      <c r="DA15" s="393">
        <f>+Общо!CK15</f>
        <v>3796890.45</v>
      </c>
      <c r="DB15" s="393">
        <f>+Общо!CL15</f>
        <v>214211.4</v>
      </c>
      <c r="DC15" s="393">
        <f>+Общо!CM15</f>
        <v>3567553.1529600001</v>
      </c>
      <c r="DD15" s="394">
        <f t="shared" si="33"/>
        <v>71253425.482960001</v>
      </c>
      <c r="DF15" s="435">
        <v>45597</v>
      </c>
      <c r="DG15" s="436">
        <f>+'баланс 2024'!P15</f>
        <v>30</v>
      </c>
      <c r="DH15" s="437">
        <f>+'баланс 2024'!Q15</f>
        <v>0</v>
      </c>
      <c r="DI15" s="438">
        <f>+'баланс 2024'!R15</f>
        <v>0</v>
      </c>
      <c r="DJ15" s="439">
        <f>+'баланс 2024'!S15</f>
        <v>0</v>
      </c>
      <c r="DK15" s="436">
        <f>+'баланс 2024'!T15</f>
        <v>0</v>
      </c>
      <c r="DL15" s="440">
        <f>+'баланс 2024'!U15</f>
        <v>0</v>
      </c>
      <c r="DM15" s="438">
        <f>+'баланс 2024'!V15</f>
        <v>0</v>
      </c>
    </row>
    <row r="16" spans="2:117" ht="15.75" thickBot="1" x14ac:dyDescent="0.3">
      <c r="B16" s="47">
        <f t="shared" si="34"/>
        <v>45639</v>
      </c>
      <c r="C16" s="365">
        <f>+Общо!C16+Общо!D16+Общо!E16+Общо!F16+Общо!L16+Общо!Y16+Общо!G16+Общо!S16</f>
        <v>712.50599999999986</v>
      </c>
      <c r="D16" s="366">
        <f>+(Общо!C16+Общо!D16+Общо!E16+Общо!F16+Общо!G16+Общо!L16)*Цени!$T$42+Общо!Y16*Цени!$T$42+Общо!S16*Цени!$T$44</f>
        <v>56353.120439999992</v>
      </c>
      <c r="E16" s="366">
        <f>+Перник!T27</f>
        <v>0</v>
      </c>
      <c r="F16" s="367">
        <f>+Общо!H16+Общо!I16+Общо!J16+Общо!K16+Общо!M16+Общо!N16+Общо!O16+Общо!P16+Общо!Q16+Общо!R16+Общо!T16+Общо!U16+Общо!V16+Общо!W16</f>
        <v>5528.3330000000005</v>
      </c>
      <c r="G16" s="368">
        <f>+Общо!H16*Цени!$T$46+Общо!I16*Цени!$T$45+Общо!J16*Цени!$T$46+Общо!K16*Цени!$T$46+Общо!M16*Цени!$T$46+Общо!N16*Цени!$T$46+Общо!O16*Цени!$T$46+Общо!P16*Цени!$T$46+Общо!Q16*Цени!$T$46+Общо!R16*Цени!$T$47+Общо!T16*Цени!$T$45+Общо!V16*'PPC Гърция'!E16+Общо!U16*HERON!E16+'МЕТ ВИТОЛ ДХТ'!F16+'МЕТ ВИТОЛ ДХТ'!L16+'МЕТ ВИТОЛ ДХТ'!R16+'МЕТ ВИТОЛ ДХТ'!X16+'МЕТ ВИТОЛ ДХТ'!AD16+'МЕТ ВИТОЛ ДХТ'!AJ16+'МЕТ ВИТОЛ ДХТ'!AP16+'МЕТ ВИТОЛ ДХТ'!AV16</f>
        <v>470629.70736999996</v>
      </c>
      <c r="H16" s="368">
        <f>+'Борса и балансиране'!F16</f>
        <v>0</v>
      </c>
      <c r="I16" s="368">
        <f>+'Борса и балансиране'!H16</f>
        <v>0</v>
      </c>
      <c r="J16" s="368">
        <f>+'Борса и балансиране'!J16</f>
        <v>0</v>
      </c>
      <c r="K16" s="368">
        <f>+'Борса и балансиране'!N16</f>
        <v>0</v>
      </c>
      <c r="L16" s="368">
        <f>+Цени!Y15</f>
        <v>0</v>
      </c>
      <c r="M16" s="368">
        <f>+Цени!AA15</f>
        <v>0</v>
      </c>
      <c r="N16" s="369">
        <f t="shared" si="14"/>
        <v>6240.8389999999999</v>
      </c>
      <c r="O16" s="370">
        <f t="shared" si="15"/>
        <v>526982.82780999993</v>
      </c>
      <c r="Q16" s="47">
        <f t="shared" si="35"/>
        <v>45639</v>
      </c>
      <c r="R16" s="368">
        <f>+Цени!R15</f>
        <v>0</v>
      </c>
      <c r="S16" s="368">
        <f>+R16*Цени!$R$36</f>
        <v>0</v>
      </c>
      <c r="T16" s="368">
        <f>+Цени!D15</f>
        <v>4345.5870000000004</v>
      </c>
      <c r="U16" s="368">
        <f>+Цени!D15*Цени!$D$36</f>
        <v>329786.59743000002</v>
      </c>
      <c r="V16" s="368">
        <f>+Цени!Q15</f>
        <v>0</v>
      </c>
      <c r="W16" s="368">
        <f>+V16*Цени!$Q$36</f>
        <v>0</v>
      </c>
      <c r="X16" s="368">
        <f>+Цени!C15</f>
        <v>14.516</v>
      </c>
      <c r="Y16" s="368">
        <f>+Цени!C15*Цени!$C$36</f>
        <v>1210.19892</v>
      </c>
      <c r="Z16" s="368">
        <f>+Цени!L15+Цени!M15+Цени!N15+Цени!O15+Цени!P15</f>
        <v>0</v>
      </c>
      <c r="AA16" s="368">
        <f>+Цени!L15*Цени!$L$36+Цени!M15*Цени!$M$36+Цени!N15*Цени!$N$36+Цени!O15*Цени!$O$36+Цени!P15*Цени!$P$36</f>
        <v>0</v>
      </c>
      <c r="AB16" s="368">
        <f>+Цени!S15</f>
        <v>0</v>
      </c>
      <c r="AC16" s="368">
        <f>+AB16*Цени!$S$36</f>
        <v>0</v>
      </c>
      <c r="AD16" s="368">
        <f>+'Борса и балансиране'!C16</f>
        <v>1880</v>
      </c>
      <c r="AE16" s="368">
        <f>+'Борса и балансиране'!E16</f>
        <v>154730</v>
      </c>
      <c r="AF16" s="368">
        <f>+'Борса и балансиране'!K16*-1</f>
        <v>0.73599999999987631</v>
      </c>
      <c r="AG16" s="368">
        <f>+'Борса и балансиране'!O16*-1</f>
        <v>65.92</v>
      </c>
      <c r="AH16" s="368">
        <f t="shared" si="16"/>
        <v>6240.8389999999999</v>
      </c>
      <c r="AI16" s="371">
        <f t="shared" si="17"/>
        <v>485792.71635</v>
      </c>
      <c r="AJ16" s="372"/>
      <c r="AK16" s="314">
        <f t="shared" si="36"/>
        <v>45639</v>
      </c>
      <c r="AL16" s="373">
        <f t="shared" si="44"/>
        <v>485792.71635</v>
      </c>
      <c r="AM16" s="373">
        <f t="shared" si="2"/>
        <v>526982.82780999993</v>
      </c>
      <c r="AN16" s="374">
        <f t="shared" si="3"/>
        <v>41190.111459999927</v>
      </c>
      <c r="AO16" s="370">
        <f>+Плевен!S16+(Общо!C16+Общо!D16+Общо!E16+Общо!F16+Общо!G16+Общо!S16+Общо!L16+Общо!Y16+Общо!I16+Общо!T16)*Цени!$L$58</f>
        <v>3332.8145414999999</v>
      </c>
      <c r="AP16" s="370">
        <v>10186.510272399993</v>
      </c>
      <c r="AQ16" s="371">
        <f>+Общо!AN16</f>
        <v>3890.9</v>
      </c>
      <c r="AR16" s="375">
        <f>+(Цени!$D$36-Цени!$Z$1)*Цени!D15</f>
        <v>-116265.68944373318</v>
      </c>
      <c r="AS16" s="376">
        <f t="shared" si="19"/>
        <v>-85820.173714633231</v>
      </c>
      <c r="AU16" s="314">
        <f t="shared" si="37"/>
        <v>45639</v>
      </c>
      <c r="AV16" s="378">
        <f t="shared" si="4"/>
        <v>79.091432830039324</v>
      </c>
      <c r="AW16" s="378">
        <f t="shared" si="5"/>
        <v>85.130491844467386</v>
      </c>
      <c r="AX16" s="378">
        <f t="shared" si="6"/>
        <v>0</v>
      </c>
      <c r="AY16" s="378">
        <f t="shared" si="7"/>
        <v>0</v>
      </c>
      <c r="AZ16" s="379">
        <f t="shared" si="8"/>
        <v>0</v>
      </c>
      <c r="BB16" s="380">
        <f t="shared" si="20"/>
        <v>83.37</v>
      </c>
      <c r="BC16" s="381">
        <f t="shared" si="21"/>
        <v>0</v>
      </c>
      <c r="BD16" s="381">
        <f t="shared" si="22"/>
        <v>75.89</v>
      </c>
      <c r="BE16" s="381">
        <f t="shared" si="23"/>
        <v>0</v>
      </c>
      <c r="BF16" s="381">
        <f t="shared" si="24"/>
        <v>0</v>
      </c>
      <c r="BG16" s="378">
        <f t="shared" si="25"/>
        <v>82.303191489361708</v>
      </c>
      <c r="BH16" s="378">
        <f>+'Борса и балансиране'!M16</f>
        <v>89.562920000000005</v>
      </c>
      <c r="BI16" s="379">
        <f t="shared" si="26"/>
        <v>0</v>
      </c>
      <c r="BK16" s="382">
        <f>+Общо!AT16</f>
        <v>75.89</v>
      </c>
      <c r="BL16" s="383">
        <f t="shared" si="27"/>
        <v>77.840930738639472</v>
      </c>
      <c r="BM16" s="384">
        <f>+Общо!AV16</f>
        <v>83.17167074999999</v>
      </c>
      <c r="BN16" s="385">
        <f t="shared" si="28"/>
        <v>-5.3307400113605183</v>
      </c>
      <c r="BP16" s="382">
        <f t="shared" si="29"/>
        <v>77.840930738639472</v>
      </c>
      <c r="BQ16" s="386">
        <f t="shared" si="30"/>
        <v>84.441022723066553</v>
      </c>
      <c r="BR16" s="385">
        <f t="shared" si="31"/>
        <v>6.6000919844270811</v>
      </c>
      <c r="BT16" s="314">
        <f t="shared" si="38"/>
        <v>45639</v>
      </c>
      <c r="BU16" s="388">
        <f>+Общо!BE16</f>
        <v>444007.87600000063</v>
      </c>
      <c r="BV16" s="383">
        <f>+Общо!BF16</f>
        <v>102.6448870713515</v>
      </c>
      <c r="BW16" s="389">
        <f>+Общо!BG16</f>
        <v>45575138.290810704</v>
      </c>
      <c r="BY16" s="265">
        <f t="shared" si="39"/>
        <v>45639</v>
      </c>
      <c r="BZ16" s="390">
        <f>+Общо!BJ16</f>
        <v>13159019.48</v>
      </c>
      <c r="CA16" s="390">
        <f>+Общо!BK16</f>
        <v>2753236.08</v>
      </c>
      <c r="CB16" s="390">
        <f>+Общо!BL16</f>
        <v>1965909.42</v>
      </c>
      <c r="CC16" s="390">
        <f>+Общо!BM16</f>
        <v>1014254.12</v>
      </c>
      <c r="CD16" s="390">
        <f>+Общо!BN16</f>
        <v>2567115.04</v>
      </c>
      <c r="CE16" s="390">
        <f>+Общо!BO16</f>
        <v>2295842.69</v>
      </c>
      <c r="CF16" s="390">
        <f>+Общо!BP16</f>
        <v>214211.4</v>
      </c>
      <c r="CG16" s="390">
        <f>+Общо!BQ16</f>
        <v>0</v>
      </c>
      <c r="CH16" s="391">
        <f t="shared" si="42"/>
        <v>23969588.23</v>
      </c>
      <c r="CJ16" s="265">
        <f t="shared" si="40"/>
        <v>45639</v>
      </c>
      <c r="CK16" s="392">
        <f>+Общо!BU16</f>
        <v>12644149.52999999</v>
      </c>
      <c r="CL16" s="392">
        <f>+Общо!BV16</f>
        <v>2082002.6400000025</v>
      </c>
      <c r="CM16" s="392">
        <f>+Общо!BW16</f>
        <v>196792.96999999974</v>
      </c>
      <c r="CN16" s="392">
        <f>+Общо!BX16</f>
        <v>28708.110000000102</v>
      </c>
      <c r="CO16" s="392">
        <f>+Общо!BY16</f>
        <v>27263583.090000004</v>
      </c>
      <c r="CP16" s="392">
        <f>+Общо!BZ16</f>
        <v>1501047.7600000002</v>
      </c>
      <c r="CQ16" s="392">
        <f>+Общо!CA16</f>
        <v>0</v>
      </c>
      <c r="CR16" s="392">
        <f>+Общо!CB16</f>
        <v>3567553.1529600001</v>
      </c>
      <c r="CS16" s="391">
        <f t="shared" si="13"/>
        <v>47283837.252959996</v>
      </c>
      <c r="CU16" s="265">
        <f t="shared" si="41"/>
        <v>45639</v>
      </c>
      <c r="CV16" s="393">
        <f>+Общо!CF16</f>
        <v>25803169.00999999</v>
      </c>
      <c r="CW16" s="393">
        <f>+Общо!CG16</f>
        <v>4835238.7200000025</v>
      </c>
      <c r="CX16" s="393">
        <f>+Общо!CH16</f>
        <v>2162702.3899999997</v>
      </c>
      <c r="CY16" s="393">
        <f>+Общо!CI16</f>
        <v>1042962.2300000001</v>
      </c>
      <c r="CZ16" s="393">
        <f>+Общо!CJ16</f>
        <v>29830698.130000003</v>
      </c>
      <c r="DA16" s="393">
        <f>+Общо!CK16</f>
        <v>3796890.45</v>
      </c>
      <c r="DB16" s="393">
        <f>+Общо!CL16</f>
        <v>214211.4</v>
      </c>
      <c r="DC16" s="393">
        <f>+Общо!CM16</f>
        <v>3567553.1529600001</v>
      </c>
      <c r="DD16" s="394">
        <f t="shared" si="33"/>
        <v>71253425.482960001</v>
      </c>
      <c r="DF16" s="441">
        <v>45627</v>
      </c>
      <c r="DG16" s="442">
        <f>+'баланс 2024'!P16</f>
        <v>31</v>
      </c>
      <c r="DH16" s="443">
        <f>+'баланс 2024'!Q16</f>
        <v>0</v>
      </c>
      <c r="DI16" s="444">
        <f>+'баланс 2024'!R16</f>
        <v>0</v>
      </c>
      <c r="DJ16" s="445">
        <f>+'баланс 2024'!S16</f>
        <v>0</v>
      </c>
      <c r="DK16" s="442">
        <f>+'баланс 2024'!T16</f>
        <v>0</v>
      </c>
      <c r="DL16" s="446">
        <f>+'баланс 2024'!U16</f>
        <v>0</v>
      </c>
      <c r="DM16" s="444">
        <f>+'баланс 2024'!V16</f>
        <v>0</v>
      </c>
    </row>
    <row r="17" spans="2:110" x14ac:dyDescent="0.25">
      <c r="B17" s="47">
        <f t="shared" si="34"/>
        <v>45640</v>
      </c>
      <c r="C17" s="365">
        <f>+Общо!C17+Общо!D17+Общо!E17+Общо!F17+Общо!L17+Общо!Y17+Общо!G17+Общо!S17</f>
        <v>364</v>
      </c>
      <c r="D17" s="366">
        <f>+(Общо!C17+Общо!D17+Общо!E17+Общо!F17+Общо!G17+Общо!L17)*Цени!$T$42+Общо!Y17*Цени!$T$42+Общо!S17*Цени!$T$44</f>
        <v>27623.960000000003</v>
      </c>
      <c r="E17" s="366">
        <f>+Перник!T28</f>
        <v>0</v>
      </c>
      <c r="F17" s="367">
        <f>+Общо!H17+Общо!I17+Общо!J17+Общо!K17+Общо!M17+Общо!N17+Общо!O17+Общо!P17+Общо!Q17+Общо!R17+Общо!T17+Общо!U17+Общо!V17+Общо!W17</f>
        <v>5496.47</v>
      </c>
      <c r="G17" s="368">
        <f>+Общо!H17*Цени!$T$46+Общо!I17*Цени!$T$45+Общо!J17*Цени!$T$46+Общо!K17*Цени!$T$46+Общо!M17*Цени!$T$46+Общо!N17*Цени!$T$46+Общо!O17*Цени!$T$46+Общо!P17*Цени!$T$46+Общо!Q17*Цени!$T$46+Общо!R17*Цени!$T$47+Общо!T17*Цени!$T$45+Общо!V17*'PPC Гърция'!E17+Общо!U17*HERON!E17+'МЕТ ВИТОЛ ДХТ'!F17+'МЕТ ВИТОЛ ДХТ'!L17+'МЕТ ВИТОЛ ДХТ'!R17+'МЕТ ВИТОЛ ДХТ'!X17+'МЕТ ВИТОЛ ДХТ'!AD17+'МЕТ ВИТОЛ ДХТ'!AJ17+'МЕТ ВИТОЛ ДХТ'!AP17+'МЕТ ВИТОЛ ДХТ'!AV17</f>
        <v>467255.21939999994</v>
      </c>
      <c r="H17" s="368">
        <f>+'Борса и балансиране'!F17</f>
        <v>0</v>
      </c>
      <c r="I17" s="368">
        <f>+'Борса и балансиране'!H17</f>
        <v>0</v>
      </c>
      <c r="J17" s="368">
        <f>+'Борса и балансиране'!J17</f>
        <v>0</v>
      </c>
      <c r="K17" s="368">
        <f>+'Борса и балансиране'!N17</f>
        <v>0</v>
      </c>
      <c r="L17" s="368">
        <f>+Цени!Y16</f>
        <v>0</v>
      </c>
      <c r="M17" s="368">
        <f>+Цени!AA16</f>
        <v>0</v>
      </c>
      <c r="N17" s="369">
        <f t="shared" si="14"/>
        <v>5860.47</v>
      </c>
      <c r="O17" s="370">
        <f t="shared" si="15"/>
        <v>494879.17939999996</v>
      </c>
      <c r="Q17" s="47">
        <f t="shared" si="35"/>
        <v>45640</v>
      </c>
      <c r="R17" s="368">
        <f>+Цени!R16</f>
        <v>0</v>
      </c>
      <c r="S17" s="368">
        <f>+R17*Цени!$R$36</f>
        <v>0</v>
      </c>
      <c r="T17" s="368">
        <f>+Цени!D16</f>
        <v>4345.5870000000004</v>
      </c>
      <c r="U17" s="368">
        <f>+Цени!D16*Цени!$D$36</f>
        <v>329786.59743000002</v>
      </c>
      <c r="V17" s="368">
        <f>+Цени!Q16</f>
        <v>0</v>
      </c>
      <c r="W17" s="368">
        <f>+V17*Цени!$Q$36</f>
        <v>0</v>
      </c>
      <c r="X17" s="368">
        <f>+Цени!C16</f>
        <v>14.516</v>
      </c>
      <c r="Y17" s="368">
        <f>+Цени!C16*Цени!$C$36</f>
        <v>1210.19892</v>
      </c>
      <c r="Z17" s="368">
        <f>+Цени!L16+Цени!M16+Цени!N16+Цени!O16+Цени!P16</f>
        <v>0</v>
      </c>
      <c r="AA17" s="368">
        <f>+Цени!L16*Цени!$L$36+Цени!M16*Цени!$M$36+Цени!N16*Цени!$N$36+Цени!O16*Цени!$O$36+Цени!P16*Цени!$P$36</f>
        <v>0</v>
      </c>
      <c r="AB17" s="368">
        <f>+Цени!S16</f>
        <v>0</v>
      </c>
      <c r="AC17" s="368">
        <f>+AB17*Цени!$S$36</f>
        <v>0</v>
      </c>
      <c r="AD17" s="368">
        <f>+'Борса и балансиране'!C17</f>
        <v>1500</v>
      </c>
      <c r="AE17" s="368">
        <f>+'Борса и балансиране'!E17</f>
        <v>122960</v>
      </c>
      <c r="AF17" s="368">
        <f>+'Борса и балансиране'!K17*-1</f>
        <v>0.36700000000018917</v>
      </c>
      <c r="AG17" s="368">
        <f>+'Борса и балансиране'!O17*-1</f>
        <v>32.61</v>
      </c>
      <c r="AH17" s="368">
        <f t="shared" si="16"/>
        <v>5860.4700000000012</v>
      </c>
      <c r="AI17" s="371">
        <f t="shared" si="17"/>
        <v>453989.40635</v>
      </c>
      <c r="AJ17" s="372"/>
      <c r="AK17" s="314">
        <f t="shared" si="36"/>
        <v>45640</v>
      </c>
      <c r="AL17" s="373">
        <f t="shared" si="44"/>
        <v>453989.40635</v>
      </c>
      <c r="AM17" s="373">
        <f t="shared" si="2"/>
        <v>494879.17939999996</v>
      </c>
      <c r="AN17" s="374">
        <f t="shared" si="3"/>
        <v>40889.77304999996</v>
      </c>
      <c r="AO17" s="370">
        <f>+Плевен!S17+(Общо!C17+Общо!D17+Общо!E17+Общо!F17+Общо!G17+Общо!S17+Общо!L17+Общо!Y17+Общо!I17+Общо!T17)*Цени!$L$58</f>
        <v>1342.3340595</v>
      </c>
      <c r="AP17" s="370">
        <v>10186.510272399993</v>
      </c>
      <c r="AQ17" s="371">
        <f>+Общо!AN17</f>
        <v>3890.9</v>
      </c>
      <c r="AR17" s="375">
        <f>+(Цени!$D$36-Цени!$Z$1)*Цени!D16</f>
        <v>-116265.68944373318</v>
      </c>
      <c r="AS17" s="376">
        <f t="shared" si="19"/>
        <v>-88110.992606633197</v>
      </c>
      <c r="AU17" s="314">
        <f t="shared" si="37"/>
        <v>45640</v>
      </c>
      <c r="AV17" s="378">
        <f t="shared" si="4"/>
        <v>75.89</v>
      </c>
      <c r="AW17" s="378">
        <f t="shared" si="5"/>
        <v>85.010055435579545</v>
      </c>
      <c r="AX17" s="378">
        <f t="shared" si="6"/>
        <v>0</v>
      </c>
      <c r="AY17" s="378">
        <f t="shared" si="7"/>
        <v>0</v>
      </c>
      <c r="AZ17" s="379">
        <f t="shared" si="8"/>
        <v>0</v>
      </c>
      <c r="BB17" s="380">
        <f t="shared" si="20"/>
        <v>83.37</v>
      </c>
      <c r="BC17" s="381">
        <f t="shared" si="21"/>
        <v>0</v>
      </c>
      <c r="BD17" s="381">
        <f t="shared" si="22"/>
        <v>75.89</v>
      </c>
      <c r="BE17" s="381">
        <f t="shared" si="23"/>
        <v>0</v>
      </c>
      <c r="BF17" s="381">
        <f t="shared" si="24"/>
        <v>0</v>
      </c>
      <c r="BG17" s="378">
        <f t="shared" si="25"/>
        <v>81.973333333333329</v>
      </c>
      <c r="BH17" s="378">
        <f>+'Борса и балансиране'!M17</f>
        <v>88.854140000000001</v>
      </c>
      <c r="BI17" s="379">
        <f t="shared" si="26"/>
        <v>0</v>
      </c>
      <c r="BK17" s="382">
        <f>+Общо!AT17</f>
        <v>75.89</v>
      </c>
      <c r="BL17" s="383">
        <f t="shared" si="27"/>
        <v>77.466381766308828</v>
      </c>
      <c r="BM17" s="384">
        <f>+Общо!AV17</f>
        <v>78.673261749999995</v>
      </c>
      <c r="BN17" s="396">
        <f>31.375*1.95583</f>
        <v>61.364166249999997</v>
      </c>
      <c r="BP17" s="382">
        <f t="shared" si="29"/>
        <v>77.466381766308828</v>
      </c>
      <c r="BQ17" s="386">
        <f t="shared" si="30"/>
        <v>84.443599131127698</v>
      </c>
      <c r="BR17" s="385">
        <f t="shared" si="31"/>
        <v>6.9772173648188698</v>
      </c>
      <c r="BT17" s="314">
        <f t="shared" si="38"/>
        <v>45640</v>
      </c>
      <c r="BU17" s="388">
        <f>+Общо!BE17</f>
        <v>439662.28900000063</v>
      </c>
      <c r="BV17" s="383">
        <f>+Общо!BF17</f>
        <v>102.64488707135149</v>
      </c>
      <c r="BW17" s="389">
        <f>+Общо!BG17</f>
        <v>45129086.003936969</v>
      </c>
      <c r="BY17" s="265">
        <f t="shared" si="39"/>
        <v>45640</v>
      </c>
      <c r="BZ17" s="390">
        <f>+Общо!BJ17</f>
        <v>13159019.48</v>
      </c>
      <c r="CA17" s="390">
        <f>+Общо!BK17</f>
        <v>2753236.08</v>
      </c>
      <c r="CB17" s="390">
        <f>+Общо!BL17</f>
        <v>1965909.42</v>
      </c>
      <c r="CC17" s="390">
        <f>+Общо!BM17</f>
        <v>1014254.12</v>
      </c>
      <c r="CD17" s="390">
        <f>+Общо!BN17</f>
        <v>2567115.04</v>
      </c>
      <c r="CE17" s="390">
        <f>+Общо!BO17</f>
        <v>2295842.69</v>
      </c>
      <c r="CF17" s="390">
        <f>+Общо!BP17</f>
        <v>214211.4</v>
      </c>
      <c r="CG17" s="390">
        <f>+Общо!BQ17</f>
        <v>0</v>
      </c>
      <c r="CH17" s="391">
        <f t="shared" si="42"/>
        <v>23969588.23</v>
      </c>
      <c r="CJ17" s="265">
        <f t="shared" si="40"/>
        <v>45640</v>
      </c>
      <c r="CK17" s="392">
        <f>+Общо!BU17</f>
        <v>12644149.52999999</v>
      </c>
      <c r="CL17" s="392">
        <f>+Общо!BV17</f>
        <v>2082002.6400000025</v>
      </c>
      <c r="CM17" s="392">
        <f>+Общо!BW17</f>
        <v>196792.96999999974</v>
      </c>
      <c r="CN17" s="392">
        <f>+Общо!BX17</f>
        <v>28708.110000000102</v>
      </c>
      <c r="CO17" s="392">
        <f>+Общо!BY17</f>
        <v>27263583.090000004</v>
      </c>
      <c r="CP17" s="392">
        <f>+Общо!BZ17</f>
        <v>1501047.7600000002</v>
      </c>
      <c r="CQ17" s="392">
        <f>+Общо!CA17</f>
        <v>0</v>
      </c>
      <c r="CR17" s="392">
        <f>+Общо!CB17</f>
        <v>3567553.1529600001</v>
      </c>
      <c r="CS17" s="391">
        <f t="shared" si="13"/>
        <v>47283837.252959996</v>
      </c>
      <c r="CU17" s="265">
        <f t="shared" si="41"/>
        <v>45640</v>
      </c>
      <c r="CV17" s="393">
        <f>+Общо!CF17</f>
        <v>25803169.00999999</v>
      </c>
      <c r="CW17" s="393">
        <f>+Общо!CG17</f>
        <v>4835238.7200000025</v>
      </c>
      <c r="CX17" s="393">
        <f>+Общо!CH17</f>
        <v>2162702.3899999997</v>
      </c>
      <c r="CY17" s="393">
        <f>+Общо!CI17</f>
        <v>1042962.2300000001</v>
      </c>
      <c r="CZ17" s="393">
        <f>+Общо!CJ17</f>
        <v>29830698.130000003</v>
      </c>
      <c r="DA17" s="393">
        <f>+Общо!CK17</f>
        <v>3796890.45</v>
      </c>
      <c r="DB17" s="393">
        <f>+Общо!CL17</f>
        <v>214211.4</v>
      </c>
      <c r="DC17" s="393">
        <f>+Общо!CM17</f>
        <v>3567553.1529600001</v>
      </c>
      <c r="DD17" s="394">
        <f t="shared" si="33"/>
        <v>71253425.482960001</v>
      </c>
      <c r="DF17" s="447" t="s">
        <v>235</v>
      </c>
    </row>
    <row r="18" spans="2:110" x14ac:dyDescent="0.25">
      <c r="B18" s="47">
        <f t="shared" si="34"/>
        <v>45641</v>
      </c>
      <c r="C18" s="365">
        <f>+Общо!C18+Общо!D18+Общо!E18+Общо!F18+Общо!L18+Общо!Y18+Общо!G18+Общо!S18</f>
        <v>368.31300000000005</v>
      </c>
      <c r="D18" s="366">
        <f>+(Общо!C18+Общо!D18+Общо!E18+Общо!F18+Общо!G18+Общо!L18)*Цени!$T$42+Общо!Y18*Цени!$T$42+Общо!S18*Цени!$T$44</f>
        <v>27951.273570000005</v>
      </c>
      <c r="E18" s="366">
        <f>+Перник!T29</f>
        <v>0</v>
      </c>
      <c r="F18" s="367">
        <f>+Общо!H18+Общо!I18+Общо!J18+Общо!K18+Общо!M18+Общо!N18+Общо!O18+Общо!P18+Общо!Q18+Общо!R18+Общо!T18+Общо!U18+Общо!V18+Общо!W18</f>
        <v>5491.79</v>
      </c>
      <c r="G18" s="368">
        <f>+Общо!H18*Цени!$T$46+Общо!I18*Цени!$T$45+Общо!J18*Цени!$T$46+Общо!K18*Цени!$T$46+Общо!M18*Цени!$T$46+Общо!N18*Цени!$T$46+Общо!O18*Цени!$T$46+Общо!P18*Цени!$T$46+Общо!Q18*Цени!$T$46+Общо!R18*Цени!$T$47+Общо!T18*Цени!$T$45+Общо!V18*'PPC Гърция'!E18+Общо!U18*HERON!E18+'МЕТ ВИТОЛ ДХТ'!F18+'МЕТ ВИТОЛ ДХТ'!L18+'МЕТ ВИТОЛ ДХТ'!R18+'МЕТ ВИТОЛ ДХТ'!X18+'МЕТ ВИТОЛ ДХТ'!AD18+'МЕТ ВИТОЛ ДХТ'!AJ18+'МЕТ ВИТОЛ ДХТ'!AP18+'МЕТ ВИТОЛ ДХТ'!AV18</f>
        <v>466859.88410000002</v>
      </c>
      <c r="H18" s="368">
        <f>+'Борса и балансиране'!F18</f>
        <v>0</v>
      </c>
      <c r="I18" s="368">
        <f>+'Борса и балансиране'!H18</f>
        <v>0</v>
      </c>
      <c r="J18" s="368">
        <f>+'Борса и балансиране'!J18</f>
        <v>0</v>
      </c>
      <c r="K18" s="368">
        <f>+'Борса и балансиране'!N18</f>
        <v>0</v>
      </c>
      <c r="L18" s="368">
        <f>+Цени!Y17</f>
        <v>0</v>
      </c>
      <c r="M18" s="368">
        <f>+Цени!AA17</f>
        <v>0</v>
      </c>
      <c r="N18" s="369">
        <f t="shared" si="14"/>
        <v>5860.1030000000001</v>
      </c>
      <c r="O18" s="370">
        <f t="shared" si="15"/>
        <v>494811.15767000004</v>
      </c>
      <c r="Q18" s="47">
        <f t="shared" si="35"/>
        <v>45641</v>
      </c>
      <c r="R18" s="368">
        <f>+Цени!R17</f>
        <v>0</v>
      </c>
      <c r="S18" s="368">
        <f>+R18*Цени!$R$36</f>
        <v>0</v>
      </c>
      <c r="T18" s="368">
        <f>+Цени!D17</f>
        <v>4345.5870000000004</v>
      </c>
      <c r="U18" s="368">
        <f>+Цени!D17*Цени!$D$36</f>
        <v>329786.59743000002</v>
      </c>
      <c r="V18" s="368">
        <f>+Цени!Q17</f>
        <v>0</v>
      </c>
      <c r="W18" s="368">
        <f>+V18*Цени!$Q$36</f>
        <v>0</v>
      </c>
      <c r="X18" s="368">
        <f>+Цени!C17</f>
        <v>14.516</v>
      </c>
      <c r="Y18" s="368">
        <f>+Цени!C17*Цени!$C$36</f>
        <v>1210.19892</v>
      </c>
      <c r="Z18" s="368">
        <f>+Цени!L17+Цени!M17+Цени!N17+Цени!O17+Цени!P17</f>
        <v>0</v>
      </c>
      <c r="AA18" s="368">
        <f>+Цени!L17*Цени!$L$36+Цени!M17*Цени!$M$36+Цени!N17*Цени!$N$36+Цени!O17*Цени!$O$36+Цени!P17*Цени!$P$36</f>
        <v>0</v>
      </c>
      <c r="AB18" s="368">
        <f>+Цени!S17</f>
        <v>0</v>
      </c>
      <c r="AC18" s="368">
        <f>+AB18*Цени!$S$36</f>
        <v>0</v>
      </c>
      <c r="AD18" s="368">
        <f>+'Борса и балансиране'!C18</f>
        <v>1500</v>
      </c>
      <c r="AE18" s="368">
        <f>+'Борса и балансиране'!E18</f>
        <v>122960</v>
      </c>
      <c r="AF18" s="368">
        <f>+'Борса и балансиране'!K18*-1</f>
        <v>0</v>
      </c>
      <c r="AG18" s="368">
        <f>+'Борса и балансиране'!O18*-1</f>
        <v>0</v>
      </c>
      <c r="AH18" s="368">
        <f t="shared" si="16"/>
        <v>5860.103000000001</v>
      </c>
      <c r="AI18" s="371">
        <f t="shared" si="17"/>
        <v>453956.79635000002</v>
      </c>
      <c r="AJ18" s="372"/>
      <c r="AK18" s="314">
        <f t="shared" si="36"/>
        <v>45641</v>
      </c>
      <c r="AL18" s="373">
        <f t="shared" si="44"/>
        <v>453956.79635000002</v>
      </c>
      <c r="AM18" s="373">
        <f t="shared" si="2"/>
        <v>494811.15767000004</v>
      </c>
      <c r="AN18" s="374">
        <f t="shared" si="3"/>
        <v>40854.361320000025</v>
      </c>
      <c r="AO18" s="370">
        <f>+Плевен!S18+(Общо!C18+Общо!D18+Общо!E18+Общо!F18+Общо!G18+Общо!S18+Общо!L18+Общо!Y18+Общо!I18+Общо!T18)*Цени!$L$58</f>
        <v>1375.5200055</v>
      </c>
      <c r="AP18" s="370">
        <v>10186.510272399993</v>
      </c>
      <c r="AQ18" s="371">
        <f>+Общо!AN18</f>
        <v>3890.9</v>
      </c>
      <c r="AR18" s="375">
        <f>+(Цени!$D$36-Цени!$Z$1)*Цени!D17</f>
        <v>-116265.68944373318</v>
      </c>
      <c r="AS18" s="376">
        <f t="shared" si="19"/>
        <v>-88113.218390633134</v>
      </c>
      <c r="AU18" s="314">
        <f t="shared" si="37"/>
        <v>45641</v>
      </c>
      <c r="AV18" s="378">
        <f t="shared" si="4"/>
        <v>75.89</v>
      </c>
      <c r="AW18" s="378">
        <f t="shared" si="5"/>
        <v>85.010512801836924</v>
      </c>
      <c r="AX18" s="378">
        <f t="shared" si="6"/>
        <v>0</v>
      </c>
      <c r="AY18" s="378">
        <f t="shared" si="7"/>
        <v>0</v>
      </c>
      <c r="AZ18" s="379">
        <f t="shared" si="8"/>
        <v>0</v>
      </c>
      <c r="BB18" s="380">
        <f t="shared" si="20"/>
        <v>83.37</v>
      </c>
      <c r="BC18" s="381">
        <f t="shared" si="21"/>
        <v>0</v>
      </c>
      <c r="BD18" s="381">
        <f t="shared" si="22"/>
        <v>75.89</v>
      </c>
      <c r="BE18" s="381">
        <f t="shared" si="23"/>
        <v>0</v>
      </c>
      <c r="BF18" s="381">
        <f t="shared" si="24"/>
        <v>0</v>
      </c>
      <c r="BG18" s="378">
        <f t="shared" si="25"/>
        <v>81.973333333333329</v>
      </c>
      <c r="BH18" s="378">
        <f>+'Борса и балансиране'!M18</f>
        <v>0</v>
      </c>
      <c r="BI18" s="379">
        <f t="shared" si="26"/>
        <v>0</v>
      </c>
      <c r="BK18" s="382">
        <f>+Общо!AT18</f>
        <v>75.89</v>
      </c>
      <c r="BL18" s="383">
        <f t="shared" si="27"/>
        <v>77.465668495929151</v>
      </c>
      <c r="BM18" s="384">
        <f>+Общо!AV18</f>
        <v>80.091238500000003</v>
      </c>
      <c r="BN18" s="385">
        <f t="shared" si="28"/>
        <v>-2.6255700040708518</v>
      </c>
      <c r="BP18" s="382">
        <f t="shared" si="29"/>
        <v>77.465668495929151</v>
      </c>
      <c r="BQ18" s="386">
        <f t="shared" si="30"/>
        <v>84.437279971017574</v>
      </c>
      <c r="BR18" s="385">
        <f t="shared" si="31"/>
        <v>6.971611475088423</v>
      </c>
      <c r="BT18" s="314">
        <f t="shared" si="38"/>
        <v>45641</v>
      </c>
      <c r="BU18" s="388">
        <f>+Общо!BE18</f>
        <v>435316.70200000063</v>
      </c>
      <c r="BV18" s="383">
        <f>+Общо!BF18</f>
        <v>102.64488707135149</v>
      </c>
      <c r="BW18" s="389">
        <f>+Общо!BG18</f>
        <v>44683033.717063233</v>
      </c>
      <c r="BY18" s="265">
        <f t="shared" si="39"/>
        <v>45641</v>
      </c>
      <c r="BZ18" s="390">
        <f>+Общо!BJ18</f>
        <v>13159019.48</v>
      </c>
      <c r="CA18" s="390">
        <f>+Общо!BK18</f>
        <v>2753236.08</v>
      </c>
      <c r="CB18" s="390">
        <f>+Общо!BL18</f>
        <v>1965909.42</v>
      </c>
      <c r="CC18" s="390">
        <f>+Общо!BM18</f>
        <v>1014254.12</v>
      </c>
      <c r="CD18" s="390">
        <f>+Общо!BN18</f>
        <v>2567115.04</v>
      </c>
      <c r="CE18" s="390">
        <f>+Общо!BO18</f>
        <v>2295842.69</v>
      </c>
      <c r="CF18" s="390">
        <f>+Общо!BP18</f>
        <v>139080</v>
      </c>
      <c r="CG18" s="390">
        <f>+Общо!BQ18</f>
        <v>0</v>
      </c>
      <c r="CH18" s="391">
        <f>SUM(BZ18:CG18)</f>
        <v>23894456.830000002</v>
      </c>
      <c r="CJ18" s="265">
        <f t="shared" si="40"/>
        <v>45641</v>
      </c>
      <c r="CK18" s="392">
        <f>+Общо!BU18</f>
        <v>12644149.52999999</v>
      </c>
      <c r="CL18" s="392">
        <f>+Общо!BV18</f>
        <v>2082002.6400000025</v>
      </c>
      <c r="CM18" s="392">
        <f>+Общо!BW18</f>
        <v>196792.96999999974</v>
      </c>
      <c r="CN18" s="392">
        <f>+Общо!BX18</f>
        <v>28708.110000000102</v>
      </c>
      <c r="CO18" s="392">
        <f>+Общо!BY18</f>
        <v>27263583.090000004</v>
      </c>
      <c r="CP18" s="392">
        <f>+Общо!BZ18</f>
        <v>1501047.7600000002</v>
      </c>
      <c r="CQ18" s="392">
        <f>+Общо!CA18</f>
        <v>0</v>
      </c>
      <c r="CR18" s="392">
        <f>+Общо!CB18</f>
        <v>3567553.1529600001</v>
      </c>
      <c r="CS18" s="391">
        <f>SUM(CK18:CR18)</f>
        <v>47283837.252959996</v>
      </c>
      <c r="CU18" s="265">
        <f t="shared" si="41"/>
        <v>45641</v>
      </c>
      <c r="CV18" s="393">
        <f>+Общо!CF18</f>
        <v>25803169.00999999</v>
      </c>
      <c r="CW18" s="393">
        <f>+Общо!CG18</f>
        <v>4835238.7200000025</v>
      </c>
      <c r="CX18" s="393">
        <f>+Общо!CH18</f>
        <v>2162702.3899999997</v>
      </c>
      <c r="CY18" s="393">
        <f>+Общо!CI18</f>
        <v>1042962.2300000001</v>
      </c>
      <c r="CZ18" s="393">
        <f>+Общо!CJ18</f>
        <v>29830698.130000003</v>
      </c>
      <c r="DA18" s="393">
        <f>+Общо!CK18</f>
        <v>3796890.45</v>
      </c>
      <c r="DB18" s="393">
        <f>+Общо!CL18</f>
        <v>139080</v>
      </c>
      <c r="DC18" s="393">
        <f>+Общо!CM18</f>
        <v>3567553.1529600001</v>
      </c>
      <c r="DD18" s="394">
        <f>SUM(CV18:DC18)</f>
        <v>71178294.082959995</v>
      </c>
    </row>
    <row r="19" spans="2:110" x14ac:dyDescent="0.25">
      <c r="B19" s="47">
        <f t="shared" si="34"/>
        <v>45642</v>
      </c>
      <c r="C19" s="365">
        <f>+Общо!C19+Общо!D19+Общо!E19+Общо!F19+Общо!L19+Общо!Y19+Общо!G19+Общо!S19</f>
        <v>387.94699999999995</v>
      </c>
      <c r="D19" s="366">
        <f>+(Общо!C19+Общо!D19+Общо!E19+Общо!F19+Общо!G19+Общо!L19)*Цени!$T$42+Общо!Y19*Цени!$T$42+Общо!S19*Цени!$T$44</f>
        <v>29441.297829999996</v>
      </c>
      <c r="E19" s="366">
        <f>+Перник!T30</f>
        <v>0</v>
      </c>
      <c r="F19" s="367">
        <f>+Общо!H19+Общо!I19+Общо!J19+Общо!K19+Общо!M19+Общо!N19+Общо!O19+Общо!P19+Общо!Q19+Общо!R19+Общо!T19+Общо!U19+Общо!V19+Общо!W19</f>
        <v>5602.1559999999999</v>
      </c>
      <c r="G19" s="368">
        <f>+Общо!H19*Цени!$T$46+Общо!I19*Цени!$T$45+Общо!J19*Цени!$T$46+Общо!K19*Цени!$T$46+Общо!M19*Цени!$T$46+Общо!N19*Цени!$T$46+Общо!O19*Цени!$T$46+Общо!P19*Цени!$T$46+Общо!Q19*Цени!$T$46+Общо!R19*Цени!$T$47+Общо!T19*Цени!$T$45+Общо!V19*'PPC Гърция'!E19+Общо!U19*HERON!E19+'МЕТ ВИТОЛ ДХТ'!F19+'МЕТ ВИТОЛ ДХТ'!L19+'МЕТ ВИТОЛ ДХТ'!R19+'МЕТ ВИТОЛ ДХТ'!X19+'МЕТ ВИТОЛ ДХТ'!AD19+'МЕТ ВИТОЛ ДХТ'!AJ19+'МЕТ ВИТОЛ ДХТ'!AP19+'МЕТ ВИТОЛ ДХТ'!AV19</f>
        <v>476459.14913999999</v>
      </c>
      <c r="H19" s="368">
        <f>+'Борса и балансиране'!F19</f>
        <v>0</v>
      </c>
      <c r="I19" s="368">
        <f>+'Борса и балансиране'!H19</f>
        <v>0</v>
      </c>
      <c r="J19" s="368">
        <f>+'Борса и балансиране'!J19</f>
        <v>0</v>
      </c>
      <c r="K19" s="368">
        <f>+'Борса и балансиране'!N19</f>
        <v>0</v>
      </c>
      <c r="L19" s="368">
        <f>+Цени!Y18</f>
        <v>0</v>
      </c>
      <c r="M19" s="368">
        <f>+Цени!AA18</f>
        <v>0</v>
      </c>
      <c r="N19" s="369">
        <f t="shared" si="14"/>
        <v>5990.1030000000001</v>
      </c>
      <c r="O19" s="370">
        <f t="shared" si="15"/>
        <v>505900.44696999999</v>
      </c>
      <c r="Q19" s="47">
        <f t="shared" si="35"/>
        <v>45642</v>
      </c>
      <c r="R19" s="368">
        <f>+Цени!R18</f>
        <v>0</v>
      </c>
      <c r="S19" s="368">
        <f>+R19*Цени!$R$36</f>
        <v>0</v>
      </c>
      <c r="T19" s="368">
        <f>+Цени!D18</f>
        <v>4345.5870000000004</v>
      </c>
      <c r="U19" s="368">
        <f>+Цени!D18*Цени!$D$36</f>
        <v>329786.59743000002</v>
      </c>
      <c r="V19" s="368">
        <f>+Цени!Q18</f>
        <v>0</v>
      </c>
      <c r="W19" s="368">
        <f>+V19*Цени!$Q$36</f>
        <v>0</v>
      </c>
      <c r="X19" s="368">
        <f>+Цени!C18</f>
        <v>14.516</v>
      </c>
      <c r="Y19" s="368">
        <f>+Цени!C18*Цени!$C$36</f>
        <v>1210.19892</v>
      </c>
      <c r="Z19" s="368">
        <f>+Цени!L18+Цени!M18+Цени!N18+Цени!O18+Цени!P18</f>
        <v>0</v>
      </c>
      <c r="AA19" s="368">
        <f>+Цени!L18*Цени!$L$36+Цени!M18*Цени!$M$36+Цени!N18*Цени!$N$36+Цени!O18*Цени!$O$36+Цени!P18*Цени!$P$36</f>
        <v>0</v>
      </c>
      <c r="AB19" s="368">
        <f>+Цени!S18</f>
        <v>0</v>
      </c>
      <c r="AC19" s="368">
        <f>+AB19*Цени!$S$36</f>
        <v>0</v>
      </c>
      <c r="AD19" s="368">
        <f>+'Борса и балансиране'!C19</f>
        <v>1630</v>
      </c>
      <c r="AE19" s="368">
        <f>+'Борса и балансиране'!E19</f>
        <v>132560</v>
      </c>
      <c r="AF19" s="368">
        <f>+'Борса и балансиране'!K19*-1</f>
        <v>0</v>
      </c>
      <c r="AG19" s="368">
        <f>+'Борса и балансиране'!O19*-1</f>
        <v>0</v>
      </c>
      <c r="AH19" s="368">
        <f t="shared" si="16"/>
        <v>5990.103000000001</v>
      </c>
      <c r="AI19" s="371">
        <f t="shared" si="17"/>
        <v>463556.79635000002</v>
      </c>
      <c r="AJ19" s="372"/>
      <c r="AK19" s="314">
        <f t="shared" si="36"/>
        <v>45642</v>
      </c>
      <c r="AL19" s="373">
        <f t="shared" si="44"/>
        <v>463556.79635000002</v>
      </c>
      <c r="AM19" s="373">
        <f t="shared" si="2"/>
        <v>505900.44696999999</v>
      </c>
      <c r="AN19" s="374">
        <f t="shared" si="3"/>
        <v>42343.650619999971</v>
      </c>
      <c r="AO19" s="370">
        <f>+Плевен!S19+(Общо!C19+Общо!D19+Общо!E19+Общо!F19+Общо!G19+Общо!S19+Общо!L19+Общо!Y19+Общо!I19+Общо!T19)*Цени!$L$58</f>
        <v>1908.3867989999999</v>
      </c>
      <c r="AP19" s="370">
        <v>10186.510272399993</v>
      </c>
      <c r="AQ19" s="371">
        <f>+Общо!AN19</f>
        <v>3890.9</v>
      </c>
      <c r="AR19" s="375">
        <f>+(Цени!$D$36-Цени!$Z$1)*Цени!D18</f>
        <v>-116265.68944373318</v>
      </c>
      <c r="AS19" s="376">
        <f t="shared" si="19"/>
        <v>-86091.06229713319</v>
      </c>
      <c r="AU19" s="314">
        <f t="shared" si="37"/>
        <v>45642</v>
      </c>
      <c r="AV19" s="378">
        <f t="shared" si="4"/>
        <v>75.89</v>
      </c>
      <c r="AW19" s="378">
        <f t="shared" si="5"/>
        <v>85.049246957778394</v>
      </c>
      <c r="AX19" s="378">
        <f t="shared" si="6"/>
        <v>0</v>
      </c>
      <c r="AY19" s="378">
        <f t="shared" si="7"/>
        <v>0</v>
      </c>
      <c r="AZ19" s="379">
        <f t="shared" si="8"/>
        <v>0</v>
      </c>
      <c r="BB19" s="380">
        <f t="shared" si="20"/>
        <v>83.37</v>
      </c>
      <c r="BC19" s="381">
        <f t="shared" si="21"/>
        <v>0</v>
      </c>
      <c r="BD19" s="381">
        <f t="shared" si="22"/>
        <v>75.89</v>
      </c>
      <c r="BE19" s="381">
        <f t="shared" si="23"/>
        <v>0</v>
      </c>
      <c r="BF19" s="381">
        <f t="shared" si="24"/>
        <v>0</v>
      </c>
      <c r="BG19" s="378">
        <f t="shared" si="25"/>
        <v>81.325153374233125</v>
      </c>
      <c r="BH19" s="378">
        <f>+'Борса и балансиране'!M19</f>
        <v>0</v>
      </c>
      <c r="BI19" s="379">
        <f t="shared" si="26"/>
        <v>0</v>
      </c>
      <c r="BK19" s="382">
        <f>+Общо!AT19</f>
        <v>75.89</v>
      </c>
      <c r="BL19" s="383">
        <f t="shared" si="27"/>
        <v>77.387116106350746</v>
      </c>
      <c r="BM19" s="384">
        <f>+Общо!AV19</f>
        <v>80.091238500000003</v>
      </c>
      <c r="BN19" s="385">
        <f t="shared" si="28"/>
        <v>-2.7041223936492571</v>
      </c>
      <c r="BP19" s="382">
        <f t="shared" si="29"/>
        <v>77.387116106350746</v>
      </c>
      <c r="BQ19" s="386">
        <f t="shared" si="30"/>
        <v>84.456051418481451</v>
      </c>
      <c r="BR19" s="385">
        <f t="shared" si="31"/>
        <v>7.068935312130705</v>
      </c>
      <c r="BT19" s="314">
        <f t="shared" si="38"/>
        <v>45642</v>
      </c>
      <c r="BU19" s="388">
        <f>+Общо!BE19</f>
        <v>430971.11500000063</v>
      </c>
      <c r="BV19" s="383">
        <f>+Общо!BF19</f>
        <v>102.64488707135148</v>
      </c>
      <c r="BW19" s="389">
        <f>+Общо!BG19</f>
        <v>44236981.430189498</v>
      </c>
      <c r="BY19" s="265">
        <f t="shared" si="39"/>
        <v>45642</v>
      </c>
      <c r="BZ19" s="390">
        <f>+Общо!BJ19</f>
        <v>13159019.48</v>
      </c>
      <c r="CA19" s="390">
        <f>+Общо!BK19</f>
        <v>2753236.08</v>
      </c>
      <c r="CB19" s="390">
        <f>+Общо!BL19</f>
        <v>1965909.42</v>
      </c>
      <c r="CC19" s="390">
        <f>+Общо!BM19</f>
        <v>1014254.12</v>
      </c>
      <c r="CD19" s="390">
        <f>+Общо!BN19</f>
        <v>2567115.04</v>
      </c>
      <c r="CE19" s="390">
        <f>+Общо!BO19</f>
        <v>2295842.69</v>
      </c>
      <c r="CF19" s="390">
        <f>+Общо!BP19</f>
        <v>266157.44664400001</v>
      </c>
      <c r="CG19" s="390">
        <f>+Общо!BQ19</f>
        <v>0</v>
      </c>
      <c r="CH19" s="391">
        <f t="shared" ref="CH19:CH27" si="45">SUM(BZ19:CG19)</f>
        <v>24021534.276644003</v>
      </c>
      <c r="CJ19" s="265">
        <f t="shared" si="40"/>
        <v>45642</v>
      </c>
      <c r="CK19" s="392">
        <f>+Общо!BU19</f>
        <v>12644149.52999999</v>
      </c>
      <c r="CL19" s="392">
        <f>+Общо!BV19</f>
        <v>2082002.6400000025</v>
      </c>
      <c r="CM19" s="392">
        <f>+Общо!BW19</f>
        <v>196792.96999999974</v>
      </c>
      <c r="CN19" s="392">
        <f>+Общо!BX19</f>
        <v>28708.110000000102</v>
      </c>
      <c r="CO19" s="392">
        <f>+Общо!BY19</f>
        <v>27522808.350000001</v>
      </c>
      <c r="CP19" s="392">
        <f>+Общо!BZ19</f>
        <v>1501047.7600000002</v>
      </c>
      <c r="CQ19" s="392">
        <f>+Общо!CA19</f>
        <v>0</v>
      </c>
      <c r="CR19" s="392">
        <f>+Общо!CB19</f>
        <v>3567553.1529600001</v>
      </c>
      <c r="CS19" s="391">
        <f t="shared" ref="CS19:CS29" si="46">SUM(CK19:CR19)</f>
        <v>47543062.512959994</v>
      </c>
      <c r="CU19" s="265">
        <f t="shared" si="41"/>
        <v>45642</v>
      </c>
      <c r="CV19" s="393">
        <f>+Общо!CF19</f>
        <v>25803169.00999999</v>
      </c>
      <c r="CW19" s="393">
        <f>+Общо!CG19</f>
        <v>4835238.7200000025</v>
      </c>
      <c r="CX19" s="393">
        <f>+Общо!CH19</f>
        <v>2162702.3899999997</v>
      </c>
      <c r="CY19" s="393">
        <f>+Общо!CI19</f>
        <v>1042962.2300000001</v>
      </c>
      <c r="CZ19" s="393">
        <f>+Общо!CJ19</f>
        <v>30089923.390000001</v>
      </c>
      <c r="DA19" s="393">
        <f>+Общо!CK19</f>
        <v>3796890.45</v>
      </c>
      <c r="DB19" s="393">
        <f>+Общо!CL19</f>
        <v>266157.44664400001</v>
      </c>
      <c r="DC19" s="393">
        <f>+Общо!CM19</f>
        <v>3567553.1529600001</v>
      </c>
      <c r="DD19" s="394">
        <f t="shared" ref="DD19:DD26" si="47">SUM(CV19:DC19)</f>
        <v>71564596.789603993</v>
      </c>
    </row>
    <row r="20" spans="2:110" x14ac:dyDescent="0.25">
      <c r="B20" s="47">
        <f t="shared" si="34"/>
        <v>45643</v>
      </c>
      <c r="C20" s="365">
        <f>+Общо!C20+Общо!D20+Общо!E20+Общо!F20+Общо!L20+Общо!Y20+Общо!G20+Общо!S20</f>
        <v>0</v>
      </c>
      <c r="D20" s="366">
        <f>+(Общо!C20+Общо!D20+Общо!E20+Общо!F20+Общо!G20+Общо!L20)*Цени!$T$42+Общо!Y20*Цени!$T$42+Общо!S20*Цени!$T$44</f>
        <v>0</v>
      </c>
      <c r="E20" s="366">
        <f>+Перник!T31</f>
        <v>0</v>
      </c>
      <c r="F20" s="367">
        <f>+Общо!H20+Общо!I20+Общо!J20+Общо!K20+Общо!M20+Общо!N20+Общо!O20+Общо!P20+Общо!Q20+Общо!R20+Общо!T20+Общо!U20+Общо!V20+Общо!W20</f>
        <v>0</v>
      </c>
      <c r="G20" s="368">
        <f>+Общо!H20*Цени!$T$46+Общо!I20*Цени!$T$45+Общо!J20*Цени!$T$46+Общо!K20*Цени!$T$46+Общо!M20*Цени!$T$46+Общо!N20*Цени!$T$46+Общо!O20*Цени!$T$46+Общо!P20*Цени!$T$46+Общо!Q20*Цени!$T$46+Общо!R20*Цени!$T$47+Общо!T20*Цени!$T$45+Общо!V20*'PPC Гърция'!E20+Общо!U20*HERON!E20+'МЕТ ВИТОЛ ДХТ'!F20+'МЕТ ВИТОЛ ДХТ'!L20+'МЕТ ВИТОЛ ДХТ'!R20+'МЕТ ВИТОЛ ДХТ'!X20+'МЕТ ВИТОЛ ДХТ'!AD20+'МЕТ ВИТОЛ ДХТ'!AJ20+'МЕТ ВИТОЛ ДХТ'!AP20+'МЕТ ВИТОЛ ДХТ'!AV20</f>
        <v>0</v>
      </c>
      <c r="H20" s="368">
        <f>+'Борса и балансиране'!F20</f>
        <v>0</v>
      </c>
      <c r="I20" s="368">
        <f>+'Борса и балансиране'!H20</f>
        <v>0</v>
      </c>
      <c r="J20" s="368">
        <f>+'Борса и балансиране'!J20</f>
        <v>0</v>
      </c>
      <c r="K20" s="368">
        <f>+'Борса и балансиране'!N20</f>
        <v>0</v>
      </c>
      <c r="L20" s="368">
        <f>+Цени!Y19</f>
        <v>0</v>
      </c>
      <c r="M20" s="368">
        <f>+Цени!AA19</f>
        <v>0</v>
      </c>
      <c r="N20" s="369">
        <f t="shared" si="14"/>
        <v>0</v>
      </c>
      <c r="O20" s="370">
        <f t="shared" si="15"/>
        <v>0</v>
      </c>
      <c r="Q20" s="47">
        <f t="shared" si="35"/>
        <v>45643</v>
      </c>
      <c r="R20" s="368">
        <f>+Цени!R19</f>
        <v>0</v>
      </c>
      <c r="S20" s="368">
        <f>+R20*Цени!$R$36</f>
        <v>0</v>
      </c>
      <c r="T20" s="368">
        <f>+Цени!D19</f>
        <v>0</v>
      </c>
      <c r="U20" s="368">
        <f>+Цени!D19*Цени!$D$36</f>
        <v>0</v>
      </c>
      <c r="V20" s="368">
        <f>+Цени!Q19</f>
        <v>0</v>
      </c>
      <c r="W20" s="368">
        <f>+V20*Цени!$Q$36</f>
        <v>0</v>
      </c>
      <c r="X20" s="368">
        <f>+Цени!C19</f>
        <v>0</v>
      </c>
      <c r="Y20" s="368">
        <f>+Цени!C19*Цени!$C$36</f>
        <v>0</v>
      </c>
      <c r="Z20" s="368">
        <f>+Цени!L19+Цени!M19+Цени!N19+Цени!O19+Цени!P19</f>
        <v>0</v>
      </c>
      <c r="AA20" s="368">
        <f>+Цени!L19*Цени!$L$36+Цени!M19*Цени!$M$36+Цени!N19*Цени!$N$36+Цени!O19*Цени!$O$36+Цени!P19*Цени!$P$36</f>
        <v>0</v>
      </c>
      <c r="AB20" s="368">
        <f>+Цени!S19</f>
        <v>0</v>
      </c>
      <c r="AC20" s="368">
        <f>+AB20*Цени!$S$36</f>
        <v>0</v>
      </c>
      <c r="AD20" s="368">
        <f>+'Борса и балансиране'!C20</f>
        <v>0</v>
      </c>
      <c r="AE20" s="368">
        <f>+'Борса и балансиране'!E20</f>
        <v>0</v>
      </c>
      <c r="AF20" s="368">
        <f>+'Борса и балансиране'!K20*-1</f>
        <v>0</v>
      </c>
      <c r="AG20" s="368">
        <f>+'Борса и балансиране'!O20*-1</f>
        <v>0</v>
      </c>
      <c r="AH20" s="368">
        <f t="shared" si="16"/>
        <v>0</v>
      </c>
      <c r="AI20" s="371">
        <f t="shared" si="17"/>
        <v>0</v>
      </c>
      <c r="AJ20" s="372"/>
      <c r="AK20" s="314">
        <f t="shared" si="36"/>
        <v>45643</v>
      </c>
      <c r="AL20" s="373">
        <f t="shared" si="44"/>
        <v>0</v>
      </c>
      <c r="AM20" s="373">
        <f t="shared" si="2"/>
        <v>0</v>
      </c>
      <c r="AN20" s="374">
        <f t="shared" si="3"/>
        <v>0</v>
      </c>
      <c r="AO20" s="370">
        <v>0</v>
      </c>
      <c r="AP20" s="370">
        <v>0</v>
      </c>
      <c r="AQ20" s="371">
        <f>+Общо!AN20</f>
        <v>0</v>
      </c>
      <c r="AR20" s="375">
        <f>+(Цени!$D$36-Цени!$Z$1)*Цени!D19</f>
        <v>0</v>
      </c>
      <c r="AS20" s="376">
        <f t="shared" si="19"/>
        <v>0</v>
      </c>
      <c r="AU20" s="314">
        <f t="shared" si="37"/>
        <v>45643</v>
      </c>
      <c r="AV20" s="378">
        <f t="shared" si="4"/>
        <v>0</v>
      </c>
      <c r="AW20" s="378">
        <f t="shared" si="5"/>
        <v>0</v>
      </c>
      <c r="AX20" s="378">
        <f t="shared" si="6"/>
        <v>0</v>
      </c>
      <c r="AY20" s="378">
        <f t="shared" si="7"/>
        <v>0</v>
      </c>
      <c r="AZ20" s="379">
        <f t="shared" si="8"/>
        <v>0</v>
      </c>
      <c r="BB20" s="380">
        <f t="shared" si="20"/>
        <v>0</v>
      </c>
      <c r="BC20" s="381">
        <f t="shared" si="21"/>
        <v>0</v>
      </c>
      <c r="BD20" s="381">
        <f t="shared" si="22"/>
        <v>0</v>
      </c>
      <c r="BE20" s="381">
        <f t="shared" si="23"/>
        <v>0</v>
      </c>
      <c r="BF20" s="381">
        <f t="shared" si="24"/>
        <v>0</v>
      </c>
      <c r="BG20" s="378">
        <f t="shared" si="25"/>
        <v>0</v>
      </c>
      <c r="BH20" s="378">
        <f>+'Борса и балансиране'!M20</f>
        <v>0</v>
      </c>
      <c r="BI20" s="379">
        <f t="shared" si="26"/>
        <v>0</v>
      </c>
      <c r="BK20" s="382">
        <f>+Общо!AT20</f>
        <v>75.89</v>
      </c>
      <c r="BL20" s="383">
        <f t="shared" si="27"/>
        <v>0</v>
      </c>
      <c r="BM20" s="384">
        <f>+Общо!AV20</f>
        <v>0</v>
      </c>
      <c r="BN20" s="385">
        <f t="shared" si="28"/>
        <v>0</v>
      </c>
      <c r="BP20" s="382">
        <f t="shared" si="29"/>
        <v>0</v>
      </c>
      <c r="BQ20" s="386">
        <f t="shared" si="30"/>
        <v>0</v>
      </c>
      <c r="BR20" s="385">
        <f t="shared" si="31"/>
        <v>0</v>
      </c>
      <c r="BT20" s="314">
        <f t="shared" si="38"/>
        <v>45643</v>
      </c>
      <c r="BU20" s="388">
        <f>+Общо!BE20</f>
        <v>0</v>
      </c>
      <c r="BV20" s="383">
        <f>+Общо!BF20</f>
        <v>0</v>
      </c>
      <c r="BW20" s="389">
        <f>+Общо!BG20</f>
        <v>0</v>
      </c>
      <c r="BY20" s="265">
        <f t="shared" si="39"/>
        <v>45643</v>
      </c>
      <c r="BZ20" s="390">
        <f>+Общо!BJ20</f>
        <v>0</v>
      </c>
      <c r="CA20" s="390">
        <f>+Общо!BK20</f>
        <v>0</v>
      </c>
      <c r="CB20" s="390">
        <f>+Общо!BL20</f>
        <v>0</v>
      </c>
      <c r="CC20" s="390">
        <f>+Общо!BM20</f>
        <v>0</v>
      </c>
      <c r="CD20" s="390">
        <f>+Общо!BN20</f>
        <v>0</v>
      </c>
      <c r="CE20" s="390">
        <f>+Общо!BO20</f>
        <v>0</v>
      </c>
      <c r="CF20" s="390">
        <f>+Общо!BP20</f>
        <v>0</v>
      </c>
      <c r="CG20" s="390">
        <f>+Общо!BQ20</f>
        <v>0</v>
      </c>
      <c r="CH20" s="391">
        <f t="shared" si="45"/>
        <v>0</v>
      </c>
      <c r="CJ20" s="265">
        <f t="shared" si="40"/>
        <v>45643</v>
      </c>
      <c r="CK20" s="392">
        <f>+Общо!BU20</f>
        <v>0</v>
      </c>
      <c r="CL20" s="392">
        <f>+Общо!BV20</f>
        <v>0</v>
      </c>
      <c r="CM20" s="392">
        <f>+Общо!BW20</f>
        <v>0</v>
      </c>
      <c r="CN20" s="392">
        <f>+Общо!BX20</f>
        <v>0</v>
      </c>
      <c r="CO20" s="392">
        <f>+Общо!BY20</f>
        <v>0</v>
      </c>
      <c r="CP20" s="392">
        <f>+Общо!BZ20</f>
        <v>0</v>
      </c>
      <c r="CQ20" s="392">
        <f>+Общо!CA20</f>
        <v>0</v>
      </c>
      <c r="CR20" s="392">
        <f>+Общо!CB20</f>
        <v>0</v>
      </c>
      <c r="CS20" s="391">
        <f t="shared" si="46"/>
        <v>0</v>
      </c>
      <c r="CU20" s="265">
        <f t="shared" si="41"/>
        <v>45643</v>
      </c>
      <c r="CV20" s="393">
        <f>+Общо!CF20</f>
        <v>0</v>
      </c>
      <c r="CW20" s="393">
        <f>+Общо!CG20</f>
        <v>0</v>
      </c>
      <c r="CX20" s="393">
        <f>+Общо!CH20</f>
        <v>0</v>
      </c>
      <c r="CY20" s="393">
        <f>+Общо!CI20</f>
        <v>0</v>
      </c>
      <c r="CZ20" s="393">
        <f>+Общо!CJ20</f>
        <v>0</v>
      </c>
      <c r="DA20" s="393">
        <f>+Общо!CK20</f>
        <v>0</v>
      </c>
      <c r="DB20" s="393">
        <f>+Общо!CL20</f>
        <v>0</v>
      </c>
      <c r="DC20" s="393">
        <f>+Общо!CM20</f>
        <v>0</v>
      </c>
      <c r="DD20" s="394">
        <f t="shared" si="47"/>
        <v>0</v>
      </c>
    </row>
    <row r="21" spans="2:110" x14ac:dyDescent="0.25">
      <c r="B21" s="47">
        <f t="shared" si="34"/>
        <v>45644</v>
      </c>
      <c r="C21" s="365">
        <f>+Общо!C21+Общо!D21+Общо!E21+Общо!F21+Общо!L21+Общо!Y21+Общо!G21+Общо!S21</f>
        <v>0</v>
      </c>
      <c r="D21" s="366">
        <f>+(Общо!C21+Общо!D21+Общо!E21+Общо!F21+Общо!G21+Общо!L21)*Цени!$T$42+Общо!Y21*Цени!$T$42+Общо!S21*Цени!$T$44</f>
        <v>0</v>
      </c>
      <c r="E21" s="366">
        <f>+Перник!T32</f>
        <v>0</v>
      </c>
      <c r="F21" s="367">
        <f>+Общо!H21+Общо!I21+Общо!J21+Общо!K21+Общо!M21+Общо!N21+Общо!O21+Общо!P21+Общо!Q21+Общо!R21+Общо!T21+Общо!U21+Общо!V21+Общо!W21</f>
        <v>0</v>
      </c>
      <c r="G21" s="368">
        <f>+Общо!H21*Цени!$T$46+Общо!I21*Цени!$T$45+Общо!J21*Цени!$T$46+Общо!K21*Цени!$T$46+Общо!M21*Цени!$T$46+Общо!N21*Цени!$T$46+Общо!O21*Цени!$T$46+Общо!P21*Цени!$T$46+Общо!Q21*Цени!$T$46+Общо!R21*Цени!$T$47+Общо!T21*Цени!$T$45+Общо!V21*'PPC Гърция'!E21+Общо!U21*HERON!E21+'МЕТ ВИТОЛ ДХТ'!F21+'МЕТ ВИТОЛ ДХТ'!L21+'МЕТ ВИТОЛ ДХТ'!R21+'МЕТ ВИТОЛ ДХТ'!X21+'МЕТ ВИТОЛ ДХТ'!AD21+'МЕТ ВИТОЛ ДХТ'!AJ21+'МЕТ ВИТОЛ ДХТ'!AP21+'МЕТ ВИТОЛ ДХТ'!AV21</f>
        <v>0</v>
      </c>
      <c r="H21" s="368">
        <f>+'Борса и балансиране'!F21</f>
        <v>0</v>
      </c>
      <c r="I21" s="368">
        <f>+'Борса и балансиране'!H21</f>
        <v>0</v>
      </c>
      <c r="J21" s="368">
        <f>+'Борса и балансиране'!J21</f>
        <v>0</v>
      </c>
      <c r="K21" s="368">
        <f>+'Борса и балансиране'!N21</f>
        <v>0</v>
      </c>
      <c r="L21" s="368">
        <f>+Цени!Y20</f>
        <v>0</v>
      </c>
      <c r="M21" s="368">
        <f>+Цени!AA20</f>
        <v>0</v>
      </c>
      <c r="N21" s="369">
        <f t="shared" si="14"/>
        <v>0</v>
      </c>
      <c r="O21" s="370">
        <f t="shared" si="15"/>
        <v>0</v>
      </c>
      <c r="Q21" s="47">
        <f t="shared" si="35"/>
        <v>45644</v>
      </c>
      <c r="R21" s="368">
        <f>+Цени!R20</f>
        <v>0</v>
      </c>
      <c r="S21" s="368">
        <f>+R21*Цени!$R$36</f>
        <v>0</v>
      </c>
      <c r="T21" s="368">
        <f>+Цени!D20</f>
        <v>0</v>
      </c>
      <c r="U21" s="368">
        <f>+Цени!D20*Цени!$D$36</f>
        <v>0</v>
      </c>
      <c r="V21" s="368">
        <f>+Цени!Q20</f>
        <v>0</v>
      </c>
      <c r="W21" s="368">
        <f>+V21*Цени!$Q$36</f>
        <v>0</v>
      </c>
      <c r="X21" s="368">
        <f>+Цени!C20</f>
        <v>0</v>
      </c>
      <c r="Y21" s="368">
        <f>+Цени!C20*Цени!$C$36</f>
        <v>0</v>
      </c>
      <c r="Z21" s="368">
        <f>+Цени!L20+Цени!M20+Цени!N20+Цени!O20+Цени!P20</f>
        <v>0</v>
      </c>
      <c r="AA21" s="368">
        <f>+Цени!L20*Цени!$L$36+Цени!M20*Цени!$M$36+Цени!N20*Цени!$N$36+Цени!O20*Цени!$O$36+Цени!P20*Цени!$P$36</f>
        <v>0</v>
      </c>
      <c r="AB21" s="368">
        <f>+Цени!S20</f>
        <v>0</v>
      </c>
      <c r="AC21" s="368">
        <f>+AB21*Цени!$S$36</f>
        <v>0</v>
      </c>
      <c r="AD21" s="368">
        <f>+'Борса и балансиране'!C21</f>
        <v>0</v>
      </c>
      <c r="AE21" s="368">
        <f>+'Борса и балансиране'!E21</f>
        <v>0</v>
      </c>
      <c r="AF21" s="368">
        <f>+'Борса и балансиране'!K21*-1</f>
        <v>0</v>
      </c>
      <c r="AG21" s="368">
        <f>+'Борса и балансиране'!O21*-1</f>
        <v>0</v>
      </c>
      <c r="AH21" s="368">
        <f t="shared" si="16"/>
        <v>0</v>
      </c>
      <c r="AI21" s="371">
        <f t="shared" si="17"/>
        <v>0</v>
      </c>
      <c r="AJ21" s="372"/>
      <c r="AK21" s="314">
        <f t="shared" si="36"/>
        <v>45644</v>
      </c>
      <c r="AL21" s="373">
        <f t="shared" si="44"/>
        <v>0</v>
      </c>
      <c r="AM21" s="373">
        <f t="shared" si="2"/>
        <v>0</v>
      </c>
      <c r="AN21" s="374">
        <f t="shared" si="3"/>
        <v>0</v>
      </c>
      <c r="AO21" s="370">
        <v>0</v>
      </c>
      <c r="AP21" s="370">
        <v>0</v>
      </c>
      <c r="AQ21" s="371">
        <f>+Общо!AN21</f>
        <v>0</v>
      </c>
      <c r="AR21" s="375">
        <f>+(Цени!$D$36-Цени!$Z$1)*Цени!D20</f>
        <v>0</v>
      </c>
      <c r="AS21" s="376">
        <f t="shared" si="19"/>
        <v>0</v>
      </c>
      <c r="AU21" s="314">
        <f t="shared" si="37"/>
        <v>45644</v>
      </c>
      <c r="AV21" s="378">
        <f t="shared" si="4"/>
        <v>0</v>
      </c>
      <c r="AW21" s="378">
        <f t="shared" si="5"/>
        <v>0</v>
      </c>
      <c r="AX21" s="378">
        <f t="shared" si="6"/>
        <v>0</v>
      </c>
      <c r="AY21" s="378">
        <f t="shared" si="7"/>
        <v>0</v>
      </c>
      <c r="AZ21" s="379">
        <f t="shared" si="8"/>
        <v>0</v>
      </c>
      <c r="BB21" s="380">
        <f t="shared" si="20"/>
        <v>0</v>
      </c>
      <c r="BC21" s="381">
        <f t="shared" si="21"/>
        <v>0</v>
      </c>
      <c r="BD21" s="381">
        <f t="shared" si="22"/>
        <v>0</v>
      </c>
      <c r="BE21" s="381">
        <f t="shared" si="23"/>
        <v>0</v>
      </c>
      <c r="BF21" s="381">
        <f t="shared" si="24"/>
        <v>0</v>
      </c>
      <c r="BG21" s="378">
        <f t="shared" si="25"/>
        <v>0</v>
      </c>
      <c r="BH21" s="378">
        <f>+'Борса и балансиране'!M21</f>
        <v>0</v>
      </c>
      <c r="BI21" s="379">
        <f t="shared" si="26"/>
        <v>0</v>
      </c>
      <c r="BK21" s="382">
        <f>+Общо!AT21</f>
        <v>75.89</v>
      </c>
      <c r="BL21" s="383">
        <f t="shared" si="27"/>
        <v>0</v>
      </c>
      <c r="BM21" s="384">
        <f>+Общо!AV21</f>
        <v>0</v>
      </c>
      <c r="BN21" s="385">
        <f t="shared" si="28"/>
        <v>0</v>
      </c>
      <c r="BP21" s="382">
        <f t="shared" si="29"/>
        <v>0</v>
      </c>
      <c r="BQ21" s="386">
        <f t="shared" si="30"/>
        <v>0</v>
      </c>
      <c r="BR21" s="385">
        <f t="shared" si="31"/>
        <v>0</v>
      </c>
      <c r="BT21" s="314">
        <f t="shared" si="38"/>
        <v>45644</v>
      </c>
      <c r="BU21" s="388">
        <f>+Общо!BE21</f>
        <v>0</v>
      </c>
      <c r="BV21" s="383">
        <f>+Общо!BF21</f>
        <v>0</v>
      </c>
      <c r="BW21" s="389">
        <f>+Общо!BG21</f>
        <v>0</v>
      </c>
      <c r="BY21" s="265">
        <f t="shared" si="39"/>
        <v>45644</v>
      </c>
      <c r="BZ21" s="390">
        <f>+Общо!BJ21</f>
        <v>0</v>
      </c>
      <c r="CA21" s="390">
        <f>+Общо!BK21</f>
        <v>0</v>
      </c>
      <c r="CB21" s="390">
        <f>+Общо!BL21</f>
        <v>0</v>
      </c>
      <c r="CC21" s="390">
        <f>+Общо!BM21</f>
        <v>0</v>
      </c>
      <c r="CD21" s="390">
        <f>+Общо!BN21</f>
        <v>0</v>
      </c>
      <c r="CE21" s="390">
        <f>+Общо!BO21</f>
        <v>0</v>
      </c>
      <c r="CF21" s="390">
        <f>+Общо!BP21</f>
        <v>0</v>
      </c>
      <c r="CG21" s="390">
        <f>+Общо!BQ21</f>
        <v>0</v>
      </c>
      <c r="CH21" s="391">
        <f t="shared" si="45"/>
        <v>0</v>
      </c>
      <c r="CJ21" s="265">
        <f t="shared" si="40"/>
        <v>45644</v>
      </c>
      <c r="CK21" s="392">
        <f>+Общо!BU21</f>
        <v>0</v>
      </c>
      <c r="CL21" s="392">
        <f>+Общо!BV21</f>
        <v>0</v>
      </c>
      <c r="CM21" s="392">
        <f>+Общо!BW21</f>
        <v>0</v>
      </c>
      <c r="CN21" s="392">
        <f>+Общо!BX21</f>
        <v>0</v>
      </c>
      <c r="CO21" s="392">
        <f>+Общо!BY21</f>
        <v>0</v>
      </c>
      <c r="CP21" s="392">
        <f>+Общо!BZ21</f>
        <v>0</v>
      </c>
      <c r="CQ21" s="392">
        <f>+Общо!CA21</f>
        <v>0</v>
      </c>
      <c r="CR21" s="392">
        <f>+Общо!CB21</f>
        <v>0</v>
      </c>
      <c r="CS21" s="391">
        <f t="shared" si="46"/>
        <v>0</v>
      </c>
      <c r="CU21" s="265">
        <f t="shared" si="41"/>
        <v>45644</v>
      </c>
      <c r="CV21" s="393">
        <f>+Общо!CF21</f>
        <v>0</v>
      </c>
      <c r="CW21" s="393">
        <f>+Общо!CG21</f>
        <v>0</v>
      </c>
      <c r="CX21" s="393">
        <f>+Общо!CH21</f>
        <v>0</v>
      </c>
      <c r="CY21" s="393">
        <f>+Общо!CI21</f>
        <v>0</v>
      </c>
      <c r="CZ21" s="393">
        <f>+Общо!CJ21</f>
        <v>0</v>
      </c>
      <c r="DA21" s="393">
        <f>+Общо!CK21</f>
        <v>0</v>
      </c>
      <c r="DB21" s="393">
        <f>+Общо!CL21</f>
        <v>0</v>
      </c>
      <c r="DC21" s="393">
        <f>+Общо!CM21</f>
        <v>0</v>
      </c>
      <c r="DD21" s="394">
        <f t="shared" si="47"/>
        <v>0</v>
      </c>
    </row>
    <row r="22" spans="2:110" x14ac:dyDescent="0.25">
      <c r="B22" s="47">
        <f t="shared" si="34"/>
        <v>45645</v>
      </c>
      <c r="C22" s="365">
        <f>+Общо!C22+Общо!D22+Общо!E22+Общо!F22+Общо!L22+Общо!Y22+Общо!G22+Общо!S22</f>
        <v>0</v>
      </c>
      <c r="D22" s="366">
        <f>+(Общо!C22+Общо!D22+Общо!E22+Общо!F22+Общо!G22+Общо!L22)*Цени!$T$42+Общо!Y22*Цени!$T$42+Общо!S22*Цени!$T$44</f>
        <v>0</v>
      </c>
      <c r="E22" s="366">
        <f>+Перник!T33</f>
        <v>0</v>
      </c>
      <c r="F22" s="367">
        <f>+Общо!H22+Общо!I22+Общо!J22+Общо!K22+Общо!M22+Общо!N22+Общо!O22+Общо!P22+Общо!Q22+Общо!R22+Общо!T22+Общо!U22+Общо!V22+Общо!W22</f>
        <v>0</v>
      </c>
      <c r="G22" s="368">
        <f>+Общо!H22*Цени!$T$46+Общо!I22*Цени!$T$45+Общо!J22*Цени!$T$46+Общо!K22*Цени!$T$46+Общо!M22*Цени!$T$46+Общо!N22*Цени!$T$46+Общо!O22*Цени!$T$46+Общо!P22*Цени!$T$46+Общо!Q22*Цени!$T$46+Общо!R22*Цени!$T$47+Общо!T22*Цени!$T$45+Общо!V22*'PPC Гърция'!E22+Общо!U22*HERON!E22+'МЕТ ВИТОЛ ДХТ'!F22+'МЕТ ВИТОЛ ДХТ'!L22+'МЕТ ВИТОЛ ДХТ'!R22+'МЕТ ВИТОЛ ДХТ'!X22+'МЕТ ВИТОЛ ДХТ'!AD22+'МЕТ ВИТОЛ ДХТ'!AJ22+'МЕТ ВИТОЛ ДХТ'!AP22+'МЕТ ВИТОЛ ДХТ'!AV22</f>
        <v>0</v>
      </c>
      <c r="H22" s="368">
        <f>+'Борса и балансиране'!F22</f>
        <v>0</v>
      </c>
      <c r="I22" s="368">
        <f>+'Борса и балансиране'!H22</f>
        <v>0</v>
      </c>
      <c r="J22" s="368">
        <f>+'Борса и балансиране'!J22</f>
        <v>0</v>
      </c>
      <c r="K22" s="368">
        <f>+'Борса и балансиране'!N22</f>
        <v>0</v>
      </c>
      <c r="L22" s="368">
        <f>+Цени!Y21</f>
        <v>0</v>
      </c>
      <c r="M22" s="368">
        <f>+Цени!AA21</f>
        <v>0</v>
      </c>
      <c r="N22" s="369">
        <f t="shared" si="14"/>
        <v>0</v>
      </c>
      <c r="O22" s="370">
        <f t="shared" si="15"/>
        <v>0</v>
      </c>
      <c r="Q22" s="47">
        <f t="shared" si="35"/>
        <v>45645</v>
      </c>
      <c r="R22" s="368">
        <f>+Цени!R21</f>
        <v>0</v>
      </c>
      <c r="S22" s="368">
        <f>+R22*Цени!$R$36</f>
        <v>0</v>
      </c>
      <c r="T22" s="368">
        <f>+Цени!D21</f>
        <v>0</v>
      </c>
      <c r="U22" s="368">
        <f>+Цени!D21*Цени!$D$36</f>
        <v>0</v>
      </c>
      <c r="V22" s="368">
        <f>+Цени!Q21</f>
        <v>0</v>
      </c>
      <c r="W22" s="368">
        <f>+V22*Цени!$Q$36</f>
        <v>0</v>
      </c>
      <c r="X22" s="368">
        <f>+Цени!C21</f>
        <v>0</v>
      </c>
      <c r="Y22" s="368">
        <f>+Цени!C21*Цени!$C$36</f>
        <v>0</v>
      </c>
      <c r="Z22" s="368">
        <f>+Цени!L21+Цени!M21+Цени!N21+Цени!O21+Цени!P21</f>
        <v>0</v>
      </c>
      <c r="AA22" s="368">
        <f>+Цени!L21*Цени!$L$36+Цени!M21*Цени!$M$36+Цени!N21*Цени!$N$36+Цени!O21*Цени!$O$36+Цени!P21*Цени!$P$36</f>
        <v>0</v>
      </c>
      <c r="AB22" s="368">
        <f>+Цени!S21</f>
        <v>0</v>
      </c>
      <c r="AC22" s="368">
        <f>+AB22*Цени!$S$36</f>
        <v>0</v>
      </c>
      <c r="AD22" s="368">
        <f>+'Борса и балансиране'!C22</f>
        <v>0</v>
      </c>
      <c r="AE22" s="368">
        <f>+'Борса и балансиране'!E22</f>
        <v>0</v>
      </c>
      <c r="AF22" s="368">
        <f>+'Борса и балансиране'!K22*-1</f>
        <v>0</v>
      </c>
      <c r="AG22" s="368">
        <f>+'Борса и балансиране'!O22*-1</f>
        <v>0</v>
      </c>
      <c r="AH22" s="368">
        <f t="shared" si="16"/>
        <v>0</v>
      </c>
      <c r="AI22" s="371">
        <f t="shared" si="17"/>
        <v>0</v>
      </c>
      <c r="AJ22" s="372"/>
      <c r="AK22" s="314">
        <f t="shared" si="36"/>
        <v>45645</v>
      </c>
      <c r="AL22" s="373">
        <f t="shared" si="44"/>
        <v>0</v>
      </c>
      <c r="AM22" s="373">
        <f t="shared" si="2"/>
        <v>0</v>
      </c>
      <c r="AN22" s="374">
        <f t="shared" ref="AN22:AN23" si="48">+AM22-AL22</f>
        <v>0</v>
      </c>
      <c r="AO22" s="370">
        <v>0</v>
      </c>
      <c r="AP22" s="370">
        <v>0</v>
      </c>
      <c r="AQ22" s="371">
        <f>+Общо!AN22</f>
        <v>0</v>
      </c>
      <c r="AR22" s="375">
        <f>+(Цени!$D$36-Цени!$Z$1)*Цени!D21</f>
        <v>0</v>
      </c>
      <c r="AS22" s="376">
        <f t="shared" si="19"/>
        <v>0</v>
      </c>
      <c r="AU22" s="314">
        <f t="shared" si="37"/>
        <v>45645</v>
      </c>
      <c r="AV22" s="378">
        <f t="shared" si="4"/>
        <v>0</v>
      </c>
      <c r="AW22" s="378">
        <f t="shared" si="5"/>
        <v>0</v>
      </c>
      <c r="AX22" s="378">
        <f t="shared" si="6"/>
        <v>0</v>
      </c>
      <c r="AY22" s="378">
        <f t="shared" si="7"/>
        <v>0</v>
      </c>
      <c r="AZ22" s="379">
        <f t="shared" si="8"/>
        <v>0</v>
      </c>
      <c r="BB22" s="380">
        <f t="shared" si="20"/>
        <v>0</v>
      </c>
      <c r="BC22" s="381">
        <f t="shared" si="21"/>
        <v>0</v>
      </c>
      <c r="BD22" s="381">
        <f t="shared" si="22"/>
        <v>0</v>
      </c>
      <c r="BE22" s="381">
        <f t="shared" si="23"/>
        <v>0</v>
      </c>
      <c r="BF22" s="381">
        <f t="shared" si="24"/>
        <v>0</v>
      </c>
      <c r="BG22" s="378">
        <f t="shared" si="25"/>
        <v>0</v>
      </c>
      <c r="BH22" s="378">
        <f>+'Борса и балансиране'!M22</f>
        <v>0</v>
      </c>
      <c r="BI22" s="379">
        <f t="shared" si="26"/>
        <v>0</v>
      </c>
      <c r="BK22" s="382">
        <f>+Общо!AT22</f>
        <v>75.89</v>
      </c>
      <c r="BL22" s="383">
        <f t="shared" si="27"/>
        <v>0</v>
      </c>
      <c r="BM22" s="384">
        <f>+Общо!AV22</f>
        <v>0</v>
      </c>
      <c r="BN22" s="385">
        <f t="shared" si="28"/>
        <v>0</v>
      </c>
      <c r="BP22" s="382">
        <f t="shared" si="29"/>
        <v>0</v>
      </c>
      <c r="BQ22" s="386">
        <f t="shared" si="30"/>
        <v>0</v>
      </c>
      <c r="BR22" s="385">
        <f t="shared" si="31"/>
        <v>0</v>
      </c>
      <c r="BT22" s="314">
        <f t="shared" si="38"/>
        <v>45645</v>
      </c>
      <c r="BU22" s="388">
        <f>+Общо!BE22</f>
        <v>0</v>
      </c>
      <c r="BV22" s="383">
        <f>+Общо!BF22</f>
        <v>0</v>
      </c>
      <c r="BW22" s="389">
        <f>+Общо!BG22</f>
        <v>0</v>
      </c>
      <c r="BY22" s="265">
        <f t="shared" si="39"/>
        <v>45645</v>
      </c>
      <c r="BZ22" s="390">
        <f>+Общо!BJ22</f>
        <v>0</v>
      </c>
      <c r="CA22" s="390">
        <f>+Общо!BK22</f>
        <v>0</v>
      </c>
      <c r="CB22" s="390">
        <f>+Общо!BL22</f>
        <v>0</v>
      </c>
      <c r="CC22" s="390">
        <f>+Общо!BM22</f>
        <v>0</v>
      </c>
      <c r="CD22" s="390">
        <f>+Общо!BN22</f>
        <v>0</v>
      </c>
      <c r="CE22" s="390">
        <f>+Общо!BO22</f>
        <v>0</v>
      </c>
      <c r="CF22" s="390">
        <f>+Общо!BP22</f>
        <v>0</v>
      </c>
      <c r="CG22" s="390">
        <f>+Общо!BQ22</f>
        <v>0</v>
      </c>
      <c r="CH22" s="391">
        <f t="shared" si="45"/>
        <v>0</v>
      </c>
      <c r="CJ22" s="265">
        <f t="shared" si="40"/>
        <v>45645</v>
      </c>
      <c r="CK22" s="392">
        <f>+Общо!BU22</f>
        <v>0</v>
      </c>
      <c r="CL22" s="392">
        <f>+Общо!BV22</f>
        <v>0</v>
      </c>
      <c r="CM22" s="392">
        <f>+Общо!BW22</f>
        <v>0</v>
      </c>
      <c r="CN22" s="392">
        <f>+Общо!BX22</f>
        <v>0</v>
      </c>
      <c r="CO22" s="392">
        <f>+Общо!BY22</f>
        <v>0</v>
      </c>
      <c r="CP22" s="392">
        <f>+Общо!BZ22</f>
        <v>0</v>
      </c>
      <c r="CQ22" s="392">
        <f>+Общо!CA22</f>
        <v>0</v>
      </c>
      <c r="CR22" s="392">
        <f>+Общо!CB22</f>
        <v>0</v>
      </c>
      <c r="CS22" s="391">
        <f t="shared" si="46"/>
        <v>0</v>
      </c>
      <c r="CU22" s="265">
        <f t="shared" si="41"/>
        <v>45645</v>
      </c>
      <c r="CV22" s="393">
        <f>+Общо!CF22</f>
        <v>0</v>
      </c>
      <c r="CW22" s="393">
        <f>+Общо!CG22</f>
        <v>0</v>
      </c>
      <c r="CX22" s="393">
        <f>+Общо!CH22</f>
        <v>0</v>
      </c>
      <c r="CY22" s="393">
        <f>+Общо!CI22</f>
        <v>0</v>
      </c>
      <c r="CZ22" s="393">
        <f>+Общо!CJ22</f>
        <v>0</v>
      </c>
      <c r="DA22" s="393">
        <f>+Общо!CK22</f>
        <v>0</v>
      </c>
      <c r="DB22" s="393">
        <f>+Общо!CL22</f>
        <v>0</v>
      </c>
      <c r="DC22" s="393">
        <f>+Общо!CM22</f>
        <v>0</v>
      </c>
      <c r="DD22" s="394">
        <f t="shared" si="47"/>
        <v>0</v>
      </c>
    </row>
    <row r="23" spans="2:110" x14ac:dyDescent="0.25">
      <c r="B23" s="47">
        <f t="shared" si="34"/>
        <v>45646</v>
      </c>
      <c r="C23" s="365">
        <f>+Общо!C23+Общо!D23+Общо!E23+Общо!F23+Общо!L23+Общо!Y23+Общо!G23+Общо!S23</f>
        <v>0</v>
      </c>
      <c r="D23" s="366">
        <f>+(Общо!C23+Общо!D23+Общо!E23+Общо!F23+Общо!G23+Общо!L23)*Цени!$T$42+Общо!Y23*Цени!$T$42+Общо!S23*Цени!$T$44</f>
        <v>0</v>
      </c>
      <c r="E23" s="366">
        <f>+Перник!T34</f>
        <v>0</v>
      </c>
      <c r="F23" s="367">
        <f>+Общо!H23+Общо!I23+Общо!J23+Общо!K23+Общо!M23+Общо!N23+Общо!O23+Общо!P23+Общо!Q23+Общо!R23+Общо!T23+Общо!U23+Общо!V23+Общо!W23</f>
        <v>0</v>
      </c>
      <c r="G23" s="368">
        <f>+Общо!H23*Цени!$T$46+Общо!I23*Цени!$T$45+Общо!J23*Цени!$T$46+Общо!K23*Цени!$T$46+Общо!M23*Цени!$T$46+Общо!N23*Цени!$T$46+Общо!O23*Цени!$T$46+Общо!P23*Цени!$T$46+Общо!Q23*Цени!$T$46+Общо!R23*Цени!$T$47+Общо!T23*Цени!$T$45+Общо!V23*'PPC Гърция'!E23+Общо!U23*HERON!E23+'МЕТ ВИТОЛ ДХТ'!F23+'МЕТ ВИТОЛ ДХТ'!L23+'МЕТ ВИТОЛ ДХТ'!R23+'МЕТ ВИТОЛ ДХТ'!X23+'МЕТ ВИТОЛ ДХТ'!AD23+'МЕТ ВИТОЛ ДХТ'!AJ23+'МЕТ ВИТОЛ ДХТ'!AP23+'МЕТ ВИТОЛ ДХТ'!AV23</f>
        <v>0</v>
      </c>
      <c r="H23" s="368">
        <f>+'Борса и балансиране'!F23</f>
        <v>0</v>
      </c>
      <c r="I23" s="368">
        <f>+'Борса и балансиране'!H23</f>
        <v>0</v>
      </c>
      <c r="J23" s="368">
        <f>+'Борса и балансиране'!J23</f>
        <v>0</v>
      </c>
      <c r="K23" s="368">
        <f>+'Борса и балансиране'!N23</f>
        <v>0</v>
      </c>
      <c r="L23" s="368">
        <f>+Цени!Y22</f>
        <v>0</v>
      </c>
      <c r="M23" s="368">
        <f>+Цени!AA22</f>
        <v>0</v>
      </c>
      <c r="N23" s="369">
        <f t="shared" si="14"/>
        <v>0</v>
      </c>
      <c r="O23" s="370">
        <f t="shared" si="15"/>
        <v>0</v>
      </c>
      <c r="Q23" s="47">
        <f t="shared" si="35"/>
        <v>45646</v>
      </c>
      <c r="R23" s="368">
        <f>+Цени!R22</f>
        <v>0</v>
      </c>
      <c r="S23" s="368">
        <f>+R23*Цени!$R$36</f>
        <v>0</v>
      </c>
      <c r="T23" s="368">
        <f>+Цени!D22</f>
        <v>0</v>
      </c>
      <c r="U23" s="368">
        <f>+Цени!D22*Цени!$D$36</f>
        <v>0</v>
      </c>
      <c r="V23" s="368">
        <f>+Цени!Q22</f>
        <v>0</v>
      </c>
      <c r="W23" s="368">
        <f>+V23*Цени!$Q$36</f>
        <v>0</v>
      </c>
      <c r="X23" s="368">
        <f>+Цени!C22</f>
        <v>0</v>
      </c>
      <c r="Y23" s="368">
        <f>+Цени!C22*Цени!$C$36</f>
        <v>0</v>
      </c>
      <c r="Z23" s="368">
        <f>+Цени!L22+Цени!M22+Цени!N22+Цени!O22+Цени!P22</f>
        <v>0</v>
      </c>
      <c r="AA23" s="368">
        <f>+Цени!L22*Цени!$L$36+Цени!M22*Цени!$M$36+Цени!N22*Цени!$N$36+Цени!O22*Цени!$O$36+Цени!P22*Цени!$P$36</f>
        <v>0</v>
      </c>
      <c r="AB23" s="368">
        <f>+Цени!S22</f>
        <v>0</v>
      </c>
      <c r="AC23" s="368">
        <f>+AB23*Цени!$S$36</f>
        <v>0</v>
      </c>
      <c r="AD23" s="368">
        <f>+'Борса и балансиране'!C23</f>
        <v>0</v>
      </c>
      <c r="AE23" s="368">
        <f>+'Борса и балансиране'!E23</f>
        <v>0</v>
      </c>
      <c r="AF23" s="368">
        <f>+'Борса и балансиране'!K23*-1</f>
        <v>0</v>
      </c>
      <c r="AG23" s="368">
        <f>+'Борса и балансиране'!O23*-1</f>
        <v>0</v>
      </c>
      <c r="AH23" s="368">
        <f t="shared" si="16"/>
        <v>0</v>
      </c>
      <c r="AI23" s="371">
        <f t="shared" si="17"/>
        <v>0</v>
      </c>
      <c r="AJ23" s="372"/>
      <c r="AK23" s="314">
        <f t="shared" si="36"/>
        <v>45646</v>
      </c>
      <c r="AL23" s="373">
        <f t="shared" si="44"/>
        <v>0</v>
      </c>
      <c r="AM23" s="373">
        <f t="shared" si="2"/>
        <v>0</v>
      </c>
      <c r="AN23" s="374">
        <f t="shared" si="48"/>
        <v>0</v>
      </c>
      <c r="AO23" s="370">
        <v>0</v>
      </c>
      <c r="AP23" s="370">
        <v>0</v>
      </c>
      <c r="AQ23" s="371">
        <f>+Общо!AN23</f>
        <v>0</v>
      </c>
      <c r="AR23" s="375">
        <f>+(Цени!$D$36-Цени!$Z$1)*Цени!D22</f>
        <v>0</v>
      </c>
      <c r="AS23" s="376">
        <f t="shared" si="19"/>
        <v>0</v>
      </c>
      <c r="AU23" s="314">
        <f t="shared" si="37"/>
        <v>45646</v>
      </c>
      <c r="AV23" s="378">
        <f t="shared" si="4"/>
        <v>0</v>
      </c>
      <c r="AW23" s="378">
        <f t="shared" si="5"/>
        <v>0</v>
      </c>
      <c r="AX23" s="378">
        <f t="shared" si="6"/>
        <v>0</v>
      </c>
      <c r="AY23" s="378">
        <f t="shared" si="7"/>
        <v>0</v>
      </c>
      <c r="AZ23" s="379">
        <f t="shared" si="8"/>
        <v>0</v>
      </c>
      <c r="BB23" s="380">
        <f t="shared" si="20"/>
        <v>0</v>
      </c>
      <c r="BC23" s="381">
        <f t="shared" si="21"/>
        <v>0</v>
      </c>
      <c r="BD23" s="381">
        <f t="shared" si="22"/>
        <v>0</v>
      </c>
      <c r="BE23" s="381">
        <f t="shared" si="23"/>
        <v>0</v>
      </c>
      <c r="BF23" s="381">
        <f t="shared" si="24"/>
        <v>0</v>
      </c>
      <c r="BG23" s="378">
        <f t="shared" si="25"/>
        <v>0</v>
      </c>
      <c r="BH23" s="378">
        <f>+'Борса и балансиране'!M23</f>
        <v>0</v>
      </c>
      <c r="BI23" s="379">
        <f t="shared" si="26"/>
        <v>0</v>
      </c>
      <c r="BK23" s="382">
        <f>+Общо!AT23</f>
        <v>75.89</v>
      </c>
      <c r="BL23" s="383">
        <f t="shared" si="27"/>
        <v>0</v>
      </c>
      <c r="BM23" s="384">
        <f>+Общо!AV23</f>
        <v>0</v>
      </c>
      <c r="BN23" s="385">
        <f t="shared" si="28"/>
        <v>0</v>
      </c>
      <c r="BP23" s="382">
        <f t="shared" si="29"/>
        <v>0</v>
      </c>
      <c r="BQ23" s="386">
        <f t="shared" si="30"/>
        <v>0</v>
      </c>
      <c r="BR23" s="385">
        <f t="shared" si="31"/>
        <v>0</v>
      </c>
      <c r="BT23" s="314">
        <f t="shared" si="38"/>
        <v>45646</v>
      </c>
      <c r="BU23" s="388">
        <f>+Общо!BE23</f>
        <v>0</v>
      </c>
      <c r="BV23" s="383">
        <f>+Общо!BF23</f>
        <v>0</v>
      </c>
      <c r="BW23" s="389">
        <f>+Общо!BG23</f>
        <v>0</v>
      </c>
      <c r="BY23" s="265">
        <f t="shared" si="39"/>
        <v>45646</v>
      </c>
      <c r="BZ23" s="390">
        <f>+Общо!BJ23</f>
        <v>0</v>
      </c>
      <c r="CA23" s="390">
        <f>+Общо!BK23</f>
        <v>0</v>
      </c>
      <c r="CB23" s="390">
        <f>+Общо!BL23</f>
        <v>0</v>
      </c>
      <c r="CC23" s="390">
        <f>+Общо!BM23</f>
        <v>0</v>
      </c>
      <c r="CD23" s="390">
        <f>+Общо!BN23</f>
        <v>0</v>
      </c>
      <c r="CE23" s="390">
        <f>+Общо!BO23</f>
        <v>0</v>
      </c>
      <c r="CF23" s="390">
        <f>+Общо!BP23</f>
        <v>0</v>
      </c>
      <c r="CG23" s="390">
        <f>+Общо!BQ23</f>
        <v>0</v>
      </c>
      <c r="CH23" s="391">
        <f t="shared" si="45"/>
        <v>0</v>
      </c>
      <c r="CJ23" s="265">
        <f t="shared" si="40"/>
        <v>45646</v>
      </c>
      <c r="CK23" s="392">
        <f>+Общо!BU23</f>
        <v>0</v>
      </c>
      <c r="CL23" s="392">
        <f>+Общо!BV23</f>
        <v>0</v>
      </c>
      <c r="CM23" s="392">
        <f>+Общо!BW23</f>
        <v>0</v>
      </c>
      <c r="CN23" s="392">
        <f>+Общо!BX23</f>
        <v>0</v>
      </c>
      <c r="CO23" s="392">
        <f>+Общо!BY23</f>
        <v>0</v>
      </c>
      <c r="CP23" s="392">
        <f>+Общо!BZ23</f>
        <v>0</v>
      </c>
      <c r="CQ23" s="392">
        <f>+Общо!CA23</f>
        <v>0</v>
      </c>
      <c r="CR23" s="392">
        <f>+Общо!CB23</f>
        <v>0</v>
      </c>
      <c r="CS23" s="391">
        <f t="shared" si="46"/>
        <v>0</v>
      </c>
      <c r="CU23" s="265">
        <f t="shared" si="41"/>
        <v>45646</v>
      </c>
      <c r="CV23" s="393">
        <f>+Общо!CF23</f>
        <v>0</v>
      </c>
      <c r="CW23" s="393">
        <f>+Общо!CG23</f>
        <v>0</v>
      </c>
      <c r="CX23" s="393">
        <f>+Общо!CH23</f>
        <v>0</v>
      </c>
      <c r="CY23" s="393">
        <f>+Общо!CI23</f>
        <v>0</v>
      </c>
      <c r="CZ23" s="393">
        <f>+Общо!CJ23</f>
        <v>0</v>
      </c>
      <c r="DA23" s="393">
        <f>+Общо!CK23</f>
        <v>0</v>
      </c>
      <c r="DB23" s="393">
        <f>+Общо!CL23</f>
        <v>0</v>
      </c>
      <c r="DC23" s="393">
        <f>+Общо!CM23</f>
        <v>0</v>
      </c>
      <c r="DD23" s="394">
        <f t="shared" si="47"/>
        <v>0</v>
      </c>
    </row>
    <row r="24" spans="2:110" x14ac:dyDescent="0.25">
      <c r="B24" s="47">
        <f t="shared" si="34"/>
        <v>45647</v>
      </c>
      <c r="C24" s="365">
        <f>+Общо!C24+Общо!D24+Общо!E24+Общо!F24+Общо!L24+Общо!Y24+Общо!G24+Общо!S24</f>
        <v>0</v>
      </c>
      <c r="D24" s="366">
        <f>+(Общо!C24+Общо!D24+Общо!E24+Общо!F24+Общо!G24+Общо!L24)*Цени!$T$42+Общо!Y24*Цени!$T$42+Общо!S24*Цени!$T$44</f>
        <v>0</v>
      </c>
      <c r="E24" s="366">
        <f>+Перник!T35</f>
        <v>0</v>
      </c>
      <c r="F24" s="367">
        <f>+Общо!H24+Общо!I24+Общо!J24+Общо!K24+Общо!M24+Общо!N24+Общо!O24+Общо!P24+Общо!Q24+Общо!R24+Общо!T24+Общо!U24+Общо!V24+Общо!W24</f>
        <v>0</v>
      </c>
      <c r="G24" s="368">
        <f>+Общо!H24*Цени!$T$46+Общо!I24*Цени!$T$45+Общо!J24*Цени!$T$46+Общо!K24*Цени!$T$46+Общо!M24*Цени!$T$46+Общо!N24*Цени!$T$46+Общо!O24*Цени!$T$46+Общо!P24*Цени!$T$46+Общо!Q24*Цени!$T$46+Общо!R24*Цени!$T$47+Общо!T24*Цени!$T$45+Общо!V24*'PPC Гърция'!E24+Общо!U24*HERON!E24+'МЕТ ВИТОЛ ДХТ'!F24+'МЕТ ВИТОЛ ДХТ'!L24+'МЕТ ВИТОЛ ДХТ'!R24+'МЕТ ВИТОЛ ДХТ'!X24+'МЕТ ВИТОЛ ДХТ'!AD24+'МЕТ ВИТОЛ ДХТ'!AJ24+'МЕТ ВИТОЛ ДХТ'!AP24+'МЕТ ВИТОЛ ДХТ'!AV24</f>
        <v>0</v>
      </c>
      <c r="H24" s="368">
        <f>+'Борса и балансиране'!F24</f>
        <v>0</v>
      </c>
      <c r="I24" s="368">
        <f>+'Борса и балансиране'!H24</f>
        <v>0</v>
      </c>
      <c r="J24" s="368">
        <f>+'Борса и балансиране'!J24</f>
        <v>0</v>
      </c>
      <c r="K24" s="368">
        <f>+'Борса и балансиране'!N24</f>
        <v>0</v>
      </c>
      <c r="L24" s="368">
        <f>+Цени!Y23</f>
        <v>0</v>
      </c>
      <c r="M24" s="368">
        <f>+Цени!AA23</f>
        <v>0</v>
      </c>
      <c r="N24" s="369">
        <f t="shared" si="14"/>
        <v>0</v>
      </c>
      <c r="O24" s="370">
        <f t="shared" si="15"/>
        <v>0</v>
      </c>
      <c r="Q24" s="47">
        <f t="shared" si="35"/>
        <v>45647</v>
      </c>
      <c r="R24" s="368">
        <f>+Цени!R23</f>
        <v>0</v>
      </c>
      <c r="S24" s="368">
        <f>+R24*Цени!$R$36</f>
        <v>0</v>
      </c>
      <c r="T24" s="368">
        <f>+Цени!D23</f>
        <v>0</v>
      </c>
      <c r="U24" s="368">
        <f>+Цени!D23*Цени!$D$36</f>
        <v>0</v>
      </c>
      <c r="V24" s="368">
        <f>+Цени!Q23</f>
        <v>0</v>
      </c>
      <c r="W24" s="368">
        <f>+V24*Цени!$Q$36</f>
        <v>0</v>
      </c>
      <c r="X24" s="368">
        <f>+Цени!C23</f>
        <v>0</v>
      </c>
      <c r="Y24" s="368">
        <f>+Цени!C23*Цени!$C$36</f>
        <v>0</v>
      </c>
      <c r="Z24" s="368">
        <f>+Цени!L23+Цени!M23+Цени!N23+Цени!O23+Цени!P23</f>
        <v>0</v>
      </c>
      <c r="AA24" s="368">
        <f>+Цени!L23*Цени!$L$36+Цени!M23*Цени!$M$36+Цени!N23*Цени!$N$36+Цени!O23*Цени!$O$36+Цени!P23*Цени!$P$36</f>
        <v>0</v>
      </c>
      <c r="AB24" s="368">
        <f>+Цени!S23</f>
        <v>0</v>
      </c>
      <c r="AC24" s="368">
        <f>+AB24*Цени!$S$36</f>
        <v>0</v>
      </c>
      <c r="AD24" s="368">
        <f>+'Борса и балансиране'!C24</f>
        <v>0</v>
      </c>
      <c r="AE24" s="368">
        <f>+'Борса и балансиране'!E24</f>
        <v>0</v>
      </c>
      <c r="AF24" s="368">
        <f>+'Борса и балансиране'!K24*-1</f>
        <v>0</v>
      </c>
      <c r="AG24" s="368">
        <f>+'Борса и балансиране'!O24*-1</f>
        <v>0</v>
      </c>
      <c r="AH24" s="368">
        <f t="shared" si="16"/>
        <v>0</v>
      </c>
      <c r="AI24" s="371">
        <f t="shared" si="17"/>
        <v>0</v>
      </c>
      <c r="AJ24" s="372"/>
      <c r="AK24" s="314">
        <f t="shared" si="36"/>
        <v>45647</v>
      </c>
      <c r="AL24" s="373">
        <f t="shared" si="44"/>
        <v>0</v>
      </c>
      <c r="AM24" s="373">
        <f t="shared" si="2"/>
        <v>0</v>
      </c>
      <c r="AN24" s="374">
        <f t="shared" si="3"/>
        <v>0</v>
      </c>
      <c r="AO24" s="370">
        <v>0</v>
      </c>
      <c r="AP24" s="370">
        <v>0</v>
      </c>
      <c r="AQ24" s="371">
        <f>+Общо!AN24</f>
        <v>0</v>
      </c>
      <c r="AR24" s="375">
        <f>+(Цени!$D$36-Цени!$Z$1)*Цени!D23</f>
        <v>0</v>
      </c>
      <c r="AS24" s="376">
        <f t="shared" si="19"/>
        <v>0</v>
      </c>
      <c r="AU24" s="314">
        <f t="shared" si="37"/>
        <v>45647</v>
      </c>
      <c r="AV24" s="378">
        <f t="shared" si="4"/>
        <v>0</v>
      </c>
      <c r="AW24" s="378">
        <f t="shared" si="5"/>
        <v>0</v>
      </c>
      <c r="AX24" s="378">
        <f t="shared" si="6"/>
        <v>0</v>
      </c>
      <c r="AY24" s="378">
        <f t="shared" si="7"/>
        <v>0</v>
      </c>
      <c r="AZ24" s="379">
        <f t="shared" si="8"/>
        <v>0</v>
      </c>
      <c r="BB24" s="380">
        <f t="shared" si="20"/>
        <v>0</v>
      </c>
      <c r="BC24" s="381">
        <f t="shared" si="21"/>
        <v>0</v>
      </c>
      <c r="BD24" s="381">
        <f t="shared" si="22"/>
        <v>0</v>
      </c>
      <c r="BE24" s="381">
        <f t="shared" si="23"/>
        <v>0</v>
      </c>
      <c r="BF24" s="381">
        <f t="shared" si="24"/>
        <v>0</v>
      </c>
      <c r="BG24" s="378">
        <f t="shared" si="25"/>
        <v>0</v>
      </c>
      <c r="BH24" s="378">
        <f>+'Борса и балансиране'!M24</f>
        <v>0</v>
      </c>
      <c r="BI24" s="379">
        <f t="shared" si="26"/>
        <v>0</v>
      </c>
      <c r="BK24" s="382">
        <f>+Общо!AT24</f>
        <v>75.89</v>
      </c>
      <c r="BL24" s="383">
        <f t="shared" si="27"/>
        <v>0</v>
      </c>
      <c r="BM24" s="384">
        <f>+Общо!AV24</f>
        <v>0</v>
      </c>
      <c r="BN24" s="385">
        <f t="shared" si="28"/>
        <v>0</v>
      </c>
      <c r="BP24" s="382">
        <f t="shared" si="29"/>
        <v>0</v>
      </c>
      <c r="BQ24" s="386">
        <f t="shared" si="30"/>
        <v>0</v>
      </c>
      <c r="BR24" s="385">
        <f t="shared" si="31"/>
        <v>0</v>
      </c>
      <c r="BT24" s="314">
        <f t="shared" si="38"/>
        <v>45647</v>
      </c>
      <c r="BU24" s="388">
        <f>+Общо!BE24</f>
        <v>0</v>
      </c>
      <c r="BV24" s="383">
        <f>+Общо!BF24</f>
        <v>0</v>
      </c>
      <c r="BW24" s="389">
        <f>+Общо!BG24</f>
        <v>0</v>
      </c>
      <c r="BY24" s="265">
        <f t="shared" si="39"/>
        <v>45647</v>
      </c>
      <c r="BZ24" s="390">
        <f>+Общо!BJ24</f>
        <v>0</v>
      </c>
      <c r="CA24" s="390">
        <f>+Общо!BK24</f>
        <v>0</v>
      </c>
      <c r="CB24" s="390">
        <f>+Общо!BL24</f>
        <v>0</v>
      </c>
      <c r="CC24" s="390">
        <f>+Общо!BM24</f>
        <v>0</v>
      </c>
      <c r="CD24" s="390">
        <f>+Общо!BN24</f>
        <v>0</v>
      </c>
      <c r="CE24" s="390">
        <f>+Общо!BO24</f>
        <v>0</v>
      </c>
      <c r="CF24" s="390">
        <f>+Общо!BP24</f>
        <v>0</v>
      </c>
      <c r="CG24" s="390">
        <f>+Общо!BQ24</f>
        <v>0</v>
      </c>
      <c r="CH24" s="391">
        <f t="shared" si="45"/>
        <v>0</v>
      </c>
      <c r="CJ24" s="265">
        <f t="shared" si="40"/>
        <v>45647</v>
      </c>
      <c r="CK24" s="392">
        <f>+Общо!BU24</f>
        <v>0</v>
      </c>
      <c r="CL24" s="392">
        <f>+Общо!BV24</f>
        <v>0</v>
      </c>
      <c r="CM24" s="392">
        <f>+Общо!BW24</f>
        <v>0</v>
      </c>
      <c r="CN24" s="392">
        <f>+Общо!BX24</f>
        <v>0</v>
      </c>
      <c r="CO24" s="392">
        <f>+Общо!BY24</f>
        <v>0</v>
      </c>
      <c r="CP24" s="392">
        <f>+Общо!BZ24</f>
        <v>0</v>
      </c>
      <c r="CQ24" s="392">
        <f>+Общо!CA24</f>
        <v>0</v>
      </c>
      <c r="CR24" s="392">
        <f>+Общо!CB24</f>
        <v>0</v>
      </c>
      <c r="CS24" s="391">
        <f t="shared" si="46"/>
        <v>0</v>
      </c>
      <c r="CU24" s="265">
        <f t="shared" si="41"/>
        <v>45647</v>
      </c>
      <c r="CV24" s="393">
        <f>+Общо!CF24</f>
        <v>0</v>
      </c>
      <c r="CW24" s="393">
        <f>+Общо!CG24</f>
        <v>0</v>
      </c>
      <c r="CX24" s="393">
        <f>+Общо!CH24</f>
        <v>0</v>
      </c>
      <c r="CY24" s="393">
        <f>+Общо!CI24</f>
        <v>0</v>
      </c>
      <c r="CZ24" s="393">
        <f>+Общо!CJ24</f>
        <v>0</v>
      </c>
      <c r="DA24" s="393">
        <f>+Общо!CK24</f>
        <v>0</v>
      </c>
      <c r="DB24" s="393">
        <f>+Общо!CL24</f>
        <v>0</v>
      </c>
      <c r="DC24" s="393">
        <f>+Общо!CM24</f>
        <v>0</v>
      </c>
      <c r="DD24" s="394">
        <f t="shared" si="47"/>
        <v>0</v>
      </c>
      <c r="DE24" s="387"/>
    </row>
    <row r="25" spans="2:110" x14ac:dyDescent="0.25">
      <c r="B25" s="47">
        <f t="shared" si="34"/>
        <v>45648</v>
      </c>
      <c r="C25" s="365">
        <f>+Общо!C25+Общо!D25+Общо!E25+Общо!F25+Общо!L25+Общо!Y25+Общо!G25+Общо!S25</f>
        <v>0</v>
      </c>
      <c r="D25" s="366">
        <f>+(Общо!C25+Общо!D25+Общо!E25+Общо!F25+Общо!G25+Общо!L25)*Цени!$T$42+Общо!Y25*Цени!$T$42+Общо!S25*Цени!$T$44</f>
        <v>0</v>
      </c>
      <c r="E25" s="366">
        <f>+Перник!T36</f>
        <v>0</v>
      </c>
      <c r="F25" s="367">
        <f>+Общо!H25+Общо!I25+Общо!J25+Общо!K25+Общо!M25+Общо!N25+Общо!O25+Общо!P25+Общо!Q25+Общо!R25+Общо!T25+Общо!U25+Общо!V25+Общо!W25</f>
        <v>0</v>
      </c>
      <c r="G25" s="368">
        <f>+Общо!H25*Цени!$T$46+Общо!I25*Цени!$T$45+Общо!J25*Цени!$T$46+Общо!K25*Цени!$T$46+Общо!M25*Цени!$T$46+Общо!N25*Цени!$T$46+Общо!O25*Цени!$T$46+Общо!P25*Цени!$T$46+Общо!Q25*Цени!$T$46+Общо!R25*Цени!$T$47+Общо!T25*Цени!$T$45+Общо!V25*'PPC Гърция'!E25+Общо!U25*HERON!E25+'МЕТ ВИТОЛ ДХТ'!F25+'МЕТ ВИТОЛ ДХТ'!L25+'МЕТ ВИТОЛ ДХТ'!R25+'МЕТ ВИТОЛ ДХТ'!X25+'МЕТ ВИТОЛ ДХТ'!AD25+'МЕТ ВИТОЛ ДХТ'!AJ25+'МЕТ ВИТОЛ ДХТ'!AP25+'МЕТ ВИТОЛ ДХТ'!AV25</f>
        <v>0</v>
      </c>
      <c r="H25" s="368">
        <f>+'Борса и балансиране'!F25</f>
        <v>0</v>
      </c>
      <c r="I25" s="368">
        <f>+'Борса и балансиране'!H25</f>
        <v>0</v>
      </c>
      <c r="J25" s="368">
        <f>+'Борса и балансиране'!J25</f>
        <v>0</v>
      </c>
      <c r="K25" s="368">
        <f>+'Борса и балансиране'!N25</f>
        <v>0</v>
      </c>
      <c r="L25" s="368">
        <f>+Цени!Y24</f>
        <v>0</v>
      </c>
      <c r="M25" s="368">
        <f>+Цени!AA24</f>
        <v>0</v>
      </c>
      <c r="N25" s="369">
        <f t="shared" si="14"/>
        <v>0</v>
      </c>
      <c r="O25" s="370">
        <f t="shared" si="15"/>
        <v>0</v>
      </c>
      <c r="Q25" s="47">
        <f t="shared" si="35"/>
        <v>45648</v>
      </c>
      <c r="R25" s="368">
        <f>+Цени!R24</f>
        <v>0</v>
      </c>
      <c r="S25" s="368">
        <f>+R25*Цени!$R$36</f>
        <v>0</v>
      </c>
      <c r="T25" s="368">
        <f>+Цени!D24</f>
        <v>0</v>
      </c>
      <c r="U25" s="368">
        <f>+Цени!D24*Цени!$D$36</f>
        <v>0</v>
      </c>
      <c r="V25" s="368">
        <f>+Цени!Q24</f>
        <v>0</v>
      </c>
      <c r="W25" s="368">
        <f>+V25*Цени!$Q$36</f>
        <v>0</v>
      </c>
      <c r="X25" s="368">
        <f>+Цени!C24</f>
        <v>0</v>
      </c>
      <c r="Y25" s="368">
        <f>+Цени!C24*Цени!$C$36</f>
        <v>0</v>
      </c>
      <c r="Z25" s="368">
        <f>+Цени!L24+Цени!M24+Цени!N24+Цени!O24+Цени!P24</f>
        <v>0</v>
      </c>
      <c r="AA25" s="368">
        <f>+Цени!L24*Цени!$L$36+Цени!M24*Цени!$M$36+Цени!N24*Цени!$N$36+Цени!O24*Цени!$O$36+Цени!P24*Цени!$P$36</f>
        <v>0</v>
      </c>
      <c r="AB25" s="368">
        <f>+Цени!S24</f>
        <v>0</v>
      </c>
      <c r="AC25" s="368">
        <f>+AB25*Цени!$S$36</f>
        <v>0</v>
      </c>
      <c r="AD25" s="368">
        <f>+'Борса и балансиране'!C25</f>
        <v>0</v>
      </c>
      <c r="AE25" s="368">
        <f>+'Борса и балансиране'!E25</f>
        <v>0</v>
      </c>
      <c r="AF25" s="368">
        <f>+'Борса и балансиране'!K25*-1</f>
        <v>0</v>
      </c>
      <c r="AG25" s="368">
        <f>+'Борса и балансиране'!O25*-1</f>
        <v>0</v>
      </c>
      <c r="AH25" s="368">
        <f t="shared" si="16"/>
        <v>0</v>
      </c>
      <c r="AI25" s="371">
        <f t="shared" si="17"/>
        <v>0</v>
      </c>
      <c r="AJ25" s="372"/>
      <c r="AK25" s="314">
        <f t="shared" si="36"/>
        <v>45648</v>
      </c>
      <c r="AL25" s="373">
        <f t="shared" si="44"/>
        <v>0</v>
      </c>
      <c r="AM25" s="373">
        <f t="shared" si="2"/>
        <v>0</v>
      </c>
      <c r="AN25" s="374">
        <f t="shared" si="3"/>
        <v>0</v>
      </c>
      <c r="AO25" s="370">
        <v>0</v>
      </c>
      <c r="AP25" s="370">
        <v>0</v>
      </c>
      <c r="AQ25" s="371">
        <f>+Общо!AN25</f>
        <v>0</v>
      </c>
      <c r="AR25" s="375">
        <f>+(Цени!$D$36-Цени!$Z$1)*Цени!D24</f>
        <v>0</v>
      </c>
      <c r="AS25" s="376">
        <f t="shared" si="19"/>
        <v>0</v>
      </c>
      <c r="AU25" s="314">
        <f t="shared" si="37"/>
        <v>45648</v>
      </c>
      <c r="AV25" s="378">
        <f t="shared" si="4"/>
        <v>0</v>
      </c>
      <c r="AW25" s="378">
        <f t="shared" si="5"/>
        <v>0</v>
      </c>
      <c r="AX25" s="378">
        <f t="shared" si="6"/>
        <v>0</v>
      </c>
      <c r="AY25" s="378">
        <f t="shared" si="7"/>
        <v>0</v>
      </c>
      <c r="AZ25" s="379">
        <f t="shared" si="8"/>
        <v>0</v>
      </c>
      <c r="BB25" s="380">
        <f t="shared" si="20"/>
        <v>0</v>
      </c>
      <c r="BC25" s="381">
        <f t="shared" si="21"/>
        <v>0</v>
      </c>
      <c r="BD25" s="381">
        <f t="shared" si="22"/>
        <v>0</v>
      </c>
      <c r="BE25" s="381">
        <f t="shared" si="23"/>
        <v>0</v>
      </c>
      <c r="BF25" s="381">
        <f t="shared" si="24"/>
        <v>0</v>
      </c>
      <c r="BG25" s="378">
        <f t="shared" si="25"/>
        <v>0</v>
      </c>
      <c r="BH25" s="378">
        <f>+'Борса и балансиране'!M25</f>
        <v>0</v>
      </c>
      <c r="BI25" s="379">
        <f t="shared" si="26"/>
        <v>0</v>
      </c>
      <c r="BK25" s="382">
        <f>+Общо!AT25</f>
        <v>75.89</v>
      </c>
      <c r="BL25" s="383">
        <f t="shared" si="27"/>
        <v>0</v>
      </c>
      <c r="BM25" s="384">
        <f>+Общо!AV25</f>
        <v>0</v>
      </c>
      <c r="BN25" s="385">
        <f t="shared" si="28"/>
        <v>0</v>
      </c>
      <c r="BP25" s="382">
        <f t="shared" si="29"/>
        <v>0</v>
      </c>
      <c r="BQ25" s="386">
        <f t="shared" si="30"/>
        <v>0</v>
      </c>
      <c r="BR25" s="385">
        <f t="shared" si="31"/>
        <v>0</v>
      </c>
      <c r="BT25" s="314">
        <f t="shared" si="38"/>
        <v>45648</v>
      </c>
      <c r="BU25" s="388">
        <f>+Общо!BE25</f>
        <v>0</v>
      </c>
      <c r="BV25" s="383">
        <f>+Общо!BF25</f>
        <v>0</v>
      </c>
      <c r="BW25" s="389">
        <f>+Общо!BG25</f>
        <v>0</v>
      </c>
      <c r="BY25" s="265">
        <f t="shared" si="39"/>
        <v>45648</v>
      </c>
      <c r="BZ25" s="390">
        <f>+Общо!BJ25</f>
        <v>0</v>
      </c>
      <c r="CA25" s="390">
        <f>+Общо!BK25</f>
        <v>0</v>
      </c>
      <c r="CB25" s="390">
        <f>+Общо!BL25</f>
        <v>0</v>
      </c>
      <c r="CC25" s="390">
        <f>+Общо!BM25</f>
        <v>0</v>
      </c>
      <c r="CD25" s="390">
        <f>+Общо!BN25</f>
        <v>0</v>
      </c>
      <c r="CE25" s="390">
        <f>+Общо!BO25</f>
        <v>0</v>
      </c>
      <c r="CF25" s="390">
        <f>+Общо!BP25</f>
        <v>0</v>
      </c>
      <c r="CG25" s="390">
        <f>+Общо!BQ25</f>
        <v>0</v>
      </c>
      <c r="CH25" s="391">
        <f t="shared" si="45"/>
        <v>0</v>
      </c>
      <c r="CJ25" s="265">
        <f t="shared" si="40"/>
        <v>45648</v>
      </c>
      <c r="CK25" s="392">
        <f>+Общо!BU25</f>
        <v>0</v>
      </c>
      <c r="CL25" s="392">
        <f>+Общо!BV25</f>
        <v>0</v>
      </c>
      <c r="CM25" s="392">
        <f>+Общо!BW25</f>
        <v>0</v>
      </c>
      <c r="CN25" s="392">
        <f>+Общо!BX25</f>
        <v>0</v>
      </c>
      <c r="CO25" s="392">
        <f>+Общо!BY25</f>
        <v>0</v>
      </c>
      <c r="CP25" s="392">
        <f>+Общо!BZ25</f>
        <v>0</v>
      </c>
      <c r="CQ25" s="392">
        <f>+Общо!CA25</f>
        <v>0</v>
      </c>
      <c r="CR25" s="392">
        <f>+Общо!CB25</f>
        <v>0</v>
      </c>
      <c r="CS25" s="391">
        <f t="shared" si="46"/>
        <v>0</v>
      </c>
      <c r="CU25" s="265">
        <f t="shared" si="41"/>
        <v>45648</v>
      </c>
      <c r="CV25" s="393">
        <f>+Общо!CF25</f>
        <v>0</v>
      </c>
      <c r="CW25" s="393">
        <f>+Общо!CG25</f>
        <v>0</v>
      </c>
      <c r="CX25" s="393">
        <f>+Общо!CH25</f>
        <v>0</v>
      </c>
      <c r="CY25" s="393">
        <f>+Общо!CI25</f>
        <v>0</v>
      </c>
      <c r="CZ25" s="393">
        <f>+Общо!CJ25</f>
        <v>0</v>
      </c>
      <c r="DA25" s="393">
        <f>+Общо!CK25</f>
        <v>0</v>
      </c>
      <c r="DB25" s="393">
        <f>+Общо!CL25</f>
        <v>0</v>
      </c>
      <c r="DC25" s="393">
        <f>+Общо!CM25</f>
        <v>0</v>
      </c>
      <c r="DD25" s="394">
        <f t="shared" si="47"/>
        <v>0</v>
      </c>
    </row>
    <row r="26" spans="2:110" x14ac:dyDescent="0.25">
      <c r="B26" s="47">
        <f t="shared" si="34"/>
        <v>45649</v>
      </c>
      <c r="C26" s="365">
        <f>+Общо!C26+Общо!D26+Общо!E26+Общо!F26+Общо!L26+Общо!Y26+Общо!G26+Общо!S26</f>
        <v>0</v>
      </c>
      <c r="D26" s="366">
        <f>+(Общо!C26+Общо!D26+Общо!E26+Общо!F26+Общо!G26+Общо!L26)*Цени!$T$42+Общо!Y26*Цени!$T$42+Общо!S26*Цени!$T$44</f>
        <v>0</v>
      </c>
      <c r="E26" s="366">
        <f>+Перник!T37</f>
        <v>0</v>
      </c>
      <c r="F26" s="367">
        <f>+Общо!H26+Общо!I26+Общо!J26+Общо!K26+Общо!M26+Общо!N26+Общо!O26+Общо!P26+Общо!Q26+Общо!R26+Общо!T26+Общо!U26+Общо!V26+Общо!W26</f>
        <v>0</v>
      </c>
      <c r="G26" s="368">
        <f>+Общо!H26*Цени!$T$46+Общо!I26*Цени!$T$45+Общо!J26*Цени!$T$46+Общо!K26*Цени!$T$46+Общо!M26*Цени!$T$46+Общо!N26*Цени!$T$46+Общо!O26*Цени!$T$46+Общо!P26*Цени!$T$46+Общо!Q26*Цени!$T$46+Общо!R26*Цени!$T$47+Общо!T26*Цени!$T$45+Общо!V26*'PPC Гърция'!E26+Общо!U26*HERON!E26+'МЕТ ВИТОЛ ДХТ'!F26+'МЕТ ВИТОЛ ДХТ'!L26+'МЕТ ВИТОЛ ДХТ'!R26+'МЕТ ВИТОЛ ДХТ'!X26+'МЕТ ВИТОЛ ДХТ'!AD26+'МЕТ ВИТОЛ ДХТ'!AJ26+'МЕТ ВИТОЛ ДХТ'!AP26+'МЕТ ВИТОЛ ДХТ'!AV26</f>
        <v>0</v>
      </c>
      <c r="H26" s="368">
        <f>+'Борса и балансиране'!F26</f>
        <v>0</v>
      </c>
      <c r="I26" s="368">
        <f>+'Борса и балансиране'!H26</f>
        <v>0</v>
      </c>
      <c r="J26" s="368">
        <f>+'Борса и балансиране'!J26</f>
        <v>0</v>
      </c>
      <c r="K26" s="368">
        <f>+'Борса и балансиране'!N26</f>
        <v>0</v>
      </c>
      <c r="L26" s="368">
        <f>+Цени!Y25</f>
        <v>0</v>
      </c>
      <c r="M26" s="368">
        <f>+Цени!AA25</f>
        <v>0</v>
      </c>
      <c r="N26" s="369">
        <f t="shared" si="14"/>
        <v>0</v>
      </c>
      <c r="O26" s="370">
        <f t="shared" si="15"/>
        <v>0</v>
      </c>
      <c r="Q26" s="47">
        <f t="shared" si="35"/>
        <v>45649</v>
      </c>
      <c r="R26" s="368">
        <f>+Цени!R25</f>
        <v>0</v>
      </c>
      <c r="S26" s="368">
        <f>+R26*Цени!$R$36</f>
        <v>0</v>
      </c>
      <c r="T26" s="368">
        <f>+Цени!D25</f>
        <v>0</v>
      </c>
      <c r="U26" s="368">
        <f>+Цени!D25*Цени!$D$36</f>
        <v>0</v>
      </c>
      <c r="V26" s="368">
        <f>+Цени!Q25</f>
        <v>0</v>
      </c>
      <c r="W26" s="368">
        <f>+V26*Цени!$Q$36</f>
        <v>0</v>
      </c>
      <c r="X26" s="368">
        <f>+Цени!C25</f>
        <v>0</v>
      </c>
      <c r="Y26" s="368">
        <f>+Цени!C25*Цени!$C$36</f>
        <v>0</v>
      </c>
      <c r="Z26" s="368">
        <f>+Цени!L25+Цени!M25+Цени!N25+Цени!O25+Цени!P25</f>
        <v>0</v>
      </c>
      <c r="AA26" s="368">
        <f>+Цени!L25*Цени!$L$36+Цени!M25*Цени!$M$36+Цени!N25*Цени!$N$36+Цени!O25*Цени!$O$36+Цени!P25*Цени!$P$36</f>
        <v>0</v>
      </c>
      <c r="AB26" s="368">
        <f>+Цени!S25</f>
        <v>0</v>
      </c>
      <c r="AC26" s="368">
        <f>+AB26*Цени!$S$36</f>
        <v>0</v>
      </c>
      <c r="AD26" s="368">
        <f>+'Борса и балансиране'!C26</f>
        <v>0</v>
      </c>
      <c r="AE26" s="368">
        <f>+'Борса и балансиране'!E26</f>
        <v>0</v>
      </c>
      <c r="AF26" s="368">
        <f>+'Борса и балансиране'!K26*-1</f>
        <v>0</v>
      </c>
      <c r="AG26" s="368">
        <f>+'Борса и балансиране'!O26*-1</f>
        <v>0</v>
      </c>
      <c r="AH26" s="368">
        <f t="shared" si="16"/>
        <v>0</v>
      </c>
      <c r="AI26" s="371">
        <f t="shared" si="17"/>
        <v>0</v>
      </c>
      <c r="AJ26" s="372"/>
      <c r="AK26" s="314">
        <f t="shared" si="36"/>
        <v>45649</v>
      </c>
      <c r="AL26" s="373">
        <f t="shared" si="44"/>
        <v>0</v>
      </c>
      <c r="AM26" s="373">
        <f t="shared" si="2"/>
        <v>0</v>
      </c>
      <c r="AN26" s="374">
        <f t="shared" si="3"/>
        <v>0</v>
      </c>
      <c r="AO26" s="370">
        <v>0</v>
      </c>
      <c r="AP26" s="370">
        <v>0</v>
      </c>
      <c r="AQ26" s="371">
        <f>+Общо!AN26</f>
        <v>0</v>
      </c>
      <c r="AR26" s="375">
        <f>+(Цени!$D$36-Цени!$Z$1)*Цени!D25</f>
        <v>0</v>
      </c>
      <c r="AS26" s="376">
        <f t="shared" si="19"/>
        <v>0</v>
      </c>
      <c r="AU26" s="314">
        <f t="shared" si="37"/>
        <v>45649</v>
      </c>
      <c r="AV26" s="378">
        <f t="shared" si="4"/>
        <v>0</v>
      </c>
      <c r="AW26" s="378">
        <f t="shared" si="5"/>
        <v>0</v>
      </c>
      <c r="AX26" s="378">
        <f t="shared" si="6"/>
        <v>0</v>
      </c>
      <c r="AY26" s="378">
        <f t="shared" si="7"/>
        <v>0</v>
      </c>
      <c r="AZ26" s="379">
        <f t="shared" si="8"/>
        <v>0</v>
      </c>
      <c r="BB26" s="380">
        <f t="shared" si="20"/>
        <v>0</v>
      </c>
      <c r="BC26" s="381">
        <f t="shared" si="21"/>
        <v>0</v>
      </c>
      <c r="BD26" s="381">
        <f t="shared" si="22"/>
        <v>0</v>
      </c>
      <c r="BE26" s="381">
        <f t="shared" si="23"/>
        <v>0</v>
      </c>
      <c r="BF26" s="381">
        <f t="shared" si="24"/>
        <v>0</v>
      </c>
      <c r="BG26" s="378">
        <f t="shared" si="25"/>
        <v>0</v>
      </c>
      <c r="BH26" s="378">
        <f>+'Борса и балансиране'!M26</f>
        <v>0</v>
      </c>
      <c r="BI26" s="379">
        <f t="shared" si="26"/>
        <v>0</v>
      </c>
      <c r="BK26" s="382">
        <f>+Общо!AT26</f>
        <v>75.89</v>
      </c>
      <c r="BL26" s="383">
        <f t="shared" si="27"/>
        <v>0</v>
      </c>
      <c r="BM26" s="384">
        <f>+Общо!AV26</f>
        <v>0</v>
      </c>
      <c r="BN26" s="385">
        <f t="shared" si="28"/>
        <v>0</v>
      </c>
      <c r="BP26" s="382">
        <f t="shared" si="29"/>
        <v>0</v>
      </c>
      <c r="BQ26" s="386">
        <f t="shared" si="30"/>
        <v>0</v>
      </c>
      <c r="BR26" s="385">
        <f t="shared" si="31"/>
        <v>0</v>
      </c>
      <c r="BT26" s="314">
        <f t="shared" si="38"/>
        <v>45649</v>
      </c>
      <c r="BU26" s="388">
        <f>+Общо!BE26</f>
        <v>0</v>
      </c>
      <c r="BV26" s="383">
        <f>+Общо!BF26</f>
        <v>0</v>
      </c>
      <c r="BW26" s="389">
        <f>+Общо!BG26</f>
        <v>0</v>
      </c>
      <c r="BY26" s="265">
        <f t="shared" si="39"/>
        <v>45649</v>
      </c>
      <c r="BZ26" s="390">
        <f>+Общо!BJ26</f>
        <v>0</v>
      </c>
      <c r="CA26" s="390">
        <f>+Общо!BK26</f>
        <v>0</v>
      </c>
      <c r="CB26" s="390">
        <f>+Общо!BL26</f>
        <v>0</v>
      </c>
      <c r="CC26" s="390">
        <f>+Общо!BM26</f>
        <v>0</v>
      </c>
      <c r="CD26" s="390">
        <f>+Общо!BN26</f>
        <v>0</v>
      </c>
      <c r="CE26" s="390">
        <f>+Общо!BO26</f>
        <v>0</v>
      </c>
      <c r="CF26" s="390">
        <f>+Общо!BP26</f>
        <v>0</v>
      </c>
      <c r="CG26" s="390">
        <f>+Общо!BQ26</f>
        <v>0</v>
      </c>
      <c r="CH26" s="391">
        <f t="shared" si="45"/>
        <v>0</v>
      </c>
      <c r="CJ26" s="265">
        <f t="shared" si="40"/>
        <v>45649</v>
      </c>
      <c r="CK26" s="392">
        <f>+Общо!BU26</f>
        <v>0</v>
      </c>
      <c r="CL26" s="392">
        <f>+Общо!BV26</f>
        <v>0</v>
      </c>
      <c r="CM26" s="392">
        <f>+Общо!BW26</f>
        <v>0</v>
      </c>
      <c r="CN26" s="392">
        <f>+Общо!BX26</f>
        <v>0</v>
      </c>
      <c r="CO26" s="392">
        <f>+Общо!BY26</f>
        <v>0</v>
      </c>
      <c r="CP26" s="392">
        <f>+Общо!BZ26</f>
        <v>0</v>
      </c>
      <c r="CQ26" s="392">
        <f>+Общо!CA26</f>
        <v>0</v>
      </c>
      <c r="CR26" s="392">
        <f>+Общо!CB26</f>
        <v>0</v>
      </c>
      <c r="CS26" s="391">
        <f t="shared" si="46"/>
        <v>0</v>
      </c>
      <c r="CU26" s="265">
        <f t="shared" si="41"/>
        <v>45649</v>
      </c>
      <c r="CV26" s="393">
        <f>+Общо!CF26</f>
        <v>0</v>
      </c>
      <c r="CW26" s="393">
        <f>+Общо!CG26</f>
        <v>0</v>
      </c>
      <c r="CX26" s="393">
        <f>+Общо!CH26</f>
        <v>0</v>
      </c>
      <c r="CY26" s="393">
        <f>+Общо!CI26</f>
        <v>0</v>
      </c>
      <c r="CZ26" s="393">
        <f>+Общо!CJ26</f>
        <v>0</v>
      </c>
      <c r="DA26" s="393">
        <f>+Общо!CK26</f>
        <v>0</v>
      </c>
      <c r="DB26" s="393">
        <f>+Общо!CL26</f>
        <v>0</v>
      </c>
      <c r="DC26" s="393">
        <f>+Общо!CM26</f>
        <v>0</v>
      </c>
      <c r="DD26" s="394">
        <f t="shared" si="47"/>
        <v>0</v>
      </c>
    </row>
    <row r="27" spans="2:110" x14ac:dyDescent="0.25">
      <c r="B27" s="47">
        <f t="shared" si="34"/>
        <v>45650</v>
      </c>
      <c r="C27" s="365">
        <f>+Общо!C27+Общо!D27+Общо!E27+Общо!F27+Общо!L27+Общо!Y27+Общо!G27+Общо!S27</f>
        <v>0</v>
      </c>
      <c r="D27" s="366">
        <f>+(Общо!C27+Общо!D27+Общо!E27+Общо!F27+Общо!G27+Общо!L27)*Цени!$T$42+Общо!Y27*Цени!$T$42+Общо!S27*Цени!$T$44</f>
        <v>0</v>
      </c>
      <c r="E27" s="366">
        <f>+Перник!T38</f>
        <v>0</v>
      </c>
      <c r="F27" s="367">
        <f>+Общо!H27+Общо!I27+Общо!J27+Общо!K27+Общо!M27+Общо!N27+Общо!O27+Общо!P27+Общо!Q27+Общо!R27+Общо!T27+Общо!U27+Общо!V27+Общо!W27</f>
        <v>0</v>
      </c>
      <c r="G27" s="368">
        <f>+Общо!H27*Цени!$T$46+Общо!I27*Цени!$T$45+Общо!J27*Цени!$T$46+Общо!K27*Цени!$T$46+Общо!M27*Цени!$T$46+Общо!N27*Цени!$T$46+Общо!O27*Цени!$T$46+Общо!P27*Цени!$T$46+Общо!Q27*Цени!$T$46+Общо!R27*Цени!$T$47+Общо!T27*Цени!$T$45+Общо!V27*'PPC Гърция'!E27+Общо!U27*HERON!E27+'МЕТ ВИТОЛ ДХТ'!F27+'МЕТ ВИТОЛ ДХТ'!L27+'МЕТ ВИТОЛ ДХТ'!R27+'МЕТ ВИТОЛ ДХТ'!X27+'МЕТ ВИТОЛ ДХТ'!AD27+'МЕТ ВИТОЛ ДХТ'!AJ27+'МЕТ ВИТОЛ ДХТ'!AP27+'МЕТ ВИТОЛ ДХТ'!AV27</f>
        <v>0</v>
      </c>
      <c r="H27" s="368">
        <f>+'Борса и балансиране'!F27</f>
        <v>0</v>
      </c>
      <c r="I27" s="368">
        <f>+'Борса и балансиране'!H27</f>
        <v>0</v>
      </c>
      <c r="J27" s="368">
        <f>+'Борса и балансиране'!J27</f>
        <v>0</v>
      </c>
      <c r="K27" s="368">
        <f>+'Борса и балансиране'!N27</f>
        <v>0</v>
      </c>
      <c r="L27" s="368">
        <f>+Цени!Y26</f>
        <v>0</v>
      </c>
      <c r="M27" s="368">
        <f>+Цени!AA26</f>
        <v>0</v>
      </c>
      <c r="N27" s="369">
        <f t="shared" si="14"/>
        <v>0</v>
      </c>
      <c r="O27" s="370">
        <f t="shared" si="15"/>
        <v>0</v>
      </c>
      <c r="Q27" s="47">
        <f t="shared" si="35"/>
        <v>45650</v>
      </c>
      <c r="R27" s="368">
        <f>+Цени!R26</f>
        <v>0</v>
      </c>
      <c r="S27" s="368">
        <f>+R27*Цени!$R$36</f>
        <v>0</v>
      </c>
      <c r="T27" s="368">
        <f>+Цени!D26</f>
        <v>0</v>
      </c>
      <c r="U27" s="368">
        <f>+Цени!D26*Цени!$D$36</f>
        <v>0</v>
      </c>
      <c r="V27" s="368">
        <f>+Цени!Q26</f>
        <v>0</v>
      </c>
      <c r="W27" s="368">
        <f>+V27*Цени!$Q$36</f>
        <v>0</v>
      </c>
      <c r="X27" s="368">
        <f>+Цени!C26</f>
        <v>0</v>
      </c>
      <c r="Y27" s="368">
        <f>+Цени!C26*Цени!$C$36</f>
        <v>0</v>
      </c>
      <c r="Z27" s="368">
        <f>+Цени!L26+Цени!M26+Цени!N26+Цени!O26+Цени!P26</f>
        <v>0</v>
      </c>
      <c r="AA27" s="368">
        <f>+Цени!L26*Цени!$L$36+Цени!M26*Цени!$M$36+Цени!N26*Цени!$N$36+Цени!O26*Цени!$O$36+Цени!P26*Цени!$P$36</f>
        <v>0</v>
      </c>
      <c r="AB27" s="368">
        <f>+Цени!S26</f>
        <v>0</v>
      </c>
      <c r="AC27" s="368">
        <f>+AB27*Цени!$S$36</f>
        <v>0</v>
      </c>
      <c r="AD27" s="368">
        <f>+'Борса и балансиране'!C27</f>
        <v>0</v>
      </c>
      <c r="AE27" s="368">
        <f>+'Борса и балансиране'!E27</f>
        <v>0</v>
      </c>
      <c r="AF27" s="368">
        <f>+'Борса и балансиране'!K27*-1</f>
        <v>0</v>
      </c>
      <c r="AG27" s="368">
        <f>+'Борса и балансиране'!O27*-1</f>
        <v>0</v>
      </c>
      <c r="AH27" s="368">
        <f t="shared" si="16"/>
        <v>0</v>
      </c>
      <c r="AI27" s="371">
        <f t="shared" si="17"/>
        <v>0</v>
      </c>
      <c r="AJ27" s="372"/>
      <c r="AK27" s="314">
        <f t="shared" si="36"/>
        <v>45650</v>
      </c>
      <c r="AL27" s="373">
        <f t="shared" si="44"/>
        <v>0</v>
      </c>
      <c r="AM27" s="373">
        <f t="shared" si="2"/>
        <v>0</v>
      </c>
      <c r="AN27" s="374">
        <f t="shared" si="3"/>
        <v>0</v>
      </c>
      <c r="AO27" s="370">
        <v>0</v>
      </c>
      <c r="AP27" s="370">
        <v>0</v>
      </c>
      <c r="AQ27" s="371">
        <f>+Общо!AN27</f>
        <v>0</v>
      </c>
      <c r="AR27" s="375">
        <f>+(Цени!$D$36-Цени!$Z$1)*Цени!D26</f>
        <v>0</v>
      </c>
      <c r="AS27" s="376">
        <f t="shared" si="19"/>
        <v>0</v>
      </c>
      <c r="AU27" s="314">
        <f t="shared" si="37"/>
        <v>45650</v>
      </c>
      <c r="AV27" s="378">
        <f t="shared" si="4"/>
        <v>0</v>
      </c>
      <c r="AW27" s="378">
        <f t="shared" si="5"/>
        <v>0</v>
      </c>
      <c r="AX27" s="378">
        <f t="shared" si="6"/>
        <v>0</v>
      </c>
      <c r="AY27" s="378">
        <f t="shared" si="7"/>
        <v>0</v>
      </c>
      <c r="AZ27" s="379">
        <f t="shared" si="8"/>
        <v>0</v>
      </c>
      <c r="BB27" s="380">
        <f t="shared" si="20"/>
        <v>0</v>
      </c>
      <c r="BC27" s="381">
        <f t="shared" si="21"/>
        <v>0</v>
      </c>
      <c r="BD27" s="381">
        <f t="shared" si="22"/>
        <v>0</v>
      </c>
      <c r="BE27" s="381">
        <f t="shared" si="23"/>
        <v>0</v>
      </c>
      <c r="BF27" s="381">
        <f t="shared" si="24"/>
        <v>0</v>
      </c>
      <c r="BG27" s="378">
        <f t="shared" si="25"/>
        <v>0</v>
      </c>
      <c r="BH27" s="378">
        <f>+'Борса и балансиране'!M27</f>
        <v>0</v>
      </c>
      <c r="BI27" s="379">
        <f t="shared" si="26"/>
        <v>0</v>
      </c>
      <c r="BK27" s="382">
        <f>+Общо!AT27</f>
        <v>75.89</v>
      </c>
      <c r="BL27" s="383">
        <f t="shared" si="27"/>
        <v>0</v>
      </c>
      <c r="BM27" s="384">
        <f>+Общо!AV27</f>
        <v>0</v>
      </c>
      <c r="BN27" s="385">
        <f t="shared" si="28"/>
        <v>0</v>
      </c>
      <c r="BP27" s="382">
        <f t="shared" si="29"/>
        <v>0</v>
      </c>
      <c r="BQ27" s="386">
        <f t="shared" si="30"/>
        <v>0</v>
      </c>
      <c r="BR27" s="385">
        <f t="shared" si="31"/>
        <v>0</v>
      </c>
      <c r="BT27" s="314">
        <f t="shared" si="38"/>
        <v>45650</v>
      </c>
      <c r="BU27" s="388">
        <f>+Общо!BE27</f>
        <v>0</v>
      </c>
      <c r="BV27" s="383">
        <f>+Общо!BF27</f>
        <v>0</v>
      </c>
      <c r="BW27" s="389">
        <f>+Общо!BG27</f>
        <v>0</v>
      </c>
      <c r="BY27" s="265">
        <f t="shared" si="39"/>
        <v>45650</v>
      </c>
      <c r="BZ27" s="390">
        <f>+Общо!BJ27</f>
        <v>0</v>
      </c>
      <c r="CA27" s="390">
        <f>+Общо!BK27</f>
        <v>0</v>
      </c>
      <c r="CB27" s="390">
        <f>+Общо!BL27</f>
        <v>0</v>
      </c>
      <c r="CC27" s="390">
        <f>+Общо!BM27</f>
        <v>0</v>
      </c>
      <c r="CD27" s="390">
        <f>+Общо!BN27</f>
        <v>0</v>
      </c>
      <c r="CE27" s="390">
        <f>+Общо!BO27</f>
        <v>0</v>
      </c>
      <c r="CF27" s="390">
        <f>+Общо!BP27</f>
        <v>0</v>
      </c>
      <c r="CG27" s="390">
        <f>+Общо!BQ27</f>
        <v>0</v>
      </c>
      <c r="CH27" s="391">
        <f t="shared" si="45"/>
        <v>0</v>
      </c>
      <c r="CJ27" s="265">
        <f t="shared" si="40"/>
        <v>45650</v>
      </c>
      <c r="CK27" s="392">
        <f>+Общо!BU27</f>
        <v>0</v>
      </c>
      <c r="CL27" s="392">
        <f>+Общо!BV27</f>
        <v>0</v>
      </c>
      <c r="CM27" s="392">
        <f>+Общо!BW27</f>
        <v>0</v>
      </c>
      <c r="CN27" s="392">
        <f>+Общо!BX27</f>
        <v>0</v>
      </c>
      <c r="CO27" s="392">
        <f>+Общо!BY27</f>
        <v>0</v>
      </c>
      <c r="CP27" s="392">
        <f>+Общо!BZ27</f>
        <v>0</v>
      </c>
      <c r="CQ27" s="392">
        <f>+Общо!CA27</f>
        <v>0</v>
      </c>
      <c r="CR27" s="392">
        <f>+Общо!CB27</f>
        <v>0</v>
      </c>
      <c r="CS27" s="391">
        <f t="shared" si="46"/>
        <v>0</v>
      </c>
      <c r="CU27" s="265">
        <f t="shared" si="41"/>
        <v>45650</v>
      </c>
      <c r="CV27" s="393">
        <f>+Общо!CF27</f>
        <v>0</v>
      </c>
      <c r="CW27" s="393">
        <f>+Общо!CG27</f>
        <v>0</v>
      </c>
      <c r="CX27" s="393">
        <f>+Общо!CH27</f>
        <v>0</v>
      </c>
      <c r="CY27" s="393">
        <f>+Общо!CI27</f>
        <v>0</v>
      </c>
      <c r="CZ27" s="393">
        <f>+Общо!CJ27</f>
        <v>0</v>
      </c>
      <c r="DA27" s="393">
        <f>+Общо!CK27</f>
        <v>0</v>
      </c>
      <c r="DB27" s="393">
        <f>+Общо!CL27</f>
        <v>0</v>
      </c>
      <c r="DC27" s="393">
        <f>+Общо!CM27</f>
        <v>0</v>
      </c>
      <c r="DD27" s="394">
        <f t="shared" ref="DD27:DD34" si="49">SUM(CV27:DC27)</f>
        <v>0</v>
      </c>
    </row>
    <row r="28" spans="2:110" x14ac:dyDescent="0.25">
      <c r="B28" s="47">
        <f t="shared" si="34"/>
        <v>45651</v>
      </c>
      <c r="C28" s="365">
        <f>+Общо!C28+Общо!D28+Общо!E28+Общо!F28+Общо!L28+Общо!Y28+Общо!G28+Общо!S28</f>
        <v>0</v>
      </c>
      <c r="D28" s="366">
        <f>+(Общо!C28+Общо!D28+Общо!E28+Общо!F28+Общо!G28+Общо!L28)*Цени!$T$42+Общо!Y28*Цени!$T$42+Общо!S28*Цени!$T$44</f>
        <v>0</v>
      </c>
      <c r="E28" s="366">
        <f>+Перник!T39</f>
        <v>0</v>
      </c>
      <c r="F28" s="367">
        <f>+Общо!H28+Общо!I28+Общо!J28+Общо!K28+Общо!M28+Общо!N28+Общо!O28+Общо!P28+Общо!Q28+Общо!R28+Общо!T28+Общо!U28+Общо!V28+Общо!W28</f>
        <v>0</v>
      </c>
      <c r="G28" s="368">
        <f>+Общо!H28*Цени!$T$46+Общо!I28*Цени!$T$45+Общо!J28*Цени!$T$46+Общо!K28*Цени!$T$46+Общо!M28*Цени!$T$46+Общо!N28*Цени!$T$46+Общо!O28*Цени!$T$46+Общо!P28*Цени!$T$46+Общо!Q28*Цени!$T$46+Общо!R28*Цени!$T$47+Общо!T28*Цени!$T$45+Общо!V28*'PPC Гърция'!E28+Общо!U28*HERON!E28+'МЕТ ВИТОЛ ДХТ'!F28+'МЕТ ВИТОЛ ДХТ'!L28+'МЕТ ВИТОЛ ДХТ'!R28+'МЕТ ВИТОЛ ДХТ'!X28+'МЕТ ВИТОЛ ДХТ'!AD28+'МЕТ ВИТОЛ ДХТ'!AJ28+'МЕТ ВИТОЛ ДХТ'!AP28+'МЕТ ВИТОЛ ДХТ'!AV28</f>
        <v>0</v>
      </c>
      <c r="H28" s="368">
        <f>+'Борса и балансиране'!F28</f>
        <v>0</v>
      </c>
      <c r="I28" s="368">
        <f>+'Борса и балансиране'!H28</f>
        <v>0</v>
      </c>
      <c r="J28" s="368">
        <f>+'Борса и балансиране'!J28</f>
        <v>0</v>
      </c>
      <c r="K28" s="368">
        <f>+'Борса и балансиране'!N28</f>
        <v>0</v>
      </c>
      <c r="L28" s="368">
        <f>+Цени!Y27</f>
        <v>0</v>
      </c>
      <c r="M28" s="368">
        <f>+Цени!AA27</f>
        <v>0</v>
      </c>
      <c r="N28" s="369">
        <f t="shared" si="14"/>
        <v>0</v>
      </c>
      <c r="O28" s="370">
        <f t="shared" si="15"/>
        <v>0</v>
      </c>
      <c r="Q28" s="47">
        <f t="shared" si="35"/>
        <v>45651</v>
      </c>
      <c r="R28" s="368">
        <f>+Цени!R27</f>
        <v>0</v>
      </c>
      <c r="S28" s="368">
        <f>+R28*Цени!$R$36</f>
        <v>0</v>
      </c>
      <c r="T28" s="368">
        <f>+Цени!D27</f>
        <v>0</v>
      </c>
      <c r="U28" s="368">
        <f>+Цени!D27*Цени!$D$36</f>
        <v>0</v>
      </c>
      <c r="V28" s="368">
        <f>+Цени!Q27</f>
        <v>0</v>
      </c>
      <c r="W28" s="368">
        <f>+V28*Цени!$Q$36</f>
        <v>0</v>
      </c>
      <c r="X28" s="368">
        <f>+Цени!C27</f>
        <v>0</v>
      </c>
      <c r="Y28" s="368">
        <f>+Цени!C27*Цени!$C$36</f>
        <v>0</v>
      </c>
      <c r="Z28" s="368">
        <f>+Цени!L27+Цени!M27+Цени!N27+Цени!O27+Цени!P27</f>
        <v>0</v>
      </c>
      <c r="AA28" s="368">
        <f>+Цени!L27*Цени!$L$36+Цени!M27*Цени!$M$36+Цени!N27*Цени!$N$36+Цени!O27*Цени!$O$36+Цени!P27*Цени!$P$36</f>
        <v>0</v>
      </c>
      <c r="AB28" s="368">
        <f>+Цени!S27</f>
        <v>0</v>
      </c>
      <c r="AC28" s="368">
        <f>+AB28*Цени!$S$36</f>
        <v>0</v>
      </c>
      <c r="AD28" s="368">
        <f>+'Борса и балансиране'!C28</f>
        <v>0</v>
      </c>
      <c r="AE28" s="368">
        <f>+'Борса и балансиране'!E28</f>
        <v>0</v>
      </c>
      <c r="AF28" s="368">
        <f>+'Борса и балансиране'!K28*-1</f>
        <v>0</v>
      </c>
      <c r="AG28" s="368">
        <f>+'Борса и балансиране'!O28*-1</f>
        <v>0</v>
      </c>
      <c r="AH28" s="368">
        <f t="shared" si="16"/>
        <v>0</v>
      </c>
      <c r="AI28" s="371">
        <f t="shared" si="17"/>
        <v>0</v>
      </c>
      <c r="AJ28" s="372"/>
      <c r="AK28" s="314">
        <f t="shared" si="36"/>
        <v>45651</v>
      </c>
      <c r="AL28" s="373">
        <f t="shared" si="44"/>
        <v>0</v>
      </c>
      <c r="AM28" s="373">
        <f t="shared" si="2"/>
        <v>0</v>
      </c>
      <c r="AN28" s="374">
        <f t="shared" si="3"/>
        <v>0</v>
      </c>
      <c r="AO28" s="370">
        <v>0</v>
      </c>
      <c r="AP28" s="370">
        <v>0</v>
      </c>
      <c r="AQ28" s="371">
        <f>+Общо!AN28</f>
        <v>0</v>
      </c>
      <c r="AR28" s="375">
        <f>+(Цени!$D$36-Цени!$Z$1)*Цени!D27</f>
        <v>0</v>
      </c>
      <c r="AS28" s="376">
        <f t="shared" si="19"/>
        <v>0</v>
      </c>
      <c r="AU28" s="314">
        <f t="shared" si="37"/>
        <v>45651</v>
      </c>
      <c r="AV28" s="378">
        <f t="shared" ref="AV28:AV34" si="50">+IFERROR(D28/C28,0)</f>
        <v>0</v>
      </c>
      <c r="AW28" s="378">
        <f t="shared" ref="AW28:AW34" si="51">+IFERROR(G28/F28,)</f>
        <v>0</v>
      </c>
      <c r="AX28" s="378">
        <f t="shared" ref="AX28:AX34" si="52">+IFERROR(I28/H28,0)</f>
        <v>0</v>
      </c>
      <c r="AY28" s="378">
        <f t="shared" ref="AY28:AY34" si="53">+IFERROR(K28/J28,0)</f>
        <v>0</v>
      </c>
      <c r="AZ28" s="379">
        <f t="shared" ref="AZ28:AZ34" si="54">+IFERROR(M28/L28,0)</f>
        <v>0</v>
      </c>
      <c r="BB28" s="380">
        <f t="shared" ref="BB28:BB34" si="55">+IFERROR(Y28/(X28),0)</f>
        <v>0</v>
      </c>
      <c r="BC28" s="381">
        <f t="shared" ref="BC28:BC34" si="56">+IFERROR(AA28/Z28,0)</f>
        <v>0</v>
      </c>
      <c r="BD28" s="381">
        <f t="shared" ref="BD28:BD34" si="57">+IFERROR(U28/T28,0)</f>
        <v>0</v>
      </c>
      <c r="BE28" s="381">
        <f t="shared" ref="BE28:BE34" si="58">+IFERROR(W28/V28,0)</f>
        <v>0</v>
      </c>
      <c r="BF28" s="381">
        <f t="shared" ref="BF28:BF34" si="59">+IFERROR(AC28/AB28,0)</f>
        <v>0</v>
      </c>
      <c r="BG28" s="378">
        <f t="shared" ref="BG28:BG34" si="60">IFERROR(AE28/AD28,0)</f>
        <v>0</v>
      </c>
      <c r="BH28" s="378">
        <f>+'Борса и балансиране'!M28</f>
        <v>0</v>
      </c>
      <c r="BI28" s="379">
        <f t="shared" si="26"/>
        <v>0</v>
      </c>
      <c r="BK28" s="382">
        <f>+Общо!AT28</f>
        <v>75.89</v>
      </c>
      <c r="BL28" s="383">
        <f t="shared" ref="BL28:BL34" si="61">+BP28</f>
        <v>0</v>
      </c>
      <c r="BM28" s="384">
        <f>+Общо!AV28</f>
        <v>0</v>
      </c>
      <c r="BN28" s="385">
        <f t="shared" si="28"/>
        <v>0</v>
      </c>
      <c r="BP28" s="382">
        <f t="shared" ref="BP28:BP34" si="62">++IFERROR(AI28/AH28,0)</f>
        <v>0</v>
      </c>
      <c r="BQ28" s="386">
        <f t="shared" ref="BQ28:BQ34" si="63">++IFERROR((O28-M28)/(N28-L28),0)</f>
        <v>0</v>
      </c>
      <c r="BR28" s="385">
        <f t="shared" si="31"/>
        <v>0</v>
      </c>
      <c r="BT28" s="314">
        <f t="shared" si="38"/>
        <v>45651</v>
      </c>
      <c r="BU28" s="388">
        <f>+Общо!BE28</f>
        <v>0</v>
      </c>
      <c r="BV28" s="383">
        <f>+Общо!BF28</f>
        <v>0</v>
      </c>
      <c r="BW28" s="389">
        <f>+Общо!BG28</f>
        <v>0</v>
      </c>
      <c r="BY28" s="265">
        <f t="shared" si="39"/>
        <v>45651</v>
      </c>
      <c r="BZ28" s="390">
        <f>+Общо!BJ28</f>
        <v>0</v>
      </c>
      <c r="CA28" s="390">
        <f>+Общо!BK28</f>
        <v>0</v>
      </c>
      <c r="CB28" s="390">
        <f>+Общо!BL28</f>
        <v>0</v>
      </c>
      <c r="CC28" s="390">
        <f>+Общо!BM28</f>
        <v>0</v>
      </c>
      <c r="CD28" s="390">
        <f>+Общо!BN28</f>
        <v>0</v>
      </c>
      <c r="CE28" s="390">
        <f>+Общо!BO28</f>
        <v>0</v>
      </c>
      <c r="CF28" s="390">
        <f>+Общо!BP28</f>
        <v>0</v>
      </c>
      <c r="CG28" s="390">
        <f>+Общо!BQ28</f>
        <v>0</v>
      </c>
      <c r="CH28" s="391">
        <f t="shared" ref="CH28:CH34" si="64">SUM(BZ28:CG28)</f>
        <v>0</v>
      </c>
      <c r="CJ28" s="265">
        <f t="shared" si="40"/>
        <v>45651</v>
      </c>
      <c r="CK28" s="392">
        <f>+Общо!BU28</f>
        <v>0</v>
      </c>
      <c r="CL28" s="392">
        <f>+Общо!BV28</f>
        <v>0</v>
      </c>
      <c r="CM28" s="392">
        <f>+Общо!BW28</f>
        <v>0</v>
      </c>
      <c r="CN28" s="392">
        <f>+Общо!BX28</f>
        <v>0</v>
      </c>
      <c r="CO28" s="392">
        <f>+Общо!BY28</f>
        <v>0</v>
      </c>
      <c r="CP28" s="392">
        <f>+Общо!BZ28</f>
        <v>0</v>
      </c>
      <c r="CQ28" s="392">
        <f>+Общо!CA28</f>
        <v>0</v>
      </c>
      <c r="CR28" s="392">
        <f>+Общо!CB28</f>
        <v>0</v>
      </c>
      <c r="CS28" s="391">
        <f t="shared" si="46"/>
        <v>0</v>
      </c>
      <c r="CU28" s="265">
        <f t="shared" si="41"/>
        <v>45651</v>
      </c>
      <c r="CV28" s="393">
        <f>+Общо!CF28</f>
        <v>0</v>
      </c>
      <c r="CW28" s="393">
        <f>+Общо!CG28</f>
        <v>0</v>
      </c>
      <c r="CX28" s="393">
        <f>+Общо!CH28</f>
        <v>0</v>
      </c>
      <c r="CY28" s="393">
        <f>+Общо!CI28</f>
        <v>0</v>
      </c>
      <c r="CZ28" s="393">
        <f>+Общо!CJ28</f>
        <v>0</v>
      </c>
      <c r="DA28" s="393">
        <f>+Общо!CK28</f>
        <v>0</v>
      </c>
      <c r="DB28" s="393">
        <f>+Общо!CL28</f>
        <v>0</v>
      </c>
      <c r="DC28" s="393">
        <f>+Общо!CM28</f>
        <v>0</v>
      </c>
      <c r="DD28" s="394">
        <f t="shared" si="49"/>
        <v>0</v>
      </c>
    </row>
    <row r="29" spans="2:110" x14ac:dyDescent="0.25">
      <c r="B29" s="47">
        <f t="shared" si="34"/>
        <v>45652</v>
      </c>
      <c r="C29" s="365">
        <f>+Общо!C29+Общо!D29+Общо!E29+Общо!F29+Общо!L29+Общо!Y29+Общо!G29+Общо!S29</f>
        <v>0</v>
      </c>
      <c r="D29" s="366">
        <f>+(Общо!C29+Общо!D29+Общо!E29+Общо!F29+Общо!G29+Общо!L29)*Цени!$T$42+Общо!Y29*Цени!$T$42+Общо!S29*Цени!$T$44</f>
        <v>0</v>
      </c>
      <c r="E29" s="366">
        <f>+Перник!T40</f>
        <v>0</v>
      </c>
      <c r="F29" s="367">
        <f>+Общо!H29+Общо!I29+Общо!J29+Общо!K29+Общо!M29+Общо!N29+Общо!O29+Общо!P29+Общо!Q29+Общо!R29+Общо!T29+Общо!U29+Общо!V29+Общо!W29</f>
        <v>0</v>
      </c>
      <c r="G29" s="368">
        <f>+Общо!H29*Цени!$T$46+Общо!I29*Цени!$T$45+Общо!J29*Цени!$T$46+Общо!K29*Цени!$T$46+Общо!M29*Цени!$T$46+Общо!N29*Цени!$T$46+Общо!O29*Цени!$T$46+Общо!P29*Цени!$T$46+Общо!Q29*Цени!$T$46+Общо!R29*Цени!$T$47+Общо!T29*Цени!$T$45+Общо!V29*'PPC Гърция'!E29+Общо!U29*HERON!E29+'МЕТ ВИТОЛ ДХТ'!F29+'МЕТ ВИТОЛ ДХТ'!L29+'МЕТ ВИТОЛ ДХТ'!R29+'МЕТ ВИТОЛ ДХТ'!X29+'МЕТ ВИТОЛ ДХТ'!AD29+'МЕТ ВИТОЛ ДХТ'!AJ29+'МЕТ ВИТОЛ ДХТ'!AP29+'МЕТ ВИТОЛ ДХТ'!AV29</f>
        <v>0</v>
      </c>
      <c r="H29" s="368">
        <f>+'Борса и балансиране'!F29</f>
        <v>0</v>
      </c>
      <c r="I29" s="368">
        <f>+'Борса и балансиране'!H29</f>
        <v>0</v>
      </c>
      <c r="J29" s="368">
        <f>+'Борса и балансиране'!J29</f>
        <v>0</v>
      </c>
      <c r="K29" s="368">
        <f>+'Борса и балансиране'!N29</f>
        <v>0</v>
      </c>
      <c r="L29" s="368">
        <f>+Цени!Y28</f>
        <v>0</v>
      </c>
      <c r="M29" s="368">
        <f>+Цени!AA28</f>
        <v>0</v>
      </c>
      <c r="N29" s="369">
        <f t="shared" si="14"/>
        <v>0</v>
      </c>
      <c r="O29" s="370">
        <f t="shared" si="15"/>
        <v>0</v>
      </c>
      <c r="Q29" s="47">
        <f t="shared" si="35"/>
        <v>45652</v>
      </c>
      <c r="R29" s="368">
        <f>+Цени!R28</f>
        <v>0</v>
      </c>
      <c r="S29" s="368">
        <f>+R29*Цени!$R$36</f>
        <v>0</v>
      </c>
      <c r="T29" s="368">
        <f>+Цени!D28</f>
        <v>0</v>
      </c>
      <c r="U29" s="368">
        <f>+Цени!D28*Цени!$D$36</f>
        <v>0</v>
      </c>
      <c r="V29" s="368">
        <f>+Цени!Q28</f>
        <v>0</v>
      </c>
      <c r="W29" s="368">
        <f>+V29*Цени!$Q$36</f>
        <v>0</v>
      </c>
      <c r="X29" s="368">
        <f>+Цени!C28</f>
        <v>0</v>
      </c>
      <c r="Y29" s="368">
        <f>+Цени!C28*Цени!$C$36</f>
        <v>0</v>
      </c>
      <c r="Z29" s="368">
        <f>+Цени!L28+Цени!M28+Цени!N28+Цени!O28+Цени!P28</f>
        <v>0</v>
      </c>
      <c r="AA29" s="368">
        <f>+Цени!L28*Цени!$L$36+Цени!M28*Цени!$M$36+Цени!N28*Цени!$N$36+Цени!O28*Цени!$O$36+Цени!P28*Цени!$P$36</f>
        <v>0</v>
      </c>
      <c r="AB29" s="368">
        <f>+Цени!S28</f>
        <v>0</v>
      </c>
      <c r="AC29" s="368">
        <f>+AB29*Цени!$S$36</f>
        <v>0</v>
      </c>
      <c r="AD29" s="368">
        <f>+'Борса и балансиране'!C29</f>
        <v>0</v>
      </c>
      <c r="AE29" s="368">
        <f>+'Борса и балансиране'!E29</f>
        <v>0</v>
      </c>
      <c r="AF29" s="368">
        <f>+'Борса и балансиране'!K29*-1</f>
        <v>0</v>
      </c>
      <c r="AG29" s="368">
        <f>+'Борса и балансиране'!O29*-1</f>
        <v>0</v>
      </c>
      <c r="AH29" s="368">
        <f t="shared" si="16"/>
        <v>0</v>
      </c>
      <c r="AI29" s="371">
        <f t="shared" si="17"/>
        <v>0</v>
      </c>
      <c r="AJ29" s="372"/>
      <c r="AK29" s="314">
        <f t="shared" si="36"/>
        <v>45652</v>
      </c>
      <c r="AL29" s="373">
        <f t="shared" si="44"/>
        <v>0</v>
      </c>
      <c r="AM29" s="373">
        <f t="shared" si="2"/>
        <v>0</v>
      </c>
      <c r="AN29" s="374">
        <f t="shared" si="3"/>
        <v>0</v>
      </c>
      <c r="AO29" s="370">
        <v>0</v>
      </c>
      <c r="AP29" s="370">
        <v>0</v>
      </c>
      <c r="AQ29" s="371">
        <f>+Общо!AN29</f>
        <v>0</v>
      </c>
      <c r="AR29" s="375">
        <f>+(Цени!$D$36-Цени!$Z$1)*Цени!D28</f>
        <v>0</v>
      </c>
      <c r="AS29" s="376">
        <f t="shared" si="19"/>
        <v>0</v>
      </c>
      <c r="AU29" s="314">
        <f t="shared" si="37"/>
        <v>45652</v>
      </c>
      <c r="AV29" s="378">
        <f t="shared" si="50"/>
        <v>0</v>
      </c>
      <c r="AW29" s="378">
        <f t="shared" si="51"/>
        <v>0</v>
      </c>
      <c r="AX29" s="378">
        <f t="shared" si="52"/>
        <v>0</v>
      </c>
      <c r="AY29" s="378">
        <f t="shared" si="53"/>
        <v>0</v>
      </c>
      <c r="AZ29" s="379">
        <f t="shared" si="54"/>
        <v>0</v>
      </c>
      <c r="BB29" s="380">
        <f t="shared" si="55"/>
        <v>0</v>
      </c>
      <c r="BC29" s="381">
        <f t="shared" si="56"/>
        <v>0</v>
      </c>
      <c r="BD29" s="381">
        <f t="shared" si="57"/>
        <v>0</v>
      </c>
      <c r="BE29" s="381">
        <f t="shared" si="58"/>
        <v>0</v>
      </c>
      <c r="BF29" s="381">
        <f t="shared" si="59"/>
        <v>0</v>
      </c>
      <c r="BG29" s="378">
        <f t="shared" si="60"/>
        <v>0</v>
      </c>
      <c r="BH29" s="378">
        <f>+'Борса и балансиране'!M29</f>
        <v>0</v>
      </c>
      <c r="BI29" s="379">
        <f t="shared" si="26"/>
        <v>0</v>
      </c>
      <c r="BK29" s="382">
        <f>+Общо!AT29</f>
        <v>75.89</v>
      </c>
      <c r="BL29" s="383">
        <f t="shared" si="61"/>
        <v>0</v>
      </c>
      <c r="BM29" s="384">
        <f>+Общо!AV29</f>
        <v>0</v>
      </c>
      <c r="BN29" s="385">
        <f t="shared" si="28"/>
        <v>0</v>
      </c>
      <c r="BP29" s="382">
        <f t="shared" si="62"/>
        <v>0</v>
      </c>
      <c r="BQ29" s="386">
        <f t="shared" si="63"/>
        <v>0</v>
      </c>
      <c r="BR29" s="385">
        <f t="shared" si="31"/>
        <v>0</v>
      </c>
      <c r="BT29" s="314">
        <f t="shared" si="38"/>
        <v>45652</v>
      </c>
      <c r="BU29" s="388">
        <f>+Общо!BE29</f>
        <v>0</v>
      </c>
      <c r="BV29" s="383">
        <f>+Общо!BF29</f>
        <v>0</v>
      </c>
      <c r="BW29" s="389">
        <f>+Общо!BG29</f>
        <v>0</v>
      </c>
      <c r="BY29" s="265">
        <f t="shared" si="39"/>
        <v>45652</v>
      </c>
      <c r="BZ29" s="390">
        <f>+Общо!BJ29</f>
        <v>0</v>
      </c>
      <c r="CA29" s="390">
        <f>+Общо!BK29</f>
        <v>0</v>
      </c>
      <c r="CB29" s="390">
        <f>+Общо!BL29</f>
        <v>0</v>
      </c>
      <c r="CC29" s="390">
        <f>+Общо!BM29</f>
        <v>0</v>
      </c>
      <c r="CD29" s="390">
        <f>+Общо!BN29</f>
        <v>0</v>
      </c>
      <c r="CE29" s="390">
        <f>+Общо!BO29</f>
        <v>0</v>
      </c>
      <c r="CF29" s="390">
        <f>+Общо!BP29</f>
        <v>0</v>
      </c>
      <c r="CG29" s="390">
        <f>+Общо!BQ29</f>
        <v>0</v>
      </c>
      <c r="CH29" s="391">
        <f t="shared" si="64"/>
        <v>0</v>
      </c>
      <c r="CJ29" s="265">
        <f t="shared" si="40"/>
        <v>45652</v>
      </c>
      <c r="CK29" s="392">
        <f>+Общо!BU29</f>
        <v>0</v>
      </c>
      <c r="CL29" s="392">
        <f>+Общо!BV29</f>
        <v>0</v>
      </c>
      <c r="CM29" s="392">
        <f>+Общо!BW29</f>
        <v>0</v>
      </c>
      <c r="CN29" s="392">
        <f>+Общо!BX29</f>
        <v>0</v>
      </c>
      <c r="CO29" s="392">
        <f>+Общо!BY29</f>
        <v>0</v>
      </c>
      <c r="CP29" s="392">
        <f>+Общо!BZ29</f>
        <v>0</v>
      </c>
      <c r="CQ29" s="392">
        <f>+Общо!CA29</f>
        <v>0</v>
      </c>
      <c r="CR29" s="392">
        <f>+Общо!CB29</f>
        <v>0</v>
      </c>
      <c r="CS29" s="391">
        <f t="shared" si="46"/>
        <v>0</v>
      </c>
      <c r="CU29" s="265">
        <f t="shared" si="41"/>
        <v>45652</v>
      </c>
      <c r="CV29" s="393">
        <f>+Общо!CF29</f>
        <v>0</v>
      </c>
      <c r="CW29" s="393">
        <f>+Общо!CG29</f>
        <v>0</v>
      </c>
      <c r="CX29" s="393">
        <f>+Общо!CH29</f>
        <v>0</v>
      </c>
      <c r="CY29" s="393">
        <f>+Общо!CI29</f>
        <v>0</v>
      </c>
      <c r="CZ29" s="393">
        <f>+Общо!CJ29</f>
        <v>0</v>
      </c>
      <c r="DA29" s="393">
        <f>+Общо!CK29</f>
        <v>0</v>
      </c>
      <c r="DB29" s="393">
        <f>+Общо!CL29</f>
        <v>0</v>
      </c>
      <c r="DC29" s="393">
        <f>+Общо!CM29</f>
        <v>0</v>
      </c>
      <c r="DD29" s="394">
        <f t="shared" si="49"/>
        <v>0</v>
      </c>
    </row>
    <row r="30" spans="2:110" x14ac:dyDescent="0.25">
      <c r="B30" s="47">
        <f t="shared" si="34"/>
        <v>45653</v>
      </c>
      <c r="C30" s="365">
        <f>+Общо!C30+Общо!D30+Общо!E30+Общо!F30+Общо!L30+Общо!Y30+Общо!G30+Общо!S30</f>
        <v>0</v>
      </c>
      <c r="D30" s="366">
        <f>+(Общо!C30+Общо!D30+Общо!E30+Общо!F30+Общо!G30+Общо!L30)*Цени!$T$42+Общо!Y30*Цени!$T$42+Общо!S30*Цени!$T$44</f>
        <v>0</v>
      </c>
      <c r="E30" s="366">
        <f>+Перник!T41</f>
        <v>0</v>
      </c>
      <c r="F30" s="367">
        <f>+Общо!H30+Общо!I30+Общо!J30+Общо!K30+Общо!M30+Общо!N30+Общо!O30+Общо!P30+Общо!Q30+Общо!R30+Общо!T30+Общо!U30+Общо!V30+Общо!W30</f>
        <v>0</v>
      </c>
      <c r="G30" s="368">
        <f>+Общо!H30*Цени!$T$46+Общо!I30*Цени!$T$45+Общо!J30*Цени!$T$46+Общо!K30*Цени!$T$46+Общо!M30*Цени!$T$46+Общо!N30*Цени!$T$46+Общо!O30*Цени!$T$46+Общо!P30*Цени!$T$46+Общо!Q30*Цени!$T$46+Общо!R30*Цени!$T$47+Общо!T30*Цени!$T$45+Общо!V30*'PPC Гърция'!E30+Общо!U30*HERON!E30+'МЕТ ВИТОЛ ДХТ'!F30+'МЕТ ВИТОЛ ДХТ'!L30+'МЕТ ВИТОЛ ДХТ'!R30+'МЕТ ВИТОЛ ДХТ'!X30+'МЕТ ВИТОЛ ДХТ'!AD30+'МЕТ ВИТОЛ ДХТ'!AJ30+'МЕТ ВИТОЛ ДХТ'!AP30+'МЕТ ВИТОЛ ДХТ'!AV30</f>
        <v>0</v>
      </c>
      <c r="H30" s="368">
        <f>+'Борса и балансиране'!F30</f>
        <v>0</v>
      </c>
      <c r="I30" s="368">
        <f>+'Борса и балансиране'!H30</f>
        <v>0</v>
      </c>
      <c r="J30" s="368">
        <f>+'Борса и балансиране'!J30</f>
        <v>0</v>
      </c>
      <c r="K30" s="368">
        <f>+'Борса и балансиране'!N30</f>
        <v>0</v>
      </c>
      <c r="L30" s="368">
        <f>+Цени!Y29</f>
        <v>0</v>
      </c>
      <c r="M30" s="368">
        <f>+Цени!AA29</f>
        <v>0</v>
      </c>
      <c r="N30" s="369">
        <f t="shared" si="14"/>
        <v>0</v>
      </c>
      <c r="O30" s="370">
        <f t="shared" si="15"/>
        <v>0</v>
      </c>
      <c r="Q30" s="47">
        <f t="shared" si="35"/>
        <v>45653</v>
      </c>
      <c r="R30" s="368">
        <f>+Цени!R29</f>
        <v>0</v>
      </c>
      <c r="S30" s="368">
        <f>+R30*Цени!$R$36</f>
        <v>0</v>
      </c>
      <c r="T30" s="368">
        <f>+Цени!D29</f>
        <v>0</v>
      </c>
      <c r="U30" s="368">
        <f>+Цени!D29*Цени!$D$36</f>
        <v>0</v>
      </c>
      <c r="V30" s="368">
        <f>+Цени!Q29</f>
        <v>0</v>
      </c>
      <c r="W30" s="368">
        <f>+V30*Цени!$Q$36</f>
        <v>0</v>
      </c>
      <c r="X30" s="368">
        <f>+Цени!C29</f>
        <v>0</v>
      </c>
      <c r="Y30" s="368">
        <f>+Цени!C29*Цени!$C$36</f>
        <v>0</v>
      </c>
      <c r="Z30" s="368">
        <f>+Цени!L29+Цени!M29+Цени!N29+Цени!O29+Цени!P29</f>
        <v>0</v>
      </c>
      <c r="AA30" s="368">
        <f>+Цени!L29*Цени!$L$36+Цени!M29*Цени!$M$36+Цени!N29*Цени!$N$36+Цени!O29*Цени!$O$36+Цени!P29*Цени!$P$36</f>
        <v>0</v>
      </c>
      <c r="AB30" s="368">
        <f>+Цени!S29</f>
        <v>0</v>
      </c>
      <c r="AC30" s="368">
        <f>+AB30*Цени!$S$36</f>
        <v>0</v>
      </c>
      <c r="AD30" s="368">
        <f>+'Борса и балансиране'!C30</f>
        <v>0</v>
      </c>
      <c r="AE30" s="368">
        <f>+'Борса и балансиране'!E30</f>
        <v>0</v>
      </c>
      <c r="AF30" s="368">
        <f>+'Борса и балансиране'!K30*-1</f>
        <v>0</v>
      </c>
      <c r="AG30" s="368">
        <f>+'Борса и балансиране'!O30*-1</f>
        <v>0</v>
      </c>
      <c r="AH30" s="368">
        <f t="shared" si="16"/>
        <v>0</v>
      </c>
      <c r="AI30" s="371">
        <f t="shared" si="17"/>
        <v>0</v>
      </c>
      <c r="AJ30" s="372"/>
      <c r="AK30" s="314">
        <f t="shared" si="36"/>
        <v>45653</v>
      </c>
      <c r="AL30" s="373">
        <f t="shared" ref="AL30:AL32" si="65">+AI30</f>
        <v>0</v>
      </c>
      <c r="AM30" s="373">
        <f t="shared" si="2"/>
        <v>0</v>
      </c>
      <c r="AN30" s="374">
        <f t="shared" ref="AN30:AN32" si="66">+AM30-AL30</f>
        <v>0</v>
      </c>
      <c r="AO30" s="370">
        <v>0</v>
      </c>
      <c r="AP30" s="370">
        <v>0</v>
      </c>
      <c r="AQ30" s="371">
        <f>+Общо!AN30</f>
        <v>0</v>
      </c>
      <c r="AR30" s="375">
        <f>+(Цени!$D$36-Цени!$Z$1)*Цени!D29</f>
        <v>0</v>
      </c>
      <c r="AS30" s="376">
        <f t="shared" ref="AS30:AS32" si="67">+AN30+AR30+AO30-AQ30-AP30</f>
        <v>0</v>
      </c>
      <c r="AU30" s="314">
        <f t="shared" si="37"/>
        <v>45653</v>
      </c>
      <c r="AV30" s="378">
        <f t="shared" si="50"/>
        <v>0</v>
      </c>
      <c r="AW30" s="378">
        <f t="shared" si="51"/>
        <v>0</v>
      </c>
      <c r="AX30" s="378">
        <f t="shared" si="52"/>
        <v>0</v>
      </c>
      <c r="AY30" s="378">
        <f t="shared" si="53"/>
        <v>0</v>
      </c>
      <c r="AZ30" s="379">
        <f t="shared" si="54"/>
        <v>0</v>
      </c>
      <c r="BB30" s="380">
        <f t="shared" si="55"/>
        <v>0</v>
      </c>
      <c r="BC30" s="381">
        <f t="shared" si="56"/>
        <v>0</v>
      </c>
      <c r="BD30" s="381">
        <f t="shared" si="57"/>
        <v>0</v>
      </c>
      <c r="BE30" s="381">
        <f t="shared" si="58"/>
        <v>0</v>
      </c>
      <c r="BF30" s="381">
        <f t="shared" si="59"/>
        <v>0</v>
      </c>
      <c r="BG30" s="378">
        <f t="shared" si="60"/>
        <v>0</v>
      </c>
      <c r="BH30" s="378">
        <f>+'Борса и балансиране'!M30</f>
        <v>0</v>
      </c>
      <c r="BI30" s="379">
        <f t="shared" si="26"/>
        <v>0</v>
      </c>
      <c r="BK30" s="382">
        <f>+Общо!AT30</f>
        <v>75.89</v>
      </c>
      <c r="BL30" s="383">
        <f t="shared" si="61"/>
        <v>0</v>
      </c>
      <c r="BM30" s="384">
        <f>+Общо!AV30</f>
        <v>0</v>
      </c>
      <c r="BN30" s="385">
        <f t="shared" ref="BN30:BN32" si="68">+BL30-BM30</f>
        <v>0</v>
      </c>
      <c r="BP30" s="382">
        <f t="shared" si="62"/>
        <v>0</v>
      </c>
      <c r="BQ30" s="386">
        <f t="shared" si="63"/>
        <v>0</v>
      </c>
      <c r="BR30" s="385">
        <f t="shared" ref="BR30:BR32" si="69">+BQ30-BP30</f>
        <v>0</v>
      </c>
      <c r="BT30" s="314">
        <f t="shared" si="38"/>
        <v>45653</v>
      </c>
      <c r="BU30" s="388">
        <f>+Общо!BE30</f>
        <v>0</v>
      </c>
      <c r="BV30" s="383">
        <f>+Общо!BF30</f>
        <v>0</v>
      </c>
      <c r="BW30" s="389">
        <f>+Общо!BG30</f>
        <v>0</v>
      </c>
      <c r="BY30" s="265">
        <f t="shared" si="39"/>
        <v>45653</v>
      </c>
      <c r="BZ30" s="390">
        <f>+Общо!BJ30</f>
        <v>0</v>
      </c>
      <c r="CA30" s="390">
        <f>+Общо!BK30</f>
        <v>0</v>
      </c>
      <c r="CB30" s="390">
        <f>+Общо!BL30</f>
        <v>0</v>
      </c>
      <c r="CC30" s="390">
        <f>+Общо!BM30</f>
        <v>0</v>
      </c>
      <c r="CD30" s="390">
        <f>+Общо!BN30</f>
        <v>0</v>
      </c>
      <c r="CE30" s="390">
        <f>+Общо!BO30</f>
        <v>0</v>
      </c>
      <c r="CF30" s="390">
        <f>+Общо!BP30</f>
        <v>0</v>
      </c>
      <c r="CG30" s="390">
        <f>+Общо!BQ30</f>
        <v>0</v>
      </c>
      <c r="CH30" s="391">
        <f t="shared" si="64"/>
        <v>0</v>
      </c>
      <c r="CJ30" s="265">
        <f t="shared" si="40"/>
        <v>45653</v>
      </c>
      <c r="CK30" s="392">
        <f>+Общо!BU30</f>
        <v>0</v>
      </c>
      <c r="CL30" s="392">
        <f>+Общо!BV30</f>
        <v>0</v>
      </c>
      <c r="CM30" s="392">
        <f>+Общо!BW30</f>
        <v>0</v>
      </c>
      <c r="CN30" s="392">
        <f>+Общо!BX30</f>
        <v>0</v>
      </c>
      <c r="CO30" s="392">
        <f>+Общо!BY30</f>
        <v>0</v>
      </c>
      <c r="CP30" s="392">
        <f>+Общо!BZ30</f>
        <v>0</v>
      </c>
      <c r="CQ30" s="392">
        <f>+Общо!CA30</f>
        <v>0</v>
      </c>
      <c r="CR30" s="392">
        <f>+Общо!CB30</f>
        <v>0</v>
      </c>
      <c r="CS30" s="391">
        <f t="shared" ref="CS30:CS32" si="70">SUM(CK30:CR30)</f>
        <v>0</v>
      </c>
      <c r="CU30" s="265">
        <f t="shared" si="41"/>
        <v>45653</v>
      </c>
      <c r="CV30" s="393">
        <f>+Общо!CF30</f>
        <v>0</v>
      </c>
      <c r="CW30" s="393">
        <f>+Общо!CG30</f>
        <v>0</v>
      </c>
      <c r="CX30" s="393">
        <f>+Общо!CH30</f>
        <v>0</v>
      </c>
      <c r="CY30" s="393">
        <f>+Общо!CI30</f>
        <v>0</v>
      </c>
      <c r="CZ30" s="393">
        <f>+Общо!CJ30</f>
        <v>0</v>
      </c>
      <c r="DA30" s="393">
        <f>+Общо!CK30</f>
        <v>0</v>
      </c>
      <c r="DB30" s="393">
        <f>+Общо!CL30</f>
        <v>0</v>
      </c>
      <c r="DC30" s="393">
        <f>+Общо!CM30</f>
        <v>0</v>
      </c>
      <c r="DD30" s="394">
        <f t="shared" si="49"/>
        <v>0</v>
      </c>
    </row>
    <row r="31" spans="2:110" x14ac:dyDescent="0.25">
      <c r="B31" s="47">
        <f t="shared" si="34"/>
        <v>45654</v>
      </c>
      <c r="C31" s="365">
        <f>+Общо!C31+Общо!D31+Общо!E31+Общо!F31+Общо!L31+Общо!Y31+Общо!G31+Общо!S31</f>
        <v>0</v>
      </c>
      <c r="D31" s="366">
        <f>+(Общо!C31+Общо!D31+Общо!E31+Общо!F31+Общо!G31+Общо!L31)*Цени!$T$42+Общо!Y31*Цени!$T$42+Общо!S31*Цени!$T$44</f>
        <v>0</v>
      </c>
      <c r="E31" s="366">
        <f>+Перник!T42</f>
        <v>0</v>
      </c>
      <c r="F31" s="367">
        <f>+Общо!H31+Общо!I31+Общо!J31+Общо!K31+Общо!M31+Общо!N31+Общо!O31+Общо!P31+Общо!Q31+Общо!R31+Общо!T31+Общо!U31+Общо!V31+Общо!W31</f>
        <v>0</v>
      </c>
      <c r="G31" s="368">
        <f>+Общо!H31*Цени!$T$46+Общо!I31*Цени!$T$45+Общо!J31*Цени!$T$46+Общо!K31*Цени!$T$46+Общо!M31*Цени!$T$46+Общо!N31*Цени!$T$46+Общо!O31*Цени!$T$46+Общо!P31*Цени!$T$46+Общо!Q31*Цени!$T$46+Общо!R31*Цени!$T$47+Общо!T31*Цени!$T$45+Общо!V31*'PPC Гърция'!E31+Общо!U31*HERON!E31+'МЕТ ВИТОЛ ДХТ'!F31+'МЕТ ВИТОЛ ДХТ'!L31+'МЕТ ВИТОЛ ДХТ'!R31+'МЕТ ВИТОЛ ДХТ'!X31+'МЕТ ВИТОЛ ДХТ'!AD31+'МЕТ ВИТОЛ ДХТ'!AJ31+'МЕТ ВИТОЛ ДХТ'!AP31+'МЕТ ВИТОЛ ДХТ'!AV31</f>
        <v>0</v>
      </c>
      <c r="H31" s="368">
        <f>+'Борса и балансиране'!F31</f>
        <v>0</v>
      </c>
      <c r="I31" s="368">
        <f>+'Борса и балансиране'!H31</f>
        <v>0</v>
      </c>
      <c r="J31" s="368">
        <f>+'Борса и балансиране'!J31</f>
        <v>0</v>
      </c>
      <c r="K31" s="368">
        <f>+'Борса и балансиране'!N31</f>
        <v>0</v>
      </c>
      <c r="L31" s="368">
        <f>+Цени!Y30</f>
        <v>0</v>
      </c>
      <c r="M31" s="368">
        <f>+Цени!AA30</f>
        <v>0</v>
      </c>
      <c r="N31" s="369">
        <f t="shared" si="14"/>
        <v>0</v>
      </c>
      <c r="O31" s="370">
        <f t="shared" si="15"/>
        <v>0</v>
      </c>
      <c r="Q31" s="47">
        <f t="shared" si="35"/>
        <v>45654</v>
      </c>
      <c r="R31" s="368">
        <f>+Цени!R30</f>
        <v>0</v>
      </c>
      <c r="S31" s="368">
        <f>+R31*Цени!$R$36</f>
        <v>0</v>
      </c>
      <c r="T31" s="368">
        <f>+Цени!D30</f>
        <v>0</v>
      </c>
      <c r="U31" s="368">
        <f>+Цени!D30*Цени!$D$36</f>
        <v>0</v>
      </c>
      <c r="V31" s="368">
        <f>+Цени!Q30</f>
        <v>0</v>
      </c>
      <c r="W31" s="368">
        <f>+V31*Цени!$Q$36</f>
        <v>0</v>
      </c>
      <c r="X31" s="368">
        <f>+Цени!C30</f>
        <v>0</v>
      </c>
      <c r="Y31" s="368">
        <f>+Цени!C30*Цени!$C$36</f>
        <v>0</v>
      </c>
      <c r="Z31" s="368">
        <f>+Цени!L30+Цени!M30+Цени!N30+Цени!O30+Цени!P30</f>
        <v>0</v>
      </c>
      <c r="AA31" s="368">
        <f>+Цени!L30*Цени!$L$36+Цени!M30*Цени!$M$36+Цени!N30*Цени!$N$36+Цени!O30*Цени!$O$36+Цени!P30*Цени!$P$36</f>
        <v>0</v>
      </c>
      <c r="AB31" s="368">
        <f>+Цени!S30</f>
        <v>0</v>
      </c>
      <c r="AC31" s="368">
        <f>+AB31*Цени!$S$36</f>
        <v>0</v>
      </c>
      <c r="AD31" s="368">
        <f>+'Борса и балансиране'!C31</f>
        <v>0</v>
      </c>
      <c r="AE31" s="368">
        <f>+'Борса и балансиране'!E31</f>
        <v>0</v>
      </c>
      <c r="AF31" s="368">
        <f>+'Борса и балансиране'!K31*-1</f>
        <v>0</v>
      </c>
      <c r="AG31" s="368">
        <f>+'Борса и балансиране'!O31*-1</f>
        <v>0</v>
      </c>
      <c r="AH31" s="368">
        <f t="shared" si="16"/>
        <v>0</v>
      </c>
      <c r="AI31" s="371">
        <f t="shared" si="17"/>
        <v>0</v>
      </c>
      <c r="AJ31" s="372"/>
      <c r="AK31" s="314">
        <f t="shared" si="36"/>
        <v>45654</v>
      </c>
      <c r="AL31" s="373">
        <f t="shared" si="65"/>
        <v>0</v>
      </c>
      <c r="AM31" s="373">
        <f t="shared" si="2"/>
        <v>0</v>
      </c>
      <c r="AN31" s="374">
        <f t="shared" si="66"/>
        <v>0</v>
      </c>
      <c r="AO31" s="370">
        <v>0</v>
      </c>
      <c r="AP31" s="370">
        <v>0</v>
      </c>
      <c r="AQ31" s="371">
        <f>+Общо!AN31</f>
        <v>0</v>
      </c>
      <c r="AR31" s="375">
        <f>+(Цени!$D$36-Цени!$Z$1)*Цени!D30</f>
        <v>0</v>
      </c>
      <c r="AS31" s="376">
        <f t="shared" si="67"/>
        <v>0</v>
      </c>
      <c r="AU31" s="314">
        <f t="shared" si="37"/>
        <v>45654</v>
      </c>
      <c r="AV31" s="378">
        <f t="shared" si="50"/>
        <v>0</v>
      </c>
      <c r="AW31" s="378">
        <f t="shared" si="51"/>
        <v>0</v>
      </c>
      <c r="AX31" s="378">
        <f t="shared" si="52"/>
        <v>0</v>
      </c>
      <c r="AY31" s="378">
        <f t="shared" si="53"/>
        <v>0</v>
      </c>
      <c r="AZ31" s="379">
        <f t="shared" si="54"/>
        <v>0</v>
      </c>
      <c r="BB31" s="380">
        <f t="shared" si="55"/>
        <v>0</v>
      </c>
      <c r="BC31" s="381">
        <f t="shared" si="56"/>
        <v>0</v>
      </c>
      <c r="BD31" s="381">
        <f t="shared" si="57"/>
        <v>0</v>
      </c>
      <c r="BE31" s="381">
        <f t="shared" si="58"/>
        <v>0</v>
      </c>
      <c r="BF31" s="381">
        <f t="shared" si="59"/>
        <v>0</v>
      </c>
      <c r="BG31" s="378">
        <f t="shared" si="60"/>
        <v>0</v>
      </c>
      <c r="BH31" s="378">
        <f>+'Борса и балансиране'!M31</f>
        <v>0</v>
      </c>
      <c r="BI31" s="379">
        <f t="shared" si="26"/>
        <v>0</v>
      </c>
      <c r="BK31" s="382">
        <f>+Общо!AT31</f>
        <v>75.89</v>
      </c>
      <c r="BL31" s="383">
        <f t="shared" si="61"/>
        <v>0</v>
      </c>
      <c r="BM31" s="384">
        <f>+Общо!AV31</f>
        <v>0</v>
      </c>
      <c r="BN31" s="385">
        <f t="shared" si="68"/>
        <v>0</v>
      </c>
      <c r="BP31" s="382">
        <f t="shared" si="62"/>
        <v>0</v>
      </c>
      <c r="BQ31" s="386">
        <f t="shared" si="63"/>
        <v>0</v>
      </c>
      <c r="BR31" s="385">
        <f t="shared" si="69"/>
        <v>0</v>
      </c>
      <c r="BT31" s="314">
        <f t="shared" si="38"/>
        <v>45654</v>
      </c>
      <c r="BU31" s="388">
        <f>+Общо!BE31</f>
        <v>0</v>
      </c>
      <c r="BV31" s="383">
        <f>+Общо!BF31</f>
        <v>0</v>
      </c>
      <c r="BW31" s="389">
        <f>+Общо!BG31</f>
        <v>0</v>
      </c>
      <c r="BY31" s="265">
        <f t="shared" si="39"/>
        <v>45654</v>
      </c>
      <c r="BZ31" s="390">
        <f>+Общо!BJ31</f>
        <v>0</v>
      </c>
      <c r="CA31" s="390">
        <f>+Общо!BK31</f>
        <v>0</v>
      </c>
      <c r="CB31" s="390">
        <f>+Общо!BL31</f>
        <v>0</v>
      </c>
      <c r="CC31" s="390">
        <f>+Общо!BM31</f>
        <v>0</v>
      </c>
      <c r="CD31" s="390">
        <f>+Общо!BN31</f>
        <v>0</v>
      </c>
      <c r="CE31" s="390">
        <f>+Общо!BO31</f>
        <v>0</v>
      </c>
      <c r="CF31" s="390">
        <f>+Общо!BP31</f>
        <v>0</v>
      </c>
      <c r="CG31" s="390">
        <f>+Общо!BQ31</f>
        <v>0</v>
      </c>
      <c r="CH31" s="391">
        <f t="shared" si="64"/>
        <v>0</v>
      </c>
      <c r="CJ31" s="265">
        <f t="shared" si="40"/>
        <v>45654</v>
      </c>
      <c r="CK31" s="392">
        <f>+Общо!BU31</f>
        <v>0</v>
      </c>
      <c r="CL31" s="392">
        <f>+Общо!BV31</f>
        <v>0</v>
      </c>
      <c r="CM31" s="392">
        <f>+Общо!BW31</f>
        <v>0</v>
      </c>
      <c r="CN31" s="392">
        <f>+Общо!BX31</f>
        <v>0</v>
      </c>
      <c r="CO31" s="392">
        <f>+Общо!BY31</f>
        <v>0</v>
      </c>
      <c r="CP31" s="392">
        <f>+Общо!BZ31</f>
        <v>0</v>
      </c>
      <c r="CQ31" s="392">
        <f>+Общо!CA31</f>
        <v>0</v>
      </c>
      <c r="CR31" s="392">
        <f>+Общо!CB31</f>
        <v>0</v>
      </c>
      <c r="CS31" s="391">
        <f t="shared" si="70"/>
        <v>0</v>
      </c>
      <c r="CU31" s="265">
        <f t="shared" si="41"/>
        <v>45654</v>
      </c>
      <c r="CV31" s="393">
        <f>+Общо!CF31</f>
        <v>0</v>
      </c>
      <c r="CW31" s="393">
        <f>+Общо!CG31</f>
        <v>0</v>
      </c>
      <c r="CX31" s="393">
        <f>+Общо!CH31</f>
        <v>0</v>
      </c>
      <c r="CY31" s="393">
        <f>+Общо!CI31</f>
        <v>0</v>
      </c>
      <c r="CZ31" s="393">
        <f>+Общо!CJ31</f>
        <v>0</v>
      </c>
      <c r="DA31" s="393">
        <f>+Общо!CK31</f>
        <v>0</v>
      </c>
      <c r="DB31" s="393">
        <f>+Общо!CL31</f>
        <v>0</v>
      </c>
      <c r="DC31" s="393">
        <f>+Общо!CM31</f>
        <v>0</v>
      </c>
      <c r="DD31" s="394">
        <f t="shared" si="49"/>
        <v>0</v>
      </c>
    </row>
    <row r="32" spans="2:110" x14ac:dyDescent="0.25">
      <c r="B32" s="47">
        <f t="shared" si="34"/>
        <v>45655</v>
      </c>
      <c r="C32" s="365">
        <f>+Общо!C32+Общо!D32+Общо!E32+Общо!F32+Общо!L32+Общо!Y32+Общо!G32+Общо!S32</f>
        <v>0</v>
      </c>
      <c r="D32" s="366">
        <f>+(Общо!C32+Общо!D32+Общо!E32+Общо!F32+Общо!G32+Общо!L32)*Цени!$T$42+Общо!Y32*Цени!$T$42+Общо!S32*Цени!$T$44</f>
        <v>0</v>
      </c>
      <c r="E32" s="366">
        <f>+Перник!T43</f>
        <v>0</v>
      </c>
      <c r="F32" s="367">
        <f>+Общо!H32+Общо!I32+Общо!J32+Общо!K32+Общо!M32+Общо!N32+Общо!O32+Общо!P32+Общо!Q32+Общо!R32+Общо!T32+Общо!U32+Общо!V32+Общо!W32</f>
        <v>0</v>
      </c>
      <c r="G32" s="368">
        <f>+Общо!H32*Цени!$T$46+Общо!I32*Цени!$T$45+Общо!J32*Цени!$T$46+Общо!K32*Цени!$T$46+Общо!M32*Цени!$T$46+Общо!N32*Цени!$T$46+Общо!O32*Цени!$T$46+Общо!P32*Цени!$T$46+Общо!Q32*Цени!$T$46+Общо!R32*Цени!$T$47+Общо!T32*Цени!$T$45+Общо!V32*'PPC Гърция'!E32+Общо!U32*HERON!E32+'МЕТ ВИТОЛ ДХТ'!F32+'МЕТ ВИТОЛ ДХТ'!L32+'МЕТ ВИТОЛ ДХТ'!R32+'МЕТ ВИТОЛ ДХТ'!X32+'МЕТ ВИТОЛ ДХТ'!AD32+'МЕТ ВИТОЛ ДХТ'!AJ32+'МЕТ ВИТОЛ ДХТ'!AP32+'МЕТ ВИТОЛ ДХТ'!AV32</f>
        <v>0</v>
      </c>
      <c r="H32" s="368">
        <f>+'Борса и балансиране'!F32</f>
        <v>0</v>
      </c>
      <c r="I32" s="368">
        <f>+'Борса и балансиране'!H32</f>
        <v>0</v>
      </c>
      <c r="J32" s="368">
        <f>+'Борса и балансиране'!J32</f>
        <v>0</v>
      </c>
      <c r="K32" s="368">
        <f>+'Борса и балансиране'!N32</f>
        <v>0</v>
      </c>
      <c r="L32" s="368">
        <f>+Цени!Y31</f>
        <v>0</v>
      </c>
      <c r="M32" s="368">
        <f>+Цени!AA31</f>
        <v>0</v>
      </c>
      <c r="N32" s="369">
        <f t="shared" si="14"/>
        <v>0</v>
      </c>
      <c r="O32" s="370">
        <f t="shared" si="15"/>
        <v>0</v>
      </c>
      <c r="Q32" s="47">
        <f t="shared" si="35"/>
        <v>45655</v>
      </c>
      <c r="R32" s="368">
        <f>+Цени!R31</f>
        <v>0</v>
      </c>
      <c r="S32" s="368">
        <f>+R32*Цени!$R$36</f>
        <v>0</v>
      </c>
      <c r="T32" s="368">
        <f>+Цени!D31</f>
        <v>0</v>
      </c>
      <c r="U32" s="368">
        <f>+Цени!D31*Цени!$D$36</f>
        <v>0</v>
      </c>
      <c r="V32" s="368">
        <f>+Цени!Q31</f>
        <v>0</v>
      </c>
      <c r="W32" s="368">
        <f>+V32*Цени!$Q$36</f>
        <v>0</v>
      </c>
      <c r="X32" s="368">
        <f>+Цени!C31</f>
        <v>0</v>
      </c>
      <c r="Y32" s="368">
        <f>+Цени!C31*Цени!$C$36</f>
        <v>0</v>
      </c>
      <c r="Z32" s="368">
        <f>+Цени!L31+Цени!M31+Цени!N31+Цени!O31+Цени!P31</f>
        <v>0</v>
      </c>
      <c r="AA32" s="368">
        <f>+Цени!L31*Цени!$L$36+Цени!M31*Цени!$M$36+Цени!N31*Цени!$N$36+Цени!O31*Цени!$O$36+Цени!P31*Цени!$P$36</f>
        <v>0</v>
      </c>
      <c r="AB32" s="368">
        <f>+Цени!S31</f>
        <v>0</v>
      </c>
      <c r="AC32" s="368">
        <f>+AB32*Цени!$S$36</f>
        <v>0</v>
      </c>
      <c r="AD32" s="368">
        <f>+'Борса и балансиране'!C32</f>
        <v>0</v>
      </c>
      <c r="AE32" s="368">
        <f>+'Борса и балансиране'!E32</f>
        <v>0</v>
      </c>
      <c r="AF32" s="368">
        <f>+'Борса и балансиране'!K32*-1</f>
        <v>0</v>
      </c>
      <c r="AG32" s="368">
        <f>+'Борса и балансиране'!O32*-1</f>
        <v>0</v>
      </c>
      <c r="AH32" s="368">
        <f t="shared" ref="AH32:AH34" si="71">+R32+AD32+AF32+X32+Z32+T32+V32+AB32</f>
        <v>0</v>
      </c>
      <c r="AI32" s="371">
        <f t="shared" ref="AI32:AI34" si="72">+S32+Y32+AE32+AG32+AA32+U32+W32+AC32</f>
        <v>0</v>
      </c>
      <c r="AJ32" s="372"/>
      <c r="AK32" s="314">
        <f t="shared" si="36"/>
        <v>45655</v>
      </c>
      <c r="AL32" s="373">
        <f t="shared" si="65"/>
        <v>0</v>
      </c>
      <c r="AM32" s="373">
        <f t="shared" si="2"/>
        <v>0</v>
      </c>
      <c r="AN32" s="374">
        <f t="shared" si="66"/>
        <v>0</v>
      </c>
      <c r="AO32" s="370">
        <v>0</v>
      </c>
      <c r="AP32" s="370">
        <v>0</v>
      </c>
      <c r="AQ32" s="371">
        <f>+Общо!AN32</f>
        <v>0</v>
      </c>
      <c r="AR32" s="375">
        <f>+(Цени!$D$36-Цени!$Z$1)*Цени!D31</f>
        <v>0</v>
      </c>
      <c r="AS32" s="376">
        <f t="shared" si="67"/>
        <v>0</v>
      </c>
      <c r="AU32" s="314">
        <f t="shared" si="37"/>
        <v>45655</v>
      </c>
      <c r="AV32" s="378">
        <f t="shared" si="50"/>
        <v>0</v>
      </c>
      <c r="AW32" s="378">
        <f t="shared" si="51"/>
        <v>0</v>
      </c>
      <c r="AX32" s="378">
        <f t="shared" si="52"/>
        <v>0</v>
      </c>
      <c r="AY32" s="378">
        <f t="shared" si="53"/>
        <v>0</v>
      </c>
      <c r="AZ32" s="379">
        <f t="shared" si="54"/>
        <v>0</v>
      </c>
      <c r="BB32" s="380">
        <f t="shared" si="55"/>
        <v>0</v>
      </c>
      <c r="BC32" s="381">
        <f t="shared" si="56"/>
        <v>0</v>
      </c>
      <c r="BD32" s="381">
        <f t="shared" si="57"/>
        <v>0</v>
      </c>
      <c r="BE32" s="381">
        <f t="shared" si="58"/>
        <v>0</v>
      </c>
      <c r="BF32" s="381">
        <f t="shared" si="59"/>
        <v>0</v>
      </c>
      <c r="BG32" s="378">
        <f t="shared" si="60"/>
        <v>0</v>
      </c>
      <c r="BH32" s="378">
        <f>+'Борса и балансиране'!M32</f>
        <v>0</v>
      </c>
      <c r="BI32" s="379">
        <f t="shared" si="26"/>
        <v>0</v>
      </c>
      <c r="BK32" s="382">
        <f>+Общо!AT32</f>
        <v>75.89</v>
      </c>
      <c r="BL32" s="383">
        <f t="shared" si="61"/>
        <v>0</v>
      </c>
      <c r="BM32" s="384">
        <f>+Общо!AV32</f>
        <v>0</v>
      </c>
      <c r="BN32" s="385">
        <f t="shared" si="68"/>
        <v>0</v>
      </c>
      <c r="BP32" s="382">
        <f t="shared" si="62"/>
        <v>0</v>
      </c>
      <c r="BQ32" s="386">
        <f t="shared" si="63"/>
        <v>0</v>
      </c>
      <c r="BR32" s="385">
        <f t="shared" si="69"/>
        <v>0</v>
      </c>
      <c r="BT32" s="314">
        <f t="shared" si="38"/>
        <v>45655</v>
      </c>
      <c r="BU32" s="388">
        <f>+Общо!BE32</f>
        <v>0</v>
      </c>
      <c r="BV32" s="383">
        <f>+Общо!BF32</f>
        <v>0</v>
      </c>
      <c r="BW32" s="389">
        <f>+Общо!BG32</f>
        <v>0</v>
      </c>
      <c r="BY32" s="265">
        <f t="shared" si="39"/>
        <v>45655</v>
      </c>
      <c r="BZ32" s="390">
        <f>+Общо!BJ32</f>
        <v>0</v>
      </c>
      <c r="CA32" s="390">
        <f>+Общо!BK32</f>
        <v>0</v>
      </c>
      <c r="CB32" s="390">
        <f>+Общо!BL32</f>
        <v>0</v>
      </c>
      <c r="CC32" s="390">
        <f>+Общо!BM32</f>
        <v>0</v>
      </c>
      <c r="CD32" s="390">
        <f>+Общо!BN32</f>
        <v>0</v>
      </c>
      <c r="CE32" s="390">
        <f>+Общо!BO32</f>
        <v>0</v>
      </c>
      <c r="CF32" s="390">
        <f>+Общо!BP32</f>
        <v>0</v>
      </c>
      <c r="CG32" s="390">
        <f>+Общо!BQ32</f>
        <v>0</v>
      </c>
      <c r="CH32" s="391">
        <f t="shared" si="64"/>
        <v>0</v>
      </c>
      <c r="CJ32" s="265">
        <f t="shared" si="40"/>
        <v>45655</v>
      </c>
      <c r="CK32" s="392">
        <f>+Общо!BU32</f>
        <v>0</v>
      </c>
      <c r="CL32" s="392">
        <f>+Общо!BV32</f>
        <v>0</v>
      </c>
      <c r="CM32" s="392">
        <f>+Общо!BW32</f>
        <v>0</v>
      </c>
      <c r="CN32" s="392">
        <f>+Общо!BX32</f>
        <v>0</v>
      </c>
      <c r="CO32" s="392">
        <f>+Общо!BY32</f>
        <v>0</v>
      </c>
      <c r="CP32" s="392">
        <f>+Общо!BZ32</f>
        <v>0</v>
      </c>
      <c r="CQ32" s="392">
        <f>+Общо!CA32</f>
        <v>0</v>
      </c>
      <c r="CR32" s="392">
        <f>+Общо!CB32</f>
        <v>0</v>
      </c>
      <c r="CS32" s="391">
        <f t="shared" si="70"/>
        <v>0</v>
      </c>
      <c r="CU32" s="265">
        <f t="shared" si="41"/>
        <v>45655</v>
      </c>
      <c r="CV32" s="393">
        <f>+Общо!CF32</f>
        <v>0</v>
      </c>
      <c r="CW32" s="393">
        <f>+Общо!CG32</f>
        <v>0</v>
      </c>
      <c r="CX32" s="393">
        <f>+Общо!CH32</f>
        <v>0</v>
      </c>
      <c r="CY32" s="393">
        <f>+Общо!CI32</f>
        <v>0</v>
      </c>
      <c r="CZ32" s="393">
        <f>+Общо!CJ32</f>
        <v>0</v>
      </c>
      <c r="DA32" s="393">
        <f>+Общо!CK32</f>
        <v>0</v>
      </c>
      <c r="DB32" s="393">
        <f>+Общо!CL32</f>
        <v>0</v>
      </c>
      <c r="DC32" s="393">
        <f>+Общо!CM32</f>
        <v>0</v>
      </c>
      <c r="DD32" s="394">
        <f t="shared" si="49"/>
        <v>0</v>
      </c>
    </row>
    <row r="33" spans="2:108" x14ac:dyDescent="0.25">
      <c r="B33" s="47">
        <f t="shared" si="34"/>
        <v>45656</v>
      </c>
      <c r="C33" s="365">
        <f>+Общо!C33+Общо!D33+Общо!E33+Общо!F33+Общо!L33+Общо!Y33+Общо!G33+Общо!S33</f>
        <v>0</v>
      </c>
      <c r="D33" s="366">
        <f>+(Общо!C33+Общо!D33+Общо!E33+Общо!F33+Общо!G33+Общо!L33)*Цени!$T$42+Общо!Y33*Цени!$T$42+Общо!S33*Цени!$T$44</f>
        <v>0</v>
      </c>
      <c r="E33" s="366">
        <f>+Перник!T44</f>
        <v>0</v>
      </c>
      <c r="F33" s="367">
        <f>+Общо!H33+Общо!I33+Общо!J33+Общо!K33+Общо!M33+Общо!N33+Общо!O33+Общо!P33+Общо!Q33+Общо!R33+Общо!T33+Общо!U33+Общо!V33+Общо!W33</f>
        <v>0</v>
      </c>
      <c r="G33" s="368">
        <f>+Общо!H33*Цени!$T$46+Общо!I33*Цени!$T$45+Общо!J33*Цени!$T$46+Общо!K33*Цени!$T$46+Общо!M33*Цени!$T$46+Общо!N33*Цени!$T$46+Общо!O33*Цени!$T$46+Общо!P33*Цени!$T$46+Общо!Q33*Цени!$T$46+Общо!R33*Цени!$T$47+Общо!T33*Цени!$T$45+Общо!V33*'PPC Гърция'!E33+Общо!U33*HERON!E33+'МЕТ ВИТОЛ ДХТ'!F33+'МЕТ ВИТОЛ ДХТ'!L33+'МЕТ ВИТОЛ ДХТ'!R33+'МЕТ ВИТОЛ ДХТ'!X33+'МЕТ ВИТОЛ ДХТ'!AD33+'МЕТ ВИТОЛ ДХТ'!AJ33+'МЕТ ВИТОЛ ДХТ'!AP33+'МЕТ ВИТОЛ ДХТ'!AV33</f>
        <v>0</v>
      </c>
      <c r="H33" s="368">
        <f>+'Борса и балансиране'!F33</f>
        <v>0</v>
      </c>
      <c r="I33" s="368">
        <f>+'Борса и балансиране'!H33</f>
        <v>0</v>
      </c>
      <c r="J33" s="368">
        <f>+'Борса и балансиране'!J33</f>
        <v>0</v>
      </c>
      <c r="K33" s="368">
        <f>+'Борса и балансиране'!N33</f>
        <v>0</v>
      </c>
      <c r="L33" s="368">
        <f>+Цени!Y32</f>
        <v>0</v>
      </c>
      <c r="M33" s="368">
        <f>+Цени!AA32</f>
        <v>0</v>
      </c>
      <c r="N33" s="369">
        <f t="shared" si="14"/>
        <v>0</v>
      </c>
      <c r="O33" s="370">
        <f t="shared" si="15"/>
        <v>0</v>
      </c>
      <c r="Q33" s="47">
        <f t="shared" si="35"/>
        <v>45656</v>
      </c>
      <c r="R33" s="368">
        <f>+Цени!R32</f>
        <v>0</v>
      </c>
      <c r="S33" s="368">
        <f>+R33*Цени!$R$36</f>
        <v>0</v>
      </c>
      <c r="T33" s="368">
        <f>+Цени!D32</f>
        <v>0</v>
      </c>
      <c r="U33" s="368">
        <f>+Цени!D32*Цени!$D$36</f>
        <v>0</v>
      </c>
      <c r="V33" s="368">
        <f>+Цени!Q32</f>
        <v>0</v>
      </c>
      <c r="W33" s="368">
        <f>+V33*Цени!$Q$36</f>
        <v>0</v>
      </c>
      <c r="X33" s="368">
        <f>+Цени!C32</f>
        <v>0</v>
      </c>
      <c r="Y33" s="368">
        <f>+Цени!C32*Цени!$C$36</f>
        <v>0</v>
      </c>
      <c r="Z33" s="368">
        <f>+Цени!L32+Цени!M32+Цени!N32+Цени!O32+Цени!P32</f>
        <v>0</v>
      </c>
      <c r="AA33" s="368">
        <f>+Цени!L32*Цени!$L$36+Цени!M32*Цени!$M$36+Цени!N32*Цени!$N$36+Цени!O32*Цени!$O$36+Цени!P32*Цени!$P$36</f>
        <v>0</v>
      </c>
      <c r="AB33" s="368">
        <f>+Цени!S32</f>
        <v>0</v>
      </c>
      <c r="AC33" s="368">
        <f>+AB33*Цени!$S$36</f>
        <v>0</v>
      </c>
      <c r="AD33" s="368">
        <f>+'Борса и балансиране'!C33</f>
        <v>0</v>
      </c>
      <c r="AE33" s="368">
        <f>+'Борса и балансиране'!E33</f>
        <v>0</v>
      </c>
      <c r="AF33" s="368">
        <f>+'Борса и балансиране'!K33*-1</f>
        <v>0</v>
      </c>
      <c r="AG33" s="368">
        <f>+'Борса и балансиране'!O33*-1</f>
        <v>0</v>
      </c>
      <c r="AH33" s="368">
        <f t="shared" si="71"/>
        <v>0</v>
      </c>
      <c r="AI33" s="371">
        <f t="shared" si="72"/>
        <v>0</v>
      </c>
      <c r="AJ33" s="372"/>
      <c r="AK33" s="314">
        <f t="shared" si="36"/>
        <v>45656</v>
      </c>
      <c r="AL33" s="373">
        <f t="shared" ref="AL33:AL34" si="73">+AI33</f>
        <v>0</v>
      </c>
      <c r="AM33" s="373">
        <f t="shared" ref="AM33:AM34" si="74">+O33</f>
        <v>0</v>
      </c>
      <c r="AN33" s="374">
        <f t="shared" ref="AN33:AN34" si="75">+AM33-AL33</f>
        <v>0</v>
      </c>
      <c r="AO33" s="370">
        <v>0</v>
      </c>
      <c r="AP33" s="370">
        <v>0</v>
      </c>
      <c r="AQ33" s="371">
        <f>+Общо!AN33</f>
        <v>0</v>
      </c>
      <c r="AR33" s="375">
        <f>+(Цени!$D$36-Цени!$Z$1)*Цени!D32</f>
        <v>0</v>
      </c>
      <c r="AS33" s="376">
        <f t="shared" ref="AS33:AS34" si="76">+AN33+AR33+AO33-AQ33-AP33</f>
        <v>0</v>
      </c>
      <c r="AU33" s="314">
        <f t="shared" si="37"/>
        <v>45656</v>
      </c>
      <c r="AV33" s="378">
        <f t="shared" si="50"/>
        <v>0</v>
      </c>
      <c r="AW33" s="378">
        <f t="shared" si="51"/>
        <v>0</v>
      </c>
      <c r="AX33" s="378">
        <f t="shared" si="52"/>
        <v>0</v>
      </c>
      <c r="AY33" s="378">
        <f t="shared" si="53"/>
        <v>0</v>
      </c>
      <c r="AZ33" s="379">
        <f t="shared" si="54"/>
        <v>0</v>
      </c>
      <c r="BB33" s="380">
        <f t="shared" si="55"/>
        <v>0</v>
      </c>
      <c r="BC33" s="381">
        <f t="shared" si="56"/>
        <v>0</v>
      </c>
      <c r="BD33" s="381">
        <f t="shared" si="57"/>
        <v>0</v>
      </c>
      <c r="BE33" s="381">
        <f t="shared" si="58"/>
        <v>0</v>
      </c>
      <c r="BF33" s="381">
        <f t="shared" si="59"/>
        <v>0</v>
      </c>
      <c r="BG33" s="378">
        <f t="shared" si="60"/>
        <v>0</v>
      </c>
      <c r="BH33" s="378">
        <f>+'Борса и балансиране'!M33</f>
        <v>0</v>
      </c>
      <c r="BI33" s="379">
        <f t="shared" ref="BI33:BI34" si="77">+IFERROR(S33/R33,0)</f>
        <v>0</v>
      </c>
      <c r="BK33" s="382">
        <f>+Общо!AT33</f>
        <v>75.89</v>
      </c>
      <c r="BL33" s="383">
        <f t="shared" si="61"/>
        <v>0</v>
      </c>
      <c r="BM33" s="384">
        <f>+Общо!AV33</f>
        <v>0</v>
      </c>
      <c r="BN33" s="385">
        <f t="shared" ref="BN33:BN34" si="78">+BL33-BM33</f>
        <v>0</v>
      </c>
      <c r="BP33" s="382">
        <f t="shared" si="62"/>
        <v>0</v>
      </c>
      <c r="BQ33" s="386">
        <f t="shared" si="63"/>
        <v>0</v>
      </c>
      <c r="BR33" s="385">
        <f t="shared" ref="BR33:BR34" si="79">+BQ33-BP33</f>
        <v>0</v>
      </c>
      <c r="BT33" s="314">
        <f t="shared" si="38"/>
        <v>45656</v>
      </c>
      <c r="BU33" s="388">
        <f>+Общо!BE33</f>
        <v>0</v>
      </c>
      <c r="BV33" s="383">
        <f>+Общо!BF33</f>
        <v>0</v>
      </c>
      <c r="BW33" s="389">
        <f>+Общо!BG33</f>
        <v>0</v>
      </c>
      <c r="BY33" s="265">
        <f t="shared" si="39"/>
        <v>45656</v>
      </c>
      <c r="BZ33" s="390">
        <f>+Общо!BJ33</f>
        <v>0</v>
      </c>
      <c r="CA33" s="390">
        <f>+Общо!BK33</f>
        <v>0</v>
      </c>
      <c r="CB33" s="390">
        <f>+Общо!BL33</f>
        <v>0</v>
      </c>
      <c r="CC33" s="390">
        <f>+Общо!BM33</f>
        <v>0</v>
      </c>
      <c r="CD33" s="390">
        <f>+Общо!BN33</f>
        <v>0</v>
      </c>
      <c r="CE33" s="390">
        <f>+Общо!BO33</f>
        <v>0</v>
      </c>
      <c r="CF33" s="390">
        <f>+Общо!BP33</f>
        <v>0</v>
      </c>
      <c r="CG33" s="390">
        <f>+Общо!BQ33</f>
        <v>0</v>
      </c>
      <c r="CH33" s="391">
        <f t="shared" si="64"/>
        <v>0</v>
      </c>
      <c r="CJ33" s="265">
        <f t="shared" si="40"/>
        <v>45656</v>
      </c>
      <c r="CK33" s="392">
        <f>+Общо!BU33</f>
        <v>0</v>
      </c>
      <c r="CL33" s="392">
        <f>+Общо!BV33</f>
        <v>0</v>
      </c>
      <c r="CM33" s="392">
        <f>+Общо!BW33</f>
        <v>0</v>
      </c>
      <c r="CN33" s="392">
        <f>+Общо!BX33</f>
        <v>0</v>
      </c>
      <c r="CO33" s="392">
        <f>+Общо!BY33</f>
        <v>0</v>
      </c>
      <c r="CP33" s="392">
        <f>+Общо!BZ33</f>
        <v>0</v>
      </c>
      <c r="CQ33" s="392">
        <f>+Общо!CA33</f>
        <v>0</v>
      </c>
      <c r="CR33" s="392">
        <f>+Общо!CB33</f>
        <v>0</v>
      </c>
      <c r="CS33" s="391">
        <f t="shared" ref="CS33:CS34" si="80">SUM(CK33:CR33)</f>
        <v>0</v>
      </c>
      <c r="CU33" s="265">
        <f t="shared" si="41"/>
        <v>45656</v>
      </c>
      <c r="CV33" s="393">
        <f>+Общо!CF33</f>
        <v>0</v>
      </c>
      <c r="CW33" s="393">
        <f>+Общо!CG33</f>
        <v>0</v>
      </c>
      <c r="CX33" s="393">
        <f>+Общо!CH33</f>
        <v>0</v>
      </c>
      <c r="CY33" s="393">
        <f>+Общо!CI33</f>
        <v>0</v>
      </c>
      <c r="CZ33" s="393">
        <f>+Общо!CJ33</f>
        <v>0</v>
      </c>
      <c r="DA33" s="393">
        <f>+Общо!CK33</f>
        <v>0</v>
      </c>
      <c r="DB33" s="393">
        <f>+Общо!CL33</f>
        <v>0</v>
      </c>
      <c r="DC33" s="393">
        <f>+Общо!CM33</f>
        <v>0</v>
      </c>
      <c r="DD33" s="394">
        <f t="shared" si="49"/>
        <v>0</v>
      </c>
    </row>
    <row r="34" spans="2:108" ht="15.75" thickBot="1" x14ac:dyDescent="0.3">
      <c r="B34" s="47">
        <f t="shared" si="34"/>
        <v>45657</v>
      </c>
      <c r="C34" s="365">
        <f>+Общо!C34+Общо!D34+Общо!E34+Общо!F34+Общо!L34+Общо!Y34+Общо!G34+Общо!S34</f>
        <v>0</v>
      </c>
      <c r="D34" s="366">
        <f>+(Общо!C34+Общо!D34+Общо!E34+Общо!F34+Общо!G34+Общо!L34)*Цени!$T$42+Общо!Y34*Цени!$T$42+Общо!S34*Цени!$T$44</f>
        <v>0</v>
      </c>
      <c r="E34" s="366">
        <f>+Перник!T45</f>
        <v>0</v>
      </c>
      <c r="F34" s="367">
        <f>+Общо!H34+Общо!I34+Общо!J34+Общо!K34+Общо!M34+Общо!N34+Общо!O34+Общо!P34+Общо!Q34+Общо!R34+Общо!T34+Общо!U34+Общо!V34+Общо!W34</f>
        <v>0</v>
      </c>
      <c r="G34" s="368">
        <f>+Общо!H34*Цени!$T$46+Общо!I34*Цени!$T$45+Общо!J34*Цени!$T$46+Общо!K34*Цени!$T$46+Общо!M34*Цени!$T$46+Общо!N34*Цени!$T$46+Общо!O34*Цени!$T$46+Общо!P34*Цени!$T$46+Общо!Q34*Цени!$T$46+Общо!R34*Цени!$T$47+Общо!T34*Цени!$T$45+Общо!V34*'PPC Гърция'!E34+Общо!U34*HERON!E34+'МЕТ ВИТОЛ ДХТ'!F34+'МЕТ ВИТОЛ ДХТ'!L34+'МЕТ ВИТОЛ ДХТ'!R34+'МЕТ ВИТОЛ ДХТ'!X34+'МЕТ ВИТОЛ ДХТ'!AD34+'МЕТ ВИТОЛ ДХТ'!AJ34+'МЕТ ВИТОЛ ДХТ'!AP34+'МЕТ ВИТОЛ ДХТ'!AV34</f>
        <v>0</v>
      </c>
      <c r="H34" s="368">
        <f>+'Борса и балансиране'!F34</f>
        <v>0</v>
      </c>
      <c r="I34" s="368">
        <f>+'Борса и балансиране'!H34</f>
        <v>0</v>
      </c>
      <c r="J34" s="368">
        <f>+'Борса и балансиране'!J34</f>
        <v>0</v>
      </c>
      <c r="K34" s="368">
        <f>+'Борса и балансиране'!N34</f>
        <v>0</v>
      </c>
      <c r="L34" s="368">
        <f>+Цени!Y33</f>
        <v>0</v>
      </c>
      <c r="M34" s="368">
        <f>+Цени!AA33</f>
        <v>0</v>
      </c>
      <c r="N34" s="369">
        <f t="shared" si="14"/>
        <v>0</v>
      </c>
      <c r="O34" s="370">
        <f t="shared" si="15"/>
        <v>0</v>
      </c>
      <c r="Q34" s="47">
        <f t="shared" si="35"/>
        <v>45657</v>
      </c>
      <c r="R34" s="368">
        <f>+Цени!R33</f>
        <v>0</v>
      </c>
      <c r="S34" s="368">
        <f>+R34*Цени!$R$36</f>
        <v>0</v>
      </c>
      <c r="T34" s="368">
        <f>+Цени!D33</f>
        <v>0</v>
      </c>
      <c r="U34" s="368">
        <f>+Цени!D33*Цени!$D$36</f>
        <v>0</v>
      </c>
      <c r="V34" s="368">
        <f>+Цени!Q33</f>
        <v>0</v>
      </c>
      <c r="W34" s="368">
        <f>+V34*Цени!$Q$36</f>
        <v>0</v>
      </c>
      <c r="X34" s="368">
        <f>+Цени!C33</f>
        <v>0</v>
      </c>
      <c r="Y34" s="368">
        <f>+Цени!C33*Цени!$C$36</f>
        <v>0</v>
      </c>
      <c r="Z34" s="368">
        <f>+Цени!L33+Цени!M33+Цени!N33+Цени!O33+Цени!P33</f>
        <v>0</v>
      </c>
      <c r="AA34" s="368">
        <f>+Цени!L33*Цени!$L$36+Цени!M33*Цени!$M$36+Цени!N33*Цени!$N$36+Цени!O33*Цени!$O$36+Цени!P33*Цени!$P$36</f>
        <v>0</v>
      </c>
      <c r="AB34" s="368">
        <f>+Цени!S33</f>
        <v>0</v>
      </c>
      <c r="AC34" s="368">
        <f>+AB34*Цени!$S$36</f>
        <v>0</v>
      </c>
      <c r="AD34" s="368">
        <f>+'Борса и балансиране'!C34</f>
        <v>0</v>
      </c>
      <c r="AE34" s="368">
        <f>+'Борса и балансиране'!E34</f>
        <v>0</v>
      </c>
      <c r="AF34" s="368">
        <f>+'Борса и балансиране'!K34*-1</f>
        <v>0</v>
      </c>
      <c r="AG34" s="368">
        <f>+'Борса и балансиране'!O34*-1</f>
        <v>0</v>
      </c>
      <c r="AH34" s="368">
        <f t="shared" si="71"/>
        <v>0</v>
      </c>
      <c r="AI34" s="371">
        <f t="shared" si="72"/>
        <v>0</v>
      </c>
      <c r="AJ34" s="372"/>
      <c r="AK34" s="314">
        <f t="shared" si="36"/>
        <v>45657</v>
      </c>
      <c r="AL34" s="373">
        <f t="shared" si="73"/>
        <v>0</v>
      </c>
      <c r="AM34" s="373">
        <f t="shared" si="74"/>
        <v>0</v>
      </c>
      <c r="AN34" s="374">
        <f t="shared" si="75"/>
        <v>0</v>
      </c>
      <c r="AO34" s="370">
        <v>0</v>
      </c>
      <c r="AP34" s="370">
        <v>0</v>
      </c>
      <c r="AQ34" s="371">
        <f>+Общо!AN34</f>
        <v>0</v>
      </c>
      <c r="AR34" s="375">
        <f>+(Цени!$D$36-Цени!$Z$1)*Цени!D33</f>
        <v>0</v>
      </c>
      <c r="AS34" s="376">
        <f t="shared" si="76"/>
        <v>0</v>
      </c>
      <c r="AU34" s="314">
        <f t="shared" si="37"/>
        <v>45657</v>
      </c>
      <c r="AV34" s="378">
        <f t="shared" si="50"/>
        <v>0</v>
      </c>
      <c r="AW34" s="378">
        <f t="shared" si="51"/>
        <v>0</v>
      </c>
      <c r="AX34" s="378">
        <f t="shared" si="52"/>
        <v>0</v>
      </c>
      <c r="AY34" s="378">
        <f t="shared" si="53"/>
        <v>0</v>
      </c>
      <c r="AZ34" s="379">
        <f t="shared" si="54"/>
        <v>0</v>
      </c>
      <c r="BB34" s="380">
        <f t="shared" si="55"/>
        <v>0</v>
      </c>
      <c r="BC34" s="381">
        <f t="shared" si="56"/>
        <v>0</v>
      </c>
      <c r="BD34" s="381">
        <f t="shared" si="57"/>
        <v>0</v>
      </c>
      <c r="BE34" s="381">
        <f t="shared" si="58"/>
        <v>0</v>
      </c>
      <c r="BF34" s="381">
        <f t="shared" si="59"/>
        <v>0</v>
      </c>
      <c r="BG34" s="378">
        <f t="shared" si="60"/>
        <v>0</v>
      </c>
      <c r="BH34" s="378">
        <f>+'Борса и балансиране'!M34</f>
        <v>0</v>
      </c>
      <c r="BI34" s="379">
        <f t="shared" si="77"/>
        <v>0</v>
      </c>
      <c r="BK34" s="382">
        <f>+Общо!AT34</f>
        <v>75.89</v>
      </c>
      <c r="BL34" s="383">
        <f t="shared" si="61"/>
        <v>0</v>
      </c>
      <c r="BM34" s="384">
        <f>+Общо!AV34</f>
        <v>0</v>
      </c>
      <c r="BN34" s="385">
        <f t="shared" si="78"/>
        <v>0</v>
      </c>
      <c r="BP34" s="382">
        <f t="shared" si="62"/>
        <v>0</v>
      </c>
      <c r="BQ34" s="386">
        <f t="shared" si="63"/>
        <v>0</v>
      </c>
      <c r="BR34" s="385">
        <f t="shared" si="79"/>
        <v>0</v>
      </c>
      <c r="BT34" s="314">
        <f t="shared" si="38"/>
        <v>45657</v>
      </c>
      <c r="BU34" s="388">
        <f>+Общо!BE34</f>
        <v>0</v>
      </c>
      <c r="BV34" s="383">
        <f>+Общо!BF34</f>
        <v>0</v>
      </c>
      <c r="BW34" s="389">
        <f>+Общо!BG34</f>
        <v>0</v>
      </c>
      <c r="BY34" s="265">
        <f t="shared" si="39"/>
        <v>45657</v>
      </c>
      <c r="BZ34" s="390">
        <f>+Общо!BJ34</f>
        <v>0</v>
      </c>
      <c r="CA34" s="390">
        <f>+Общо!BK34</f>
        <v>0</v>
      </c>
      <c r="CB34" s="390">
        <f>+Общо!BL34</f>
        <v>0</v>
      </c>
      <c r="CC34" s="390">
        <f>+Общо!BM34</f>
        <v>0</v>
      </c>
      <c r="CD34" s="390">
        <f>+Общо!BN34</f>
        <v>0</v>
      </c>
      <c r="CE34" s="390">
        <f>+Общо!BO34</f>
        <v>0</v>
      </c>
      <c r="CF34" s="390">
        <f>+Общо!BP34</f>
        <v>0</v>
      </c>
      <c r="CG34" s="390">
        <f>+Общо!BQ34</f>
        <v>0</v>
      </c>
      <c r="CH34" s="391">
        <f t="shared" si="64"/>
        <v>0</v>
      </c>
      <c r="CJ34" s="265">
        <f t="shared" si="40"/>
        <v>45657</v>
      </c>
      <c r="CK34" s="392">
        <f>+Общо!BU34</f>
        <v>0</v>
      </c>
      <c r="CL34" s="392">
        <f>+Общо!BV34</f>
        <v>0</v>
      </c>
      <c r="CM34" s="392">
        <f>+Общо!BW34</f>
        <v>0</v>
      </c>
      <c r="CN34" s="392">
        <f>+Общо!BX34</f>
        <v>0</v>
      </c>
      <c r="CO34" s="392">
        <f>+Общо!BY34</f>
        <v>0</v>
      </c>
      <c r="CP34" s="392">
        <f>+Общо!BZ34</f>
        <v>0</v>
      </c>
      <c r="CQ34" s="392">
        <f>+Общо!CA34</f>
        <v>0</v>
      </c>
      <c r="CR34" s="392">
        <f>+Общо!CB34</f>
        <v>0</v>
      </c>
      <c r="CS34" s="391">
        <f t="shared" si="80"/>
        <v>0</v>
      </c>
      <c r="CU34" s="265">
        <f t="shared" si="41"/>
        <v>45657</v>
      </c>
      <c r="CV34" s="393">
        <f>+Общо!CF34</f>
        <v>0</v>
      </c>
      <c r="CW34" s="393">
        <f>+Общо!CG34</f>
        <v>0</v>
      </c>
      <c r="CX34" s="393">
        <f>+Общо!CH34</f>
        <v>0</v>
      </c>
      <c r="CY34" s="393">
        <f>+Общо!CI34</f>
        <v>0</v>
      </c>
      <c r="CZ34" s="393">
        <f>+Общо!CJ34</f>
        <v>0</v>
      </c>
      <c r="DA34" s="393">
        <f>+Общо!CK34</f>
        <v>0</v>
      </c>
      <c r="DB34" s="393">
        <f>+Общо!CL34</f>
        <v>0</v>
      </c>
      <c r="DC34" s="393">
        <f>+Общо!CM34</f>
        <v>0</v>
      </c>
      <c r="DD34" s="394">
        <f t="shared" si="49"/>
        <v>0</v>
      </c>
    </row>
    <row r="35" spans="2:108" ht="15.75" thickBot="1" x14ac:dyDescent="0.3">
      <c r="B35" s="356" t="s">
        <v>0</v>
      </c>
      <c r="C35" s="397">
        <f t="shared" ref="C35:O35" si="81">SUM(C4:C34)</f>
        <v>7423.8459999999995</v>
      </c>
      <c r="D35" s="397">
        <f t="shared" si="81"/>
        <v>569308.34804000007</v>
      </c>
      <c r="E35" s="397">
        <f t="shared" si="81"/>
        <v>0</v>
      </c>
      <c r="F35" s="398">
        <f t="shared" si="81"/>
        <v>85131.630999999994</v>
      </c>
      <c r="G35" s="398">
        <f t="shared" si="81"/>
        <v>7279230.4812900005</v>
      </c>
      <c r="H35" s="398">
        <f t="shared" si="81"/>
        <v>1200</v>
      </c>
      <c r="I35" s="399">
        <f t="shared" si="81"/>
        <v>105025</v>
      </c>
      <c r="J35" s="399">
        <f t="shared" si="81"/>
        <v>54.279000000000451</v>
      </c>
      <c r="K35" s="399">
        <f t="shared" si="81"/>
        <v>4441.0499999999993</v>
      </c>
      <c r="L35" s="399">
        <f t="shared" si="81"/>
        <v>0</v>
      </c>
      <c r="M35" s="399">
        <f t="shared" si="81"/>
        <v>0</v>
      </c>
      <c r="N35" s="400">
        <f t="shared" si="81"/>
        <v>93809.756000000023</v>
      </c>
      <c r="O35" s="400">
        <f t="shared" si="81"/>
        <v>7958004.879329999</v>
      </c>
      <c r="Q35" s="356" t="s">
        <v>0</v>
      </c>
      <c r="R35" s="399">
        <f t="shared" ref="R35:AI35" si="82">SUM(R4:R34)</f>
        <v>0</v>
      </c>
      <c r="S35" s="399">
        <f t="shared" si="82"/>
        <v>0</v>
      </c>
      <c r="T35" s="399">
        <f t="shared" si="82"/>
        <v>73929.392000000007</v>
      </c>
      <c r="U35" s="399">
        <f t="shared" si="82"/>
        <v>5610501.5588800004</v>
      </c>
      <c r="V35" s="399">
        <f t="shared" si="82"/>
        <v>0</v>
      </c>
      <c r="W35" s="399">
        <f t="shared" si="82"/>
        <v>0</v>
      </c>
      <c r="X35" s="399">
        <f t="shared" si="82"/>
        <v>232.25599999999994</v>
      </c>
      <c r="Y35" s="399">
        <f t="shared" si="82"/>
        <v>19363.182720000001</v>
      </c>
      <c r="Z35" s="399">
        <f t="shared" si="82"/>
        <v>0</v>
      </c>
      <c r="AA35" s="399">
        <f t="shared" si="82"/>
        <v>0</v>
      </c>
      <c r="AB35" s="399">
        <f t="shared" si="82"/>
        <v>0</v>
      </c>
      <c r="AC35" s="399">
        <f t="shared" si="82"/>
        <v>0</v>
      </c>
      <c r="AD35" s="399">
        <f t="shared" si="82"/>
        <v>19647</v>
      </c>
      <c r="AE35" s="399">
        <f t="shared" si="82"/>
        <v>1655544</v>
      </c>
      <c r="AF35" s="399">
        <f t="shared" si="82"/>
        <v>1.1080000000001746</v>
      </c>
      <c r="AG35" s="399">
        <f t="shared" si="82"/>
        <v>99.02</v>
      </c>
      <c r="AH35" s="399">
        <f t="shared" si="82"/>
        <v>93809.756000000023</v>
      </c>
      <c r="AI35" s="399">
        <f t="shared" si="82"/>
        <v>7285507.7616000026</v>
      </c>
      <c r="AJ35" s="372"/>
      <c r="AK35" s="401"/>
      <c r="AL35" s="402">
        <f t="shared" ref="AL35:AS35" si="83">SUM(AL4:AL34)</f>
        <v>7285507.7616000026</v>
      </c>
      <c r="AM35" s="402">
        <f t="shared" si="83"/>
        <v>7958004.879329999</v>
      </c>
      <c r="AN35" s="403">
        <f t="shared" si="83"/>
        <v>672497.11772999994</v>
      </c>
      <c r="AO35" s="400">
        <f t="shared" si="83"/>
        <v>39569.02460099999</v>
      </c>
      <c r="AP35" s="400">
        <f t="shared" si="83"/>
        <v>162984.16435839987</v>
      </c>
      <c r="AQ35" s="399">
        <f t="shared" si="83"/>
        <v>62254.400000000016</v>
      </c>
      <c r="AR35" s="404">
        <f t="shared" si="83"/>
        <v>-1977972.5342136768</v>
      </c>
      <c r="AS35" s="405">
        <f t="shared" si="83"/>
        <v>-1491144.9562410775</v>
      </c>
      <c r="AT35" s="377">
        <f>+AN35+AO35-AQ35</f>
        <v>649811.74233099993</v>
      </c>
    </row>
    <row r="36" spans="2:108" x14ac:dyDescent="0.25">
      <c r="AL36" s="377"/>
      <c r="AN36" s="409"/>
      <c r="AR36" s="407"/>
      <c r="AS36" s="407"/>
      <c r="AT36" s="387">
        <f>+AT35-Общо!AO35</f>
        <v>0</v>
      </c>
    </row>
    <row r="37" spans="2:108" ht="42.75" x14ac:dyDescent="0.25">
      <c r="B37" s="264" t="s">
        <v>335</v>
      </c>
      <c r="C37" s="412">
        <v>50613.623300000021</v>
      </c>
      <c r="D37" s="412">
        <v>3232692.1201709989</v>
      </c>
      <c r="E37" s="412">
        <v>0</v>
      </c>
      <c r="F37" s="412">
        <v>620</v>
      </c>
      <c r="G37" s="412">
        <v>47740</v>
      </c>
      <c r="H37" s="412">
        <v>108330.00000000007</v>
      </c>
      <c r="I37" s="412">
        <v>8124750.0000000037</v>
      </c>
      <c r="J37" s="412">
        <v>596.31799999999475</v>
      </c>
      <c r="K37" s="412">
        <v>32201.249999999993</v>
      </c>
      <c r="L37" s="412">
        <v>74400</v>
      </c>
      <c r="M37" s="412">
        <v>3919938.196392681</v>
      </c>
      <c r="N37" s="413">
        <v>108950.00000000007</v>
      </c>
      <c r="O37" s="413">
        <v>8172490.0000000037</v>
      </c>
      <c r="Q37" s="264" t="s">
        <v>335</v>
      </c>
      <c r="R37" s="412">
        <v>0</v>
      </c>
      <c r="S37" s="412">
        <v>0</v>
      </c>
      <c r="T37" s="412">
        <v>108500</v>
      </c>
      <c r="U37" s="412">
        <v>8020320</v>
      </c>
      <c r="V37" s="412">
        <v>0</v>
      </c>
      <c r="W37" s="412">
        <v>0</v>
      </c>
      <c r="X37" s="412">
        <v>450.00000000000017</v>
      </c>
      <c r="Y37" s="412">
        <v>36467.999999999985</v>
      </c>
      <c r="Z37" s="412">
        <v>40300</v>
      </c>
      <c r="AA37" s="412">
        <v>2105210</v>
      </c>
      <c r="AB37" s="412">
        <v>0</v>
      </c>
      <c r="AC37" s="412">
        <v>0</v>
      </c>
      <c r="AD37" s="412">
        <v>0</v>
      </c>
      <c r="AE37" s="412">
        <v>0</v>
      </c>
      <c r="AF37" s="412">
        <v>0</v>
      </c>
      <c r="AG37" s="412">
        <v>0</v>
      </c>
      <c r="AH37" s="412">
        <v>11410</v>
      </c>
      <c r="AI37" s="412">
        <v>750630.9</v>
      </c>
      <c r="AJ37" s="372"/>
      <c r="AK37" s="264" t="s">
        <v>335</v>
      </c>
      <c r="AL37" s="414">
        <v>8056788.0000000037</v>
      </c>
      <c r="AM37" s="414">
        <v>8172490.0000000037</v>
      </c>
      <c r="AN37" s="415">
        <v>115702.00000000029</v>
      </c>
      <c r="AO37" s="413">
        <v>50257.824536956512</v>
      </c>
      <c r="AP37" s="413">
        <v>315781.81844439969</v>
      </c>
      <c r="AQ37" s="412">
        <v>120617.89999999994</v>
      </c>
      <c r="AR37" s="415">
        <v>-3120399.7539060977</v>
      </c>
      <c r="AS37" s="415">
        <v>-3390839.6478135404</v>
      </c>
      <c r="AT37" s="377">
        <f>+AN37+AO37-AQ37-AP37</f>
        <v>-270439.89390744281</v>
      </c>
      <c r="BB37" s="357">
        <v>58.143424456521728</v>
      </c>
    </row>
    <row r="38" spans="2:108" ht="57" x14ac:dyDescent="0.25">
      <c r="B38" s="264" t="s">
        <v>336</v>
      </c>
      <c r="C38" s="412">
        <f>C37/31*COUNTIF(C4:C34,"=0")+C35</f>
        <v>31914.308887096784</v>
      </c>
      <c r="D38" s="412">
        <f t="shared" ref="D38:O38" si="84">D37/31*COUNTIF(D4:D34,"=0")+D35</f>
        <v>2133514.2126388703</v>
      </c>
      <c r="E38" s="412">
        <f t="shared" si="84"/>
        <v>0</v>
      </c>
      <c r="F38" s="412">
        <f t="shared" si="84"/>
        <v>85431.630999999994</v>
      </c>
      <c r="G38" s="412">
        <f t="shared" si="84"/>
        <v>7302330.4812900005</v>
      </c>
      <c r="H38" s="412">
        <f t="shared" si="84"/>
        <v>95551.935483871028</v>
      </c>
      <c r="I38" s="412">
        <f t="shared" si="84"/>
        <v>7181420.1612903262</v>
      </c>
      <c r="J38" s="412">
        <f t="shared" si="84"/>
        <v>515.94454838709316</v>
      </c>
      <c r="K38" s="412">
        <f t="shared" si="84"/>
        <v>30409.799999999992</v>
      </c>
      <c r="L38" s="412">
        <f t="shared" si="84"/>
        <v>74400</v>
      </c>
      <c r="M38" s="412">
        <f t="shared" si="84"/>
        <v>3919938.196392681</v>
      </c>
      <c r="N38" s="412">
        <f t="shared" si="84"/>
        <v>146527.49793548393</v>
      </c>
      <c r="O38" s="412">
        <f t="shared" si="84"/>
        <v>11912435.524491291</v>
      </c>
      <c r="Q38" s="264" t="s">
        <v>336</v>
      </c>
      <c r="R38" s="412">
        <f>R37/31*COUNTIF(R4:R34,"=0")+R35</f>
        <v>0</v>
      </c>
      <c r="S38" s="412">
        <f>S37/31*COUNTIF(S4:S34,"=0")+S35</f>
        <v>0</v>
      </c>
      <c r="T38" s="412">
        <f>T37/31*COUNTIF(T4:T34,"=0")+T35</f>
        <v>126429.39200000001</v>
      </c>
      <c r="U38" s="412">
        <f t="shared" ref="U38:AI38" si="85">U37/31*COUNTIF(U4:U34,"=0")+U35</f>
        <v>9491301.5588800013</v>
      </c>
      <c r="V38" s="412">
        <f t="shared" si="85"/>
        <v>0</v>
      </c>
      <c r="W38" s="412">
        <f t="shared" si="85"/>
        <v>0</v>
      </c>
      <c r="X38" s="412">
        <f t="shared" si="85"/>
        <v>449.99793548387095</v>
      </c>
      <c r="Y38" s="412">
        <f t="shared" si="85"/>
        <v>37008.989171612891</v>
      </c>
      <c r="Z38" s="412">
        <f t="shared" si="85"/>
        <v>40300</v>
      </c>
      <c r="AA38" s="412">
        <f t="shared" si="85"/>
        <v>2105210</v>
      </c>
      <c r="AB38" s="412">
        <f t="shared" si="85"/>
        <v>0</v>
      </c>
      <c r="AC38" s="412">
        <f t="shared" si="85"/>
        <v>0</v>
      </c>
      <c r="AD38" s="412">
        <f t="shared" si="85"/>
        <v>19647</v>
      </c>
      <c r="AE38" s="412">
        <f t="shared" si="85"/>
        <v>1655544</v>
      </c>
      <c r="AF38" s="412">
        <f t="shared" si="85"/>
        <v>1.1080000000001746</v>
      </c>
      <c r="AG38" s="412">
        <f t="shared" si="85"/>
        <v>99.02</v>
      </c>
      <c r="AH38" s="412">
        <f t="shared" si="85"/>
        <v>99330.723741935508</v>
      </c>
      <c r="AI38" s="412">
        <f t="shared" si="85"/>
        <v>7648716.2616000026</v>
      </c>
      <c r="AK38" s="264" t="s">
        <v>336</v>
      </c>
      <c r="AL38" s="414">
        <f>AL37/31*COUNTIF(AL4:AL34,"=0")+AL35</f>
        <v>11183953.568051618</v>
      </c>
      <c r="AM38" s="414">
        <f t="shared" ref="AM38:AS38" si="86">AM37/31*COUNTIF(AM4:AM34,"=0")+AM35</f>
        <v>11912435.524491291</v>
      </c>
      <c r="AN38" s="415">
        <f t="shared" si="86"/>
        <v>728481.95643967751</v>
      </c>
      <c r="AO38" s="413">
        <f t="shared" si="86"/>
        <v>63887.326796301524</v>
      </c>
      <c r="AP38" s="413">
        <f t="shared" si="86"/>
        <v>315781.81844439975</v>
      </c>
      <c r="AQ38" s="413">
        <f t="shared" si="86"/>
        <v>120617.9</v>
      </c>
      <c r="AR38" s="415">
        <f t="shared" si="86"/>
        <v>-3487843.3828779175</v>
      </c>
      <c r="AS38" s="415">
        <f t="shared" si="86"/>
        <v>-3131873.8180863392</v>
      </c>
      <c r="AT38" s="377">
        <f>+AP37*2</f>
        <v>631563.63688879937</v>
      </c>
    </row>
    <row r="39" spans="2:108" ht="42.75" x14ac:dyDescent="0.25">
      <c r="B39" s="264" t="s">
        <v>223</v>
      </c>
      <c r="C39" s="448">
        <f>+C38-C37</f>
        <v>-18699.314412903237</v>
      </c>
      <c r="D39" s="448">
        <f t="shared" ref="D39:O39" si="87">+D38-D37</f>
        <v>-1099177.9075321285</v>
      </c>
      <c r="E39" s="448">
        <f t="shared" si="87"/>
        <v>0</v>
      </c>
      <c r="F39" s="448">
        <f t="shared" si="87"/>
        <v>84811.630999999994</v>
      </c>
      <c r="G39" s="448">
        <f t="shared" si="87"/>
        <v>7254590.4812900005</v>
      </c>
      <c r="H39" s="448">
        <f t="shared" si="87"/>
        <v>-12778.064516129045</v>
      </c>
      <c r="I39" s="448">
        <f t="shared" si="87"/>
        <v>-943329.83870967757</v>
      </c>
      <c r="J39" s="448">
        <f t="shared" si="87"/>
        <v>-80.37345161290159</v>
      </c>
      <c r="K39" s="448">
        <f t="shared" si="87"/>
        <v>-1791.4500000000007</v>
      </c>
      <c r="L39" s="448">
        <f t="shared" si="87"/>
        <v>0</v>
      </c>
      <c r="M39" s="448">
        <f t="shared" si="87"/>
        <v>0</v>
      </c>
      <c r="N39" s="449">
        <f t="shared" si="87"/>
        <v>37577.497935483858</v>
      </c>
      <c r="O39" s="449">
        <f t="shared" si="87"/>
        <v>3739945.5244912878</v>
      </c>
      <c r="Q39" s="264" t="s">
        <v>223</v>
      </c>
      <c r="R39" s="449">
        <f t="shared" ref="R39" si="88">+R38-R37</f>
        <v>0</v>
      </c>
      <c r="S39" s="449">
        <f t="shared" ref="S39:U39" si="89">+S38-S37</f>
        <v>0</v>
      </c>
      <c r="T39" s="449">
        <f t="shared" si="89"/>
        <v>17929.392000000007</v>
      </c>
      <c r="U39" s="449">
        <f t="shared" si="89"/>
        <v>1470981.5588800013</v>
      </c>
      <c r="V39" s="449">
        <f t="shared" ref="V39:W39" si="90">+V38-V37</f>
        <v>0</v>
      </c>
      <c r="W39" s="449">
        <f t="shared" si="90"/>
        <v>0</v>
      </c>
      <c r="X39" s="449">
        <f t="shared" ref="X39" si="91">+X38-X37</f>
        <v>-2.064516129223648E-3</v>
      </c>
      <c r="Y39" s="449">
        <f t="shared" ref="Y39" si="92">+Y38-Y37</f>
        <v>540.98917161290592</v>
      </c>
      <c r="Z39" s="449">
        <f t="shared" ref="Z39" si="93">+Z38-Z37</f>
        <v>0</v>
      </c>
      <c r="AA39" s="449">
        <f t="shared" ref="AA39:AC39" si="94">+AA38-AA37</f>
        <v>0</v>
      </c>
      <c r="AB39" s="449">
        <f t="shared" si="94"/>
        <v>0</v>
      </c>
      <c r="AC39" s="449">
        <f t="shared" si="94"/>
        <v>0</v>
      </c>
      <c r="AD39" s="449">
        <f t="shared" ref="AD39" si="95">+AD38-AD37</f>
        <v>19647</v>
      </c>
      <c r="AE39" s="449">
        <f t="shared" ref="AE39" si="96">+AE38-AE37</f>
        <v>1655544</v>
      </c>
      <c r="AF39" s="449">
        <f t="shared" ref="AF39" si="97">+AF38-AF37</f>
        <v>1.1080000000001746</v>
      </c>
      <c r="AG39" s="449">
        <f t="shared" ref="AG39" si="98">+AG38-AG37</f>
        <v>99.02</v>
      </c>
      <c r="AH39" s="449">
        <f t="shared" ref="AH39" si="99">+AH38-AH37</f>
        <v>87920.723741935508</v>
      </c>
      <c r="AI39" s="449">
        <f t="shared" ref="AI39" si="100">+AI38-AI37</f>
        <v>6898085.3616000023</v>
      </c>
      <c r="AK39" s="264" t="s">
        <v>223</v>
      </c>
      <c r="AL39" s="450">
        <f>+AL38-AL37</f>
        <v>3127165.5680516139</v>
      </c>
      <c r="AM39" s="450">
        <f t="shared" ref="AM39:AS39" si="101">+AM38-AM37</f>
        <v>3739945.5244912878</v>
      </c>
      <c r="AN39" s="451">
        <f t="shared" si="101"/>
        <v>612779.95643967716</v>
      </c>
      <c r="AO39" s="449">
        <f t="shared" si="101"/>
        <v>13629.502259345012</v>
      </c>
      <c r="AP39" s="449">
        <f t="shared" si="101"/>
        <v>0</v>
      </c>
      <c r="AQ39" s="448">
        <f t="shared" si="101"/>
        <v>0</v>
      </c>
      <c r="AR39" s="451">
        <f t="shared" si="101"/>
        <v>-367443.62897181977</v>
      </c>
      <c r="AS39" s="451">
        <f t="shared" si="101"/>
        <v>258965.82972720126</v>
      </c>
    </row>
    <row r="40" spans="2:108" ht="42.75" x14ac:dyDescent="0.25">
      <c r="B40" s="264" t="s">
        <v>223</v>
      </c>
      <c r="C40" s="410">
        <f>+C38/C37-1</f>
        <v>-0.36945219871076151</v>
      </c>
      <c r="D40" s="410">
        <f>+D38/D37-1</f>
        <v>-0.34001936054274962</v>
      </c>
      <c r="E40" s="411"/>
      <c r="F40" s="410">
        <f>+F38/F37-1</f>
        <v>136.79295322580643</v>
      </c>
      <c r="G40" s="410">
        <f>+G38/G37-1</f>
        <v>151.96042063866778</v>
      </c>
      <c r="H40" s="410"/>
      <c r="I40" s="410"/>
      <c r="J40" s="410">
        <f>+J38/J37-1</f>
        <v>-0.13478287023518043</v>
      </c>
      <c r="K40" s="410">
        <f>+K38/K37-1</f>
        <v>-5.563293350413423E-2</v>
      </c>
      <c r="L40" s="410"/>
      <c r="M40" s="410"/>
      <c r="N40" s="410">
        <f>+N38/N37-1</f>
        <v>0.34490590119764875</v>
      </c>
      <c r="O40" s="410">
        <f>+O38/O37-1</f>
        <v>0.45762619770611979</v>
      </c>
      <c r="Q40" s="264" t="s">
        <v>223</v>
      </c>
      <c r="R40" s="410"/>
      <c r="S40" s="410"/>
      <c r="T40" s="410"/>
      <c r="U40" s="410"/>
      <c r="V40" s="410"/>
      <c r="W40" s="410"/>
      <c r="X40" s="410"/>
      <c r="Y40" s="410"/>
      <c r="Z40" s="410"/>
      <c r="AA40" s="410"/>
      <c r="AB40" s="410"/>
      <c r="AC40" s="410"/>
      <c r="AD40" s="410" t="e">
        <f t="shared" ref="AD40:AI40" si="102">+AD38/AD37-1</f>
        <v>#DIV/0!</v>
      </c>
      <c r="AE40" s="410" t="e">
        <f t="shared" si="102"/>
        <v>#DIV/0!</v>
      </c>
      <c r="AF40" s="410" t="e">
        <f t="shared" si="102"/>
        <v>#DIV/0!</v>
      </c>
      <c r="AG40" s="410" t="e">
        <f t="shared" si="102"/>
        <v>#DIV/0!</v>
      </c>
      <c r="AH40" s="410">
        <f t="shared" si="102"/>
        <v>7.7055849028865477</v>
      </c>
      <c r="AI40" s="410">
        <f t="shared" si="102"/>
        <v>9.1897167590622804</v>
      </c>
      <c r="AK40" s="264" t="s">
        <v>223</v>
      </c>
      <c r="AL40" s="416">
        <f>+AL38/AL37-1</f>
        <v>0.38814048080346808</v>
      </c>
      <c r="AM40" s="416">
        <f t="shared" ref="AM40:AS40" si="103">+AM38/AM37-1</f>
        <v>0.45762619770611979</v>
      </c>
      <c r="AN40" s="417">
        <f t="shared" si="103"/>
        <v>5.2961915648793942</v>
      </c>
      <c r="AO40" s="418">
        <f t="shared" si="103"/>
        <v>0.271191647965636</v>
      </c>
      <c r="AP40" s="419">
        <f>+AP38/AP37-1</f>
        <v>0</v>
      </c>
      <c r="AQ40" s="419">
        <f>+AQ38/AQ37-1</f>
        <v>0</v>
      </c>
      <c r="AR40" s="417">
        <v>0</v>
      </c>
      <c r="AS40" s="417">
        <f t="shared" si="103"/>
        <v>-7.6372184067797444E-2</v>
      </c>
      <c r="AT40" s="395"/>
    </row>
    <row r="44" spans="2:108" x14ac:dyDescent="0.25">
      <c r="C44" s="357">
        <f>COUNTIF(C4:C34,"=0")</f>
        <v>15</v>
      </c>
    </row>
    <row r="45" spans="2:108" x14ac:dyDescent="0.25">
      <c r="C45" s="357">
        <f>C37/29</f>
        <v>1745.2973551724144</v>
      </c>
      <c r="AP45" s="566"/>
    </row>
    <row r="46" spans="2:108" x14ac:dyDescent="0.25">
      <c r="C46" s="357">
        <f>C44*C45</f>
        <v>26179.460327586217</v>
      </c>
    </row>
    <row r="47" spans="2:108" x14ac:dyDescent="0.25">
      <c r="C47" s="408">
        <f>C38-C46-C35</f>
        <v>-1688.9974404894328</v>
      </c>
    </row>
    <row r="328" spans="10:10" x14ac:dyDescent="0.25">
      <c r="J328" s="357">
        <v>6</v>
      </c>
    </row>
  </sheetData>
  <mergeCells count="13">
    <mergeCell ref="Q2:AI2"/>
    <mergeCell ref="C2:O2"/>
    <mergeCell ref="BT2:BW2"/>
    <mergeCell ref="BY2:CH2"/>
    <mergeCell ref="CJ2:CS2"/>
    <mergeCell ref="DF3:DF4"/>
    <mergeCell ref="DG3:DJ3"/>
    <mergeCell ref="DK3:DM3"/>
    <mergeCell ref="CU2:DD2"/>
    <mergeCell ref="AU2:AZ2"/>
    <mergeCell ref="BB2:BI2"/>
    <mergeCell ref="BK2:BM2"/>
    <mergeCell ref="BP2:BQ2"/>
  </mergeCells>
  <conditionalFormatting sqref="DJ5:DJ16">
    <cfRule type="cellIs" dxfId="5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8" fitToHeight="4" orientation="landscape" r:id="rId1"/>
  <colBreaks count="2" manualBreakCount="2">
    <brk id="15" min="1" max="39" man="1"/>
    <brk id="35" min="1" max="39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I77"/>
  <sheetViews>
    <sheetView topLeftCell="A31" workbookViewId="0">
      <selection activeCell="O44" sqref="O44"/>
    </sheetView>
  </sheetViews>
  <sheetFormatPr defaultRowHeight="15" x14ac:dyDescent="0.25"/>
  <cols>
    <col min="1" max="1" width="10" customWidth="1"/>
    <col min="2" max="2" width="10.7109375" bestFit="1" customWidth="1"/>
    <col min="3" max="3" width="14.7109375" bestFit="1" customWidth="1"/>
    <col min="4" max="5" width="13.7109375" bestFit="1" customWidth="1"/>
    <col min="6" max="7" width="12.140625" bestFit="1" customWidth="1"/>
    <col min="8" max="8" width="13.7109375" bestFit="1" customWidth="1"/>
    <col min="9" max="9" width="9.28515625" bestFit="1" customWidth="1"/>
    <col min="10" max="10" width="13.42578125" customWidth="1"/>
    <col min="11" max="11" width="11.7109375" customWidth="1"/>
    <col min="12" max="12" width="10.42578125" bestFit="1" customWidth="1"/>
    <col min="14" max="16" width="13.7109375" bestFit="1" customWidth="1"/>
    <col min="17" max="17" width="13.7109375" customWidth="1"/>
    <col min="18" max="18" width="10" customWidth="1"/>
    <col min="19" max="19" width="10.42578125" bestFit="1" customWidth="1"/>
    <col min="20" max="20" width="12.5703125" bestFit="1" customWidth="1"/>
    <col min="21" max="21" width="12.7109375" style="344" customWidth="1"/>
    <col min="22" max="22" width="8.42578125" bestFit="1" customWidth="1"/>
    <col min="24" max="24" width="10.42578125" bestFit="1" customWidth="1"/>
    <col min="25" max="25" width="13.42578125" customWidth="1"/>
    <col min="26" max="26" width="10.42578125" bestFit="1" customWidth="1"/>
  </cols>
  <sheetData>
    <row r="1" spans="1:35" x14ac:dyDescent="0.25">
      <c r="P1" s="349"/>
      <c r="X1" s="349" t="e">
        <f>+#REF!-#REF!</f>
        <v>#REF!</v>
      </c>
    </row>
    <row r="3" spans="1:35" ht="15.75" thickBot="1" x14ac:dyDescent="0.3">
      <c r="B3" s="707" t="s">
        <v>237</v>
      </c>
      <c r="C3" s="707"/>
      <c r="D3" s="707"/>
      <c r="E3" s="707"/>
      <c r="F3" s="707"/>
      <c r="G3" s="707"/>
      <c r="H3" s="707"/>
      <c r="I3" s="707"/>
      <c r="J3" s="707"/>
      <c r="K3" s="707"/>
      <c r="L3" s="707"/>
      <c r="O3" s="707" t="s">
        <v>238</v>
      </c>
      <c r="P3" s="707"/>
      <c r="Q3" s="707"/>
      <c r="R3" s="707"/>
      <c r="S3" s="707"/>
      <c r="U3"/>
      <c r="V3" s="344"/>
      <c r="AD3" s="1"/>
      <c r="AE3" s="1"/>
      <c r="AF3" s="1"/>
      <c r="AG3" s="1"/>
      <c r="AH3" s="1"/>
      <c r="AI3" s="1"/>
    </row>
    <row r="4" spans="1:35" ht="90.75" thickBot="1" x14ac:dyDescent="0.3">
      <c r="B4" s="345" t="s">
        <v>8</v>
      </c>
      <c r="C4" s="346" t="s">
        <v>14</v>
      </c>
      <c r="D4" s="347" t="s">
        <v>15</v>
      </c>
      <c r="E4" s="347" t="s">
        <v>16</v>
      </c>
      <c r="F4" s="347" t="s">
        <v>17</v>
      </c>
      <c r="G4" s="347" t="s">
        <v>211</v>
      </c>
      <c r="H4" s="347" t="s">
        <v>37</v>
      </c>
      <c r="I4" s="347" t="s">
        <v>74</v>
      </c>
      <c r="J4" s="347" t="s">
        <v>142</v>
      </c>
      <c r="K4" s="347" t="s">
        <v>212</v>
      </c>
      <c r="L4" s="345" t="s">
        <v>151</v>
      </c>
      <c r="O4" s="347" t="s">
        <v>18</v>
      </c>
      <c r="P4" s="347" t="s">
        <v>213</v>
      </c>
      <c r="Q4" s="347" t="s">
        <v>222</v>
      </c>
      <c r="R4" s="347" t="s">
        <v>239</v>
      </c>
      <c r="S4" s="347" t="s">
        <v>151</v>
      </c>
      <c r="U4" s="348" t="s">
        <v>240</v>
      </c>
      <c r="V4" s="452" t="s">
        <v>241</v>
      </c>
      <c r="Z4" s="348" t="s">
        <v>214</v>
      </c>
      <c r="AA4" s="348" t="s">
        <v>215</v>
      </c>
      <c r="AD4" s="1"/>
      <c r="AE4" s="1"/>
      <c r="AF4" s="1"/>
      <c r="AG4" s="1"/>
      <c r="AH4" s="1"/>
      <c r="AI4" s="1"/>
    </row>
    <row r="5" spans="1:35" s="355" customFormat="1" x14ac:dyDescent="0.25">
      <c r="A5" s="601" t="s">
        <v>242</v>
      </c>
      <c r="B5" s="354">
        <v>45627</v>
      </c>
      <c r="C5" s="590">
        <v>4500</v>
      </c>
      <c r="D5" s="591">
        <v>937</v>
      </c>
      <c r="E5" s="591">
        <v>485</v>
      </c>
      <c r="F5" s="591">
        <v>235</v>
      </c>
      <c r="G5" s="591">
        <v>354.839</v>
      </c>
      <c r="H5" s="591">
        <v>1080</v>
      </c>
      <c r="I5" s="591">
        <v>785</v>
      </c>
      <c r="J5" s="591">
        <v>0</v>
      </c>
      <c r="K5" s="591">
        <v>20</v>
      </c>
      <c r="L5" s="591">
        <f t="shared" ref="L5:L35" si="0">SUM(C5:K5)</f>
        <v>8396.8389999999999</v>
      </c>
      <c r="M5" s="453"/>
      <c r="O5" s="592">
        <v>8376.8389999999999</v>
      </c>
      <c r="P5" s="592">
        <v>3500</v>
      </c>
      <c r="Q5" s="592">
        <v>14.516</v>
      </c>
      <c r="R5" s="592">
        <v>0</v>
      </c>
      <c r="S5" s="592">
        <f>SUM(O5:R5)</f>
        <v>11891.355</v>
      </c>
      <c r="U5" s="592">
        <f t="shared" ref="U5:U35" si="1">+S5-L5</f>
        <v>3494.5159999999996</v>
      </c>
      <c r="V5" s="593">
        <f>+U5/S5</f>
        <v>0.29387029484865262</v>
      </c>
      <c r="Z5" s="592">
        <f>+O5+P5</f>
        <v>11876.839</v>
      </c>
      <c r="AA5" s="592">
        <f>+R5+U5*-1+Q5</f>
        <v>-3479.9999999999995</v>
      </c>
      <c r="AD5" s="82"/>
      <c r="AE5" s="82"/>
      <c r="AF5" s="82"/>
      <c r="AG5" s="82"/>
      <c r="AH5" s="82"/>
      <c r="AI5" s="82"/>
    </row>
    <row r="6" spans="1:35" s="624" customFormat="1" x14ac:dyDescent="0.25">
      <c r="A6" s="619" t="s">
        <v>243</v>
      </c>
      <c r="B6" s="620">
        <f>+B5+1</f>
        <v>45628</v>
      </c>
      <c r="C6" s="621">
        <v>4500</v>
      </c>
      <c r="D6" s="622">
        <v>904</v>
      </c>
      <c r="E6" s="622">
        <v>485</v>
      </c>
      <c r="F6" s="622">
        <v>235</v>
      </c>
      <c r="G6" s="622">
        <v>354.839</v>
      </c>
      <c r="H6" s="622">
        <v>720</v>
      </c>
      <c r="I6" s="622">
        <v>785</v>
      </c>
      <c r="J6" s="622">
        <v>0</v>
      </c>
      <c r="K6" s="622">
        <v>20</v>
      </c>
      <c r="L6" s="622">
        <f t="shared" si="0"/>
        <v>8003.8389999999999</v>
      </c>
      <c r="M6" s="623"/>
      <c r="O6" s="625">
        <v>7983.8389999999999</v>
      </c>
      <c r="P6" s="625">
        <v>3500</v>
      </c>
      <c r="Q6" s="625">
        <v>14.516</v>
      </c>
      <c r="R6" s="625">
        <v>0</v>
      </c>
      <c r="S6" s="625">
        <f t="shared" ref="S6:S35" si="2">SUM(O6:R6)</f>
        <v>11498.355</v>
      </c>
      <c r="U6" s="625">
        <f t="shared" si="1"/>
        <v>3494.5159999999996</v>
      </c>
      <c r="V6" s="626">
        <f t="shared" ref="V6:V36" si="3">+U6/S6</f>
        <v>0.3039144294988283</v>
      </c>
      <c r="Z6" s="625">
        <f t="shared" ref="Z6:Z35" si="4">+O6+P6</f>
        <v>11483.839</v>
      </c>
      <c r="AA6" s="625">
        <f t="shared" ref="AA6:AA35" si="5">+R6+U6*-1+Q6</f>
        <v>-3479.9999999999995</v>
      </c>
      <c r="AD6" s="627"/>
      <c r="AE6" s="627"/>
      <c r="AF6" s="627"/>
      <c r="AG6" s="627"/>
      <c r="AH6" s="627"/>
      <c r="AI6" s="627"/>
    </row>
    <row r="7" spans="1:35" s="624" customFormat="1" x14ac:dyDescent="0.25">
      <c r="A7" s="619" t="s">
        <v>244</v>
      </c>
      <c r="B7" s="620">
        <f t="shared" ref="B7:B35" si="6">+B6+1</f>
        <v>45629</v>
      </c>
      <c r="C7" s="621">
        <v>4500</v>
      </c>
      <c r="D7" s="622">
        <v>926</v>
      </c>
      <c r="E7" s="622">
        <v>485</v>
      </c>
      <c r="F7" s="622">
        <v>235</v>
      </c>
      <c r="G7" s="622">
        <v>354.839</v>
      </c>
      <c r="H7" s="622">
        <v>720</v>
      </c>
      <c r="I7" s="622">
        <v>785</v>
      </c>
      <c r="J7" s="622">
        <v>0</v>
      </c>
      <c r="K7" s="622">
        <v>20</v>
      </c>
      <c r="L7" s="622">
        <f t="shared" si="0"/>
        <v>8025.8389999999999</v>
      </c>
      <c r="M7" s="628"/>
      <c r="O7" s="625">
        <v>8005.8389999999999</v>
      </c>
      <c r="P7" s="625">
        <v>3500</v>
      </c>
      <c r="Q7" s="625">
        <v>14.516</v>
      </c>
      <c r="R7" s="625">
        <v>0</v>
      </c>
      <c r="S7" s="625">
        <f t="shared" si="2"/>
        <v>11520.355</v>
      </c>
      <c r="U7" s="625">
        <f t="shared" si="1"/>
        <v>3494.5159999999996</v>
      </c>
      <c r="V7" s="626">
        <f t="shared" si="3"/>
        <v>0.30333405524395729</v>
      </c>
      <c r="Z7" s="625">
        <f t="shared" si="4"/>
        <v>11505.839</v>
      </c>
      <c r="AA7" s="625">
        <f t="shared" si="5"/>
        <v>-3479.9999999999995</v>
      </c>
      <c r="AD7" s="627"/>
      <c r="AE7" s="627"/>
      <c r="AF7" s="627"/>
      <c r="AG7" s="627"/>
      <c r="AH7" s="627"/>
      <c r="AI7" s="627"/>
    </row>
    <row r="8" spans="1:35" s="355" customFormat="1" x14ac:dyDescent="0.25">
      <c r="A8" s="601" t="s">
        <v>245</v>
      </c>
      <c r="B8" s="354">
        <f t="shared" si="6"/>
        <v>45630</v>
      </c>
      <c r="C8" s="590">
        <v>4500</v>
      </c>
      <c r="D8" s="591">
        <v>904</v>
      </c>
      <c r="E8" s="591">
        <v>485</v>
      </c>
      <c r="F8" s="591">
        <v>235</v>
      </c>
      <c r="G8" s="591">
        <v>354.839</v>
      </c>
      <c r="H8" s="591">
        <v>720</v>
      </c>
      <c r="I8" s="591">
        <v>785</v>
      </c>
      <c r="J8" s="591">
        <v>0</v>
      </c>
      <c r="K8" s="591">
        <v>20</v>
      </c>
      <c r="L8" s="591">
        <f t="shared" si="0"/>
        <v>8003.8389999999999</v>
      </c>
      <c r="M8" s="453"/>
      <c r="O8" s="592">
        <v>7983.8389999999999</v>
      </c>
      <c r="P8" s="592">
        <v>3500</v>
      </c>
      <c r="Q8" s="592">
        <v>14.516</v>
      </c>
      <c r="R8" s="592">
        <v>0</v>
      </c>
      <c r="S8" s="592">
        <f t="shared" si="2"/>
        <v>11498.355</v>
      </c>
      <c r="U8" s="592">
        <f t="shared" si="1"/>
        <v>3494.5159999999996</v>
      </c>
      <c r="V8" s="593">
        <f t="shared" si="3"/>
        <v>0.3039144294988283</v>
      </c>
      <c r="Z8" s="592">
        <f t="shared" si="4"/>
        <v>11483.839</v>
      </c>
      <c r="AA8" s="592">
        <f t="shared" si="5"/>
        <v>-3479.9999999999995</v>
      </c>
      <c r="AD8" s="82"/>
      <c r="AE8" s="82"/>
      <c r="AF8" s="82"/>
      <c r="AG8" s="82"/>
      <c r="AH8" s="82"/>
      <c r="AI8" s="82"/>
    </row>
    <row r="9" spans="1:35" s="355" customFormat="1" x14ac:dyDescent="0.25">
      <c r="A9" s="601" t="s">
        <v>246</v>
      </c>
      <c r="B9" s="354">
        <f t="shared" si="6"/>
        <v>45631</v>
      </c>
      <c r="C9" s="590">
        <v>4500</v>
      </c>
      <c r="D9" s="591">
        <v>926</v>
      </c>
      <c r="E9" s="591">
        <v>485</v>
      </c>
      <c r="F9" s="591">
        <v>235</v>
      </c>
      <c r="G9" s="591">
        <v>354.839</v>
      </c>
      <c r="H9" s="591">
        <v>720</v>
      </c>
      <c r="I9" s="591">
        <v>785</v>
      </c>
      <c r="J9" s="591">
        <v>0</v>
      </c>
      <c r="K9" s="591">
        <v>20</v>
      </c>
      <c r="L9" s="591">
        <f t="shared" si="0"/>
        <v>8025.8389999999999</v>
      </c>
      <c r="M9" s="453"/>
      <c r="O9" s="592">
        <v>8005.8389999999999</v>
      </c>
      <c r="P9" s="592">
        <v>3500</v>
      </c>
      <c r="Q9" s="592">
        <v>14.516</v>
      </c>
      <c r="R9" s="592">
        <v>0</v>
      </c>
      <c r="S9" s="592">
        <f t="shared" si="2"/>
        <v>11520.355</v>
      </c>
      <c r="U9" s="592">
        <f t="shared" si="1"/>
        <v>3494.5159999999996</v>
      </c>
      <c r="V9" s="593">
        <f t="shared" si="3"/>
        <v>0.30333405524395729</v>
      </c>
      <c r="Z9" s="592">
        <f t="shared" si="4"/>
        <v>11505.839</v>
      </c>
      <c r="AA9" s="592">
        <f t="shared" si="5"/>
        <v>-3479.9999999999995</v>
      </c>
      <c r="AD9" s="82"/>
      <c r="AE9" s="82"/>
      <c r="AF9" s="82"/>
      <c r="AG9" s="82"/>
      <c r="AH9" s="82"/>
      <c r="AI9" s="82"/>
    </row>
    <row r="10" spans="1:35" s="355" customFormat="1" x14ac:dyDescent="0.25">
      <c r="A10" s="601" t="s">
        <v>247</v>
      </c>
      <c r="B10" s="354">
        <f t="shared" si="6"/>
        <v>45632</v>
      </c>
      <c r="C10" s="590">
        <v>4500</v>
      </c>
      <c r="D10" s="591">
        <v>904</v>
      </c>
      <c r="E10" s="591">
        <v>485</v>
      </c>
      <c r="F10" s="591">
        <v>235</v>
      </c>
      <c r="G10" s="591">
        <v>354.839</v>
      </c>
      <c r="H10" s="591">
        <v>720</v>
      </c>
      <c r="I10" s="591">
        <v>785</v>
      </c>
      <c r="J10" s="591">
        <v>0</v>
      </c>
      <c r="K10" s="591">
        <v>20</v>
      </c>
      <c r="L10" s="591">
        <f t="shared" si="0"/>
        <v>8003.8389999999999</v>
      </c>
      <c r="M10" s="453"/>
      <c r="O10" s="592">
        <v>7983.8389999999999</v>
      </c>
      <c r="P10" s="592">
        <v>3500</v>
      </c>
      <c r="Q10" s="592">
        <v>14.516</v>
      </c>
      <c r="R10" s="592">
        <v>0</v>
      </c>
      <c r="S10" s="592">
        <f t="shared" si="2"/>
        <v>11498.355</v>
      </c>
      <c r="U10" s="592">
        <f t="shared" si="1"/>
        <v>3494.5159999999996</v>
      </c>
      <c r="V10" s="593">
        <f t="shared" si="3"/>
        <v>0.3039144294988283</v>
      </c>
      <c r="Z10" s="592">
        <f t="shared" si="4"/>
        <v>11483.839</v>
      </c>
      <c r="AA10" s="592">
        <f t="shared" si="5"/>
        <v>-3479.9999999999995</v>
      </c>
      <c r="AE10" s="82"/>
      <c r="AF10" s="82"/>
      <c r="AG10" s="82"/>
      <c r="AH10" s="82"/>
      <c r="AI10" s="82"/>
    </row>
    <row r="11" spans="1:35" s="355" customFormat="1" x14ac:dyDescent="0.25">
      <c r="A11" s="601" t="s">
        <v>248</v>
      </c>
      <c r="B11" s="354">
        <f t="shared" si="6"/>
        <v>45633</v>
      </c>
      <c r="C11" s="590">
        <v>4500</v>
      </c>
      <c r="D11" s="591">
        <v>937</v>
      </c>
      <c r="E11" s="591">
        <v>485</v>
      </c>
      <c r="F11" s="591">
        <v>235</v>
      </c>
      <c r="G11" s="591">
        <v>354.839</v>
      </c>
      <c r="H11" s="591">
        <v>720</v>
      </c>
      <c r="I11" s="591">
        <v>785</v>
      </c>
      <c r="J11" s="591">
        <v>0</v>
      </c>
      <c r="K11" s="591">
        <v>20</v>
      </c>
      <c r="L11" s="591">
        <f t="shared" si="0"/>
        <v>8036.8389999999999</v>
      </c>
      <c r="M11" s="454"/>
      <c r="O11" s="592">
        <v>8016.8389999999999</v>
      </c>
      <c r="P11" s="592">
        <v>3500</v>
      </c>
      <c r="Q11" s="592">
        <v>14.516</v>
      </c>
      <c r="R11" s="592">
        <v>0</v>
      </c>
      <c r="S11" s="592">
        <f t="shared" si="2"/>
        <v>11531.355</v>
      </c>
      <c r="U11" s="592">
        <f t="shared" si="1"/>
        <v>3494.5159999999996</v>
      </c>
      <c r="V11" s="593">
        <f t="shared" si="3"/>
        <v>0.30304469856317839</v>
      </c>
      <c r="Z11" s="592">
        <f t="shared" si="4"/>
        <v>11516.839</v>
      </c>
      <c r="AA11" s="592">
        <f t="shared" si="5"/>
        <v>-3479.9999999999995</v>
      </c>
      <c r="AE11" s="82"/>
      <c r="AF11" s="82"/>
      <c r="AG11" s="82"/>
      <c r="AH11" s="82"/>
      <c r="AI11" s="82"/>
    </row>
    <row r="12" spans="1:35" s="355" customFormat="1" x14ac:dyDescent="0.25">
      <c r="A12" s="601" t="s">
        <v>242</v>
      </c>
      <c r="B12" s="354">
        <f t="shared" si="6"/>
        <v>45634</v>
      </c>
      <c r="C12" s="590">
        <v>4500</v>
      </c>
      <c r="D12" s="591">
        <v>937</v>
      </c>
      <c r="E12" s="591">
        <v>485</v>
      </c>
      <c r="F12" s="591">
        <v>235</v>
      </c>
      <c r="G12" s="591">
        <v>354.839</v>
      </c>
      <c r="H12" s="591">
        <v>720</v>
      </c>
      <c r="I12" s="591">
        <v>785</v>
      </c>
      <c r="J12" s="591">
        <v>0</v>
      </c>
      <c r="K12" s="591">
        <v>20</v>
      </c>
      <c r="L12" s="591">
        <f t="shared" si="0"/>
        <v>8036.8389999999999</v>
      </c>
      <c r="M12" s="453"/>
      <c r="O12" s="592">
        <v>8016.8389999999999</v>
      </c>
      <c r="P12" s="592">
        <v>3500</v>
      </c>
      <c r="Q12" s="592">
        <v>14.516</v>
      </c>
      <c r="R12" s="592">
        <v>0</v>
      </c>
      <c r="S12" s="592">
        <f t="shared" si="2"/>
        <v>11531.355</v>
      </c>
      <c r="U12" s="592">
        <f t="shared" si="1"/>
        <v>3494.5159999999996</v>
      </c>
      <c r="V12" s="593">
        <f t="shared" si="3"/>
        <v>0.30304469856317839</v>
      </c>
      <c r="Z12" s="592">
        <f t="shared" si="4"/>
        <v>11516.839</v>
      </c>
      <c r="AA12" s="592">
        <f t="shared" si="5"/>
        <v>-3479.9999999999995</v>
      </c>
      <c r="AE12" s="82"/>
      <c r="AF12" s="82"/>
      <c r="AG12" s="82"/>
      <c r="AH12" s="82"/>
      <c r="AI12" s="82"/>
    </row>
    <row r="13" spans="1:35" s="624" customFormat="1" x14ac:dyDescent="0.25">
      <c r="A13" s="619" t="s">
        <v>243</v>
      </c>
      <c r="B13" s="620">
        <f t="shared" si="6"/>
        <v>45635</v>
      </c>
      <c r="C13" s="621">
        <v>4500</v>
      </c>
      <c r="D13" s="622">
        <v>904</v>
      </c>
      <c r="E13" s="622">
        <v>485</v>
      </c>
      <c r="F13" s="622">
        <v>235</v>
      </c>
      <c r="G13" s="622">
        <v>354.839</v>
      </c>
      <c r="H13" s="622">
        <v>720</v>
      </c>
      <c r="I13" s="622">
        <v>785</v>
      </c>
      <c r="J13" s="622">
        <v>0</v>
      </c>
      <c r="K13" s="622">
        <v>20</v>
      </c>
      <c r="L13" s="622">
        <f t="shared" si="0"/>
        <v>8003.8389999999999</v>
      </c>
      <c r="M13" s="623"/>
      <c r="O13" s="625">
        <v>7983.8389999999999</v>
      </c>
      <c r="P13" s="625">
        <v>3500</v>
      </c>
      <c r="Q13" s="625">
        <v>14.516</v>
      </c>
      <c r="R13" s="625">
        <v>0</v>
      </c>
      <c r="S13" s="625">
        <f t="shared" si="2"/>
        <v>11498.355</v>
      </c>
      <c r="U13" s="625">
        <f t="shared" si="1"/>
        <v>3494.5159999999996</v>
      </c>
      <c r="V13" s="626">
        <f t="shared" si="3"/>
        <v>0.3039144294988283</v>
      </c>
      <c r="Z13" s="625">
        <f t="shared" si="4"/>
        <v>11483.839</v>
      </c>
      <c r="AA13" s="625">
        <f t="shared" si="5"/>
        <v>-3479.9999999999995</v>
      </c>
      <c r="AE13" s="627"/>
      <c r="AF13" s="627"/>
      <c r="AG13" s="627"/>
      <c r="AH13" s="627"/>
      <c r="AI13" s="627"/>
    </row>
    <row r="14" spans="1:35" s="624" customFormat="1" x14ac:dyDescent="0.25">
      <c r="A14" s="619" t="s">
        <v>244</v>
      </c>
      <c r="B14" s="620">
        <f t="shared" si="6"/>
        <v>45636</v>
      </c>
      <c r="C14" s="621">
        <v>4500</v>
      </c>
      <c r="D14" s="622">
        <v>926</v>
      </c>
      <c r="E14" s="622">
        <v>485</v>
      </c>
      <c r="F14" s="622">
        <v>235</v>
      </c>
      <c r="G14" s="622">
        <v>354.839</v>
      </c>
      <c r="H14" s="622">
        <v>720</v>
      </c>
      <c r="I14" s="622">
        <v>785</v>
      </c>
      <c r="J14" s="622">
        <v>0</v>
      </c>
      <c r="K14" s="622">
        <v>20</v>
      </c>
      <c r="L14" s="622">
        <f t="shared" si="0"/>
        <v>8025.8389999999999</v>
      </c>
      <c r="M14" s="623"/>
      <c r="O14" s="625">
        <v>8005.8389999999999</v>
      </c>
      <c r="P14" s="625">
        <v>3500</v>
      </c>
      <c r="Q14" s="625">
        <v>14.516</v>
      </c>
      <c r="R14" s="625">
        <v>0</v>
      </c>
      <c r="S14" s="625">
        <f t="shared" si="2"/>
        <v>11520.355</v>
      </c>
      <c r="U14" s="625">
        <f t="shared" si="1"/>
        <v>3494.5159999999996</v>
      </c>
      <c r="V14" s="626">
        <f t="shared" si="3"/>
        <v>0.30333405524395729</v>
      </c>
      <c r="Z14" s="625">
        <f t="shared" si="4"/>
        <v>11505.839</v>
      </c>
      <c r="AA14" s="625">
        <f t="shared" si="5"/>
        <v>-3479.9999999999995</v>
      </c>
      <c r="AE14" s="627"/>
      <c r="AF14" s="627"/>
      <c r="AG14" s="627"/>
      <c r="AH14" s="627"/>
      <c r="AI14" s="627"/>
    </row>
    <row r="15" spans="1:35" s="355" customFormat="1" x14ac:dyDescent="0.25">
      <c r="A15" s="601" t="s">
        <v>245</v>
      </c>
      <c r="B15" s="354">
        <f t="shared" si="6"/>
        <v>45637</v>
      </c>
      <c r="C15" s="590">
        <v>4500</v>
      </c>
      <c r="D15" s="591">
        <v>904</v>
      </c>
      <c r="E15" s="591">
        <v>485</v>
      </c>
      <c r="F15" s="591">
        <v>235</v>
      </c>
      <c r="G15" s="591">
        <v>354.839</v>
      </c>
      <c r="H15" s="591">
        <v>720</v>
      </c>
      <c r="I15" s="591">
        <v>785</v>
      </c>
      <c r="J15" s="591">
        <v>0</v>
      </c>
      <c r="K15" s="591">
        <v>20</v>
      </c>
      <c r="L15" s="591">
        <f t="shared" si="0"/>
        <v>8003.8389999999999</v>
      </c>
      <c r="M15" s="453"/>
      <c r="O15" s="592">
        <v>7983.8389999999999</v>
      </c>
      <c r="P15" s="592">
        <v>3500</v>
      </c>
      <c r="Q15" s="592">
        <v>14.516</v>
      </c>
      <c r="R15" s="592">
        <v>0</v>
      </c>
      <c r="S15" s="592">
        <f t="shared" si="2"/>
        <v>11498.355</v>
      </c>
      <c r="U15" s="592">
        <f t="shared" si="1"/>
        <v>3494.5159999999996</v>
      </c>
      <c r="V15" s="593">
        <f t="shared" si="3"/>
        <v>0.3039144294988283</v>
      </c>
      <c r="Z15" s="592">
        <f t="shared" si="4"/>
        <v>11483.839</v>
      </c>
      <c r="AA15" s="592">
        <f t="shared" si="5"/>
        <v>-3479.9999999999995</v>
      </c>
      <c r="AE15" s="82"/>
      <c r="AF15" s="82"/>
      <c r="AG15" s="82"/>
      <c r="AH15" s="82"/>
      <c r="AI15" s="82"/>
    </row>
    <row r="16" spans="1:35" s="355" customFormat="1" x14ac:dyDescent="0.25">
      <c r="A16" s="601" t="s">
        <v>246</v>
      </c>
      <c r="B16" s="354">
        <f t="shared" si="6"/>
        <v>45638</v>
      </c>
      <c r="C16" s="590">
        <v>4500</v>
      </c>
      <c r="D16" s="591">
        <v>926</v>
      </c>
      <c r="E16" s="591">
        <v>485</v>
      </c>
      <c r="F16" s="591">
        <v>235</v>
      </c>
      <c r="G16" s="591">
        <v>354.839</v>
      </c>
      <c r="H16" s="591">
        <v>1080</v>
      </c>
      <c r="I16" s="591">
        <v>785</v>
      </c>
      <c r="J16" s="591">
        <v>0</v>
      </c>
      <c r="K16" s="591">
        <v>20</v>
      </c>
      <c r="L16" s="591">
        <f t="shared" si="0"/>
        <v>8385.8389999999999</v>
      </c>
      <c r="M16" s="453"/>
      <c r="O16" s="592">
        <v>8365.8389999999999</v>
      </c>
      <c r="P16" s="592">
        <v>3500</v>
      </c>
      <c r="Q16" s="592">
        <v>14.516</v>
      </c>
      <c r="R16" s="592">
        <v>0</v>
      </c>
      <c r="S16" s="592">
        <f t="shared" si="2"/>
        <v>11880.355</v>
      </c>
      <c r="U16" s="592">
        <f t="shared" si="1"/>
        <v>3494.5159999999996</v>
      </c>
      <c r="V16" s="593">
        <f t="shared" si="3"/>
        <v>0.29414238884275762</v>
      </c>
      <c r="Z16" s="592">
        <f t="shared" si="4"/>
        <v>11865.839</v>
      </c>
      <c r="AA16" s="592">
        <f t="shared" si="5"/>
        <v>-3479.9999999999995</v>
      </c>
      <c r="AE16" s="82"/>
      <c r="AF16" s="82"/>
      <c r="AG16" s="82"/>
      <c r="AH16" s="82"/>
      <c r="AI16" s="82"/>
    </row>
    <row r="17" spans="1:35" s="355" customFormat="1" x14ac:dyDescent="0.25">
      <c r="A17" s="601" t="s">
        <v>247</v>
      </c>
      <c r="B17" s="354">
        <f t="shared" si="6"/>
        <v>45639</v>
      </c>
      <c r="C17" s="590">
        <v>4500</v>
      </c>
      <c r="D17" s="591">
        <v>904</v>
      </c>
      <c r="E17" s="591">
        <v>485</v>
      </c>
      <c r="F17" s="591">
        <v>235</v>
      </c>
      <c r="G17" s="591">
        <v>354.839</v>
      </c>
      <c r="H17" s="591">
        <v>1080</v>
      </c>
      <c r="I17" s="591">
        <v>785</v>
      </c>
      <c r="J17" s="591">
        <v>0</v>
      </c>
      <c r="K17" s="591">
        <v>20</v>
      </c>
      <c r="L17" s="591">
        <f t="shared" si="0"/>
        <v>8363.8389999999999</v>
      </c>
      <c r="M17" s="453"/>
      <c r="O17" s="592">
        <v>8343.8389999999999</v>
      </c>
      <c r="P17" s="592">
        <v>3500</v>
      </c>
      <c r="Q17" s="592">
        <v>14.516</v>
      </c>
      <c r="R17" s="592">
        <v>0</v>
      </c>
      <c r="S17" s="592">
        <f t="shared" si="2"/>
        <v>11858.355</v>
      </c>
      <c r="U17" s="592">
        <f t="shared" si="1"/>
        <v>3494.5159999999996</v>
      </c>
      <c r="V17" s="593">
        <f t="shared" si="3"/>
        <v>0.29468809122344541</v>
      </c>
      <c r="Z17" s="592">
        <f t="shared" si="4"/>
        <v>11843.839</v>
      </c>
      <c r="AA17" s="592">
        <f t="shared" si="5"/>
        <v>-3479.9999999999995</v>
      </c>
      <c r="AE17" s="82"/>
      <c r="AF17" s="82"/>
      <c r="AG17" s="82"/>
      <c r="AH17" s="82"/>
      <c r="AI17" s="82"/>
    </row>
    <row r="18" spans="1:35" s="355" customFormat="1" x14ac:dyDescent="0.25">
      <c r="A18" s="601" t="s">
        <v>248</v>
      </c>
      <c r="B18" s="354">
        <f t="shared" si="6"/>
        <v>45640</v>
      </c>
      <c r="C18" s="590">
        <v>4500</v>
      </c>
      <c r="D18" s="591">
        <v>937</v>
      </c>
      <c r="E18" s="591">
        <v>485</v>
      </c>
      <c r="F18" s="591">
        <v>235</v>
      </c>
      <c r="G18" s="591">
        <v>354.839</v>
      </c>
      <c r="H18" s="591">
        <v>1080</v>
      </c>
      <c r="I18" s="591">
        <v>785</v>
      </c>
      <c r="J18" s="591">
        <v>0</v>
      </c>
      <c r="K18" s="591">
        <v>20</v>
      </c>
      <c r="L18" s="591">
        <f t="shared" si="0"/>
        <v>8396.8389999999999</v>
      </c>
      <c r="M18" s="453"/>
      <c r="O18" s="592">
        <v>8376.8389999999999</v>
      </c>
      <c r="P18" s="592">
        <v>3500</v>
      </c>
      <c r="Q18" s="592">
        <v>14.516</v>
      </c>
      <c r="R18" s="592">
        <v>0</v>
      </c>
      <c r="S18" s="592">
        <f t="shared" si="2"/>
        <v>11891.355</v>
      </c>
      <c r="U18" s="592">
        <f t="shared" si="1"/>
        <v>3494.5159999999996</v>
      </c>
      <c r="V18" s="593">
        <f t="shared" si="3"/>
        <v>0.29387029484865262</v>
      </c>
      <c r="Z18" s="592">
        <f t="shared" si="4"/>
        <v>11876.839</v>
      </c>
      <c r="AA18" s="592">
        <f t="shared" si="5"/>
        <v>-3479.9999999999995</v>
      </c>
      <c r="AE18" s="82"/>
      <c r="AF18" s="82"/>
      <c r="AG18" s="82"/>
      <c r="AH18" s="82"/>
      <c r="AI18" s="82"/>
    </row>
    <row r="19" spans="1:35" s="355" customFormat="1" x14ac:dyDescent="0.25">
      <c r="A19" s="601" t="s">
        <v>242</v>
      </c>
      <c r="B19" s="354">
        <f t="shared" si="6"/>
        <v>45641</v>
      </c>
      <c r="C19" s="590">
        <v>3700</v>
      </c>
      <c r="D19" s="591">
        <v>937</v>
      </c>
      <c r="E19" s="591">
        <v>485</v>
      </c>
      <c r="F19" s="591">
        <v>235</v>
      </c>
      <c r="G19" s="591">
        <v>354.839</v>
      </c>
      <c r="H19" s="591">
        <v>1080</v>
      </c>
      <c r="I19" s="591">
        <v>785</v>
      </c>
      <c r="J19" s="591">
        <v>0</v>
      </c>
      <c r="K19" s="591">
        <v>20</v>
      </c>
      <c r="L19" s="591">
        <f t="shared" si="0"/>
        <v>7596.8389999999999</v>
      </c>
      <c r="M19" s="453"/>
      <c r="O19" s="592">
        <v>7576.8389999999999</v>
      </c>
      <c r="P19" s="592">
        <v>3500</v>
      </c>
      <c r="Q19" s="592">
        <v>14.516</v>
      </c>
      <c r="R19" s="592">
        <v>0</v>
      </c>
      <c r="S19" s="592">
        <f t="shared" si="2"/>
        <v>11091.355</v>
      </c>
      <c r="U19" s="592">
        <f t="shared" si="1"/>
        <v>3494.5159999999996</v>
      </c>
      <c r="V19" s="593">
        <f t="shared" si="3"/>
        <v>0.31506664424680303</v>
      </c>
      <c r="Z19" s="592">
        <f t="shared" si="4"/>
        <v>11076.839</v>
      </c>
      <c r="AA19" s="592">
        <f t="shared" si="5"/>
        <v>-3479.9999999999995</v>
      </c>
      <c r="AE19" s="594"/>
      <c r="AF19" s="594"/>
      <c r="AG19" s="594"/>
      <c r="AH19" s="594"/>
      <c r="AI19" s="594"/>
    </row>
    <row r="20" spans="1:35" s="624" customFormat="1" x14ac:dyDescent="0.25">
      <c r="A20" s="619" t="s">
        <v>243</v>
      </c>
      <c r="B20" s="620">
        <f t="shared" si="6"/>
        <v>45642</v>
      </c>
      <c r="C20" s="621">
        <v>4500</v>
      </c>
      <c r="D20" s="622">
        <v>904</v>
      </c>
      <c r="E20" s="622">
        <v>485</v>
      </c>
      <c r="F20" s="622">
        <v>235</v>
      </c>
      <c r="G20" s="622">
        <v>354.839</v>
      </c>
      <c r="H20" s="622">
        <v>1080</v>
      </c>
      <c r="I20" s="622">
        <v>785</v>
      </c>
      <c r="J20" s="622">
        <v>0</v>
      </c>
      <c r="K20" s="622">
        <v>20</v>
      </c>
      <c r="L20" s="622">
        <f t="shared" si="0"/>
        <v>8363.8389999999999</v>
      </c>
      <c r="M20" s="623" t="s">
        <v>216</v>
      </c>
      <c r="O20" s="625">
        <v>8343.8389999999999</v>
      </c>
      <c r="P20" s="625">
        <v>3500</v>
      </c>
      <c r="Q20" s="625">
        <v>14.516</v>
      </c>
      <c r="R20" s="625">
        <v>0</v>
      </c>
      <c r="S20" s="625">
        <f t="shared" si="2"/>
        <v>11858.355</v>
      </c>
      <c r="U20" s="625">
        <f t="shared" si="1"/>
        <v>3494.5159999999996</v>
      </c>
      <c r="V20" s="626">
        <f t="shared" si="3"/>
        <v>0.29468809122344541</v>
      </c>
      <c r="Z20" s="625">
        <f t="shared" si="4"/>
        <v>11843.839</v>
      </c>
      <c r="AA20" s="625">
        <f t="shared" si="5"/>
        <v>-3479.9999999999995</v>
      </c>
      <c r="AE20" s="627"/>
      <c r="AF20" s="627"/>
      <c r="AG20" s="627"/>
      <c r="AH20" s="627"/>
      <c r="AI20" s="627"/>
    </row>
    <row r="21" spans="1:35" s="624" customFormat="1" x14ac:dyDescent="0.25">
      <c r="A21" s="619" t="s">
        <v>244</v>
      </c>
      <c r="B21" s="620">
        <f t="shared" si="6"/>
        <v>45643</v>
      </c>
      <c r="C21" s="621">
        <v>4500</v>
      </c>
      <c r="D21" s="622">
        <v>926</v>
      </c>
      <c r="E21" s="622">
        <v>485</v>
      </c>
      <c r="F21" s="622">
        <v>235</v>
      </c>
      <c r="G21" s="622">
        <v>354.839</v>
      </c>
      <c r="H21" s="622">
        <v>1080</v>
      </c>
      <c r="I21" s="622">
        <v>785</v>
      </c>
      <c r="J21" s="622">
        <v>0</v>
      </c>
      <c r="K21" s="622">
        <v>20</v>
      </c>
      <c r="L21" s="622">
        <f t="shared" si="0"/>
        <v>8385.8389999999999</v>
      </c>
      <c r="M21" s="623"/>
      <c r="O21" s="625">
        <v>8365.8389999999999</v>
      </c>
      <c r="P21" s="625">
        <v>3500</v>
      </c>
      <c r="Q21" s="625">
        <v>14.516</v>
      </c>
      <c r="R21" s="625">
        <v>0</v>
      </c>
      <c r="S21" s="625">
        <f t="shared" si="2"/>
        <v>11880.355</v>
      </c>
      <c r="U21" s="625">
        <f t="shared" si="1"/>
        <v>3494.5159999999996</v>
      </c>
      <c r="V21" s="626">
        <f t="shared" si="3"/>
        <v>0.29414238884275762</v>
      </c>
      <c r="Z21" s="625">
        <f t="shared" si="4"/>
        <v>11865.839</v>
      </c>
      <c r="AA21" s="625">
        <f t="shared" si="5"/>
        <v>-3479.9999999999995</v>
      </c>
      <c r="AE21" s="627"/>
      <c r="AF21" s="627"/>
      <c r="AG21" s="627"/>
      <c r="AH21" s="627"/>
      <c r="AI21" s="627"/>
    </row>
    <row r="22" spans="1:35" s="355" customFormat="1" x14ac:dyDescent="0.25">
      <c r="A22" s="601" t="s">
        <v>245</v>
      </c>
      <c r="B22" s="354">
        <f t="shared" si="6"/>
        <v>45644</v>
      </c>
      <c r="C22" s="590">
        <v>4500</v>
      </c>
      <c r="D22" s="591">
        <v>904</v>
      </c>
      <c r="E22" s="591">
        <v>485</v>
      </c>
      <c r="F22" s="591">
        <v>235</v>
      </c>
      <c r="G22" s="591">
        <v>354.839</v>
      </c>
      <c r="H22" s="591">
        <v>1080</v>
      </c>
      <c r="I22" s="591">
        <v>785</v>
      </c>
      <c r="J22" s="591">
        <v>0</v>
      </c>
      <c r="K22" s="591">
        <v>20</v>
      </c>
      <c r="L22" s="591">
        <f t="shared" si="0"/>
        <v>8363.8389999999999</v>
      </c>
      <c r="M22" s="453"/>
      <c r="O22" s="592">
        <v>8343.8389999999999</v>
      </c>
      <c r="P22" s="592">
        <v>3500</v>
      </c>
      <c r="Q22" s="592">
        <v>14.516</v>
      </c>
      <c r="R22" s="592">
        <v>0</v>
      </c>
      <c r="S22" s="592">
        <f t="shared" si="2"/>
        <v>11858.355</v>
      </c>
      <c r="U22" s="592">
        <f t="shared" si="1"/>
        <v>3494.5159999999996</v>
      </c>
      <c r="V22" s="593">
        <f t="shared" si="3"/>
        <v>0.29468809122344541</v>
      </c>
      <c r="Z22" s="592">
        <f t="shared" si="4"/>
        <v>11843.839</v>
      </c>
      <c r="AA22" s="592">
        <f t="shared" si="5"/>
        <v>-3479.9999999999995</v>
      </c>
      <c r="AE22" s="606"/>
      <c r="AF22" s="606"/>
      <c r="AG22" s="606"/>
      <c r="AH22" s="606"/>
      <c r="AI22" s="606"/>
    </row>
    <row r="23" spans="1:35" s="355" customFormat="1" x14ac:dyDescent="0.25">
      <c r="A23" s="601" t="s">
        <v>246</v>
      </c>
      <c r="B23" s="354">
        <f t="shared" si="6"/>
        <v>45645</v>
      </c>
      <c r="C23" s="590">
        <v>4500</v>
      </c>
      <c r="D23" s="591">
        <v>926</v>
      </c>
      <c r="E23" s="591">
        <v>485</v>
      </c>
      <c r="F23" s="591">
        <v>235</v>
      </c>
      <c r="G23" s="591">
        <v>354.839</v>
      </c>
      <c r="H23" s="591">
        <v>1080</v>
      </c>
      <c r="I23" s="591">
        <v>785</v>
      </c>
      <c r="J23" s="591">
        <v>0</v>
      </c>
      <c r="K23" s="591">
        <v>20</v>
      </c>
      <c r="L23" s="591">
        <f t="shared" si="0"/>
        <v>8385.8389999999999</v>
      </c>
      <c r="M23" s="453"/>
      <c r="O23" s="592">
        <v>8365.8389999999999</v>
      </c>
      <c r="P23" s="592">
        <v>3500</v>
      </c>
      <c r="Q23" s="592">
        <v>14.516</v>
      </c>
      <c r="R23" s="592">
        <v>0</v>
      </c>
      <c r="S23" s="592">
        <f t="shared" si="2"/>
        <v>11880.355</v>
      </c>
      <c r="U23" s="592">
        <f t="shared" si="1"/>
        <v>3494.5159999999996</v>
      </c>
      <c r="V23" s="593">
        <f t="shared" si="3"/>
        <v>0.29414238884275762</v>
      </c>
      <c r="Z23" s="592">
        <f t="shared" si="4"/>
        <v>11865.839</v>
      </c>
      <c r="AA23" s="592">
        <f t="shared" si="5"/>
        <v>-3479.9999999999995</v>
      </c>
      <c r="AE23" s="82"/>
      <c r="AF23" s="82"/>
      <c r="AG23" s="82"/>
      <c r="AH23" s="82"/>
      <c r="AI23" s="82"/>
    </row>
    <row r="24" spans="1:35" s="355" customFormat="1" x14ac:dyDescent="0.25">
      <c r="A24" s="601" t="s">
        <v>247</v>
      </c>
      <c r="B24" s="354">
        <f t="shared" si="6"/>
        <v>45646</v>
      </c>
      <c r="C24" s="590">
        <v>4500</v>
      </c>
      <c r="D24" s="591">
        <v>904</v>
      </c>
      <c r="E24" s="591">
        <v>485</v>
      </c>
      <c r="F24" s="591">
        <v>235</v>
      </c>
      <c r="G24" s="591">
        <v>354.839</v>
      </c>
      <c r="H24" s="591">
        <v>1080</v>
      </c>
      <c r="I24" s="591">
        <v>785</v>
      </c>
      <c r="J24" s="591">
        <v>0</v>
      </c>
      <c r="K24" s="591">
        <v>20</v>
      </c>
      <c r="L24" s="591">
        <f t="shared" si="0"/>
        <v>8363.8389999999999</v>
      </c>
      <c r="M24" s="453"/>
      <c r="O24" s="592">
        <v>8343.8389999999999</v>
      </c>
      <c r="P24" s="592">
        <v>3500</v>
      </c>
      <c r="Q24" s="592">
        <v>14.516</v>
      </c>
      <c r="R24" s="592">
        <v>0</v>
      </c>
      <c r="S24" s="592">
        <f t="shared" si="2"/>
        <v>11858.355</v>
      </c>
      <c r="U24" s="592">
        <f t="shared" si="1"/>
        <v>3494.5159999999996</v>
      </c>
      <c r="V24" s="593">
        <f t="shared" si="3"/>
        <v>0.29468809122344541</v>
      </c>
      <c r="Z24" s="592">
        <f t="shared" si="4"/>
        <v>11843.839</v>
      </c>
      <c r="AA24" s="592">
        <f t="shared" si="5"/>
        <v>-3479.9999999999995</v>
      </c>
      <c r="AE24" s="82"/>
      <c r="AF24" s="82"/>
      <c r="AG24" s="82"/>
      <c r="AH24" s="82"/>
      <c r="AI24" s="82"/>
    </row>
    <row r="25" spans="1:35" s="355" customFormat="1" x14ac:dyDescent="0.25">
      <c r="A25" s="601" t="s">
        <v>248</v>
      </c>
      <c r="B25" s="354">
        <f t="shared" si="6"/>
        <v>45647</v>
      </c>
      <c r="C25" s="590">
        <v>4500</v>
      </c>
      <c r="D25" s="591">
        <v>937</v>
      </c>
      <c r="E25" s="591">
        <v>485</v>
      </c>
      <c r="F25" s="591">
        <v>235</v>
      </c>
      <c r="G25" s="591">
        <v>354.839</v>
      </c>
      <c r="H25" s="591">
        <v>1080</v>
      </c>
      <c r="I25" s="591">
        <v>785</v>
      </c>
      <c r="J25" s="591">
        <v>0</v>
      </c>
      <c r="K25" s="591">
        <v>20</v>
      </c>
      <c r="L25" s="591">
        <f t="shared" si="0"/>
        <v>8396.8389999999999</v>
      </c>
      <c r="M25" s="453"/>
      <c r="O25" s="592">
        <v>8376.8389999999999</v>
      </c>
      <c r="P25" s="592">
        <v>3500</v>
      </c>
      <c r="Q25" s="592">
        <v>14.516</v>
      </c>
      <c r="R25" s="592">
        <v>0</v>
      </c>
      <c r="S25" s="592">
        <f t="shared" si="2"/>
        <v>11891.355</v>
      </c>
      <c r="U25" s="592">
        <f t="shared" si="1"/>
        <v>3494.5159999999996</v>
      </c>
      <c r="V25" s="593">
        <f t="shared" si="3"/>
        <v>0.29387029484865262</v>
      </c>
      <c r="Z25" s="592">
        <f t="shared" si="4"/>
        <v>11876.839</v>
      </c>
      <c r="AA25" s="592">
        <f t="shared" si="5"/>
        <v>-3479.9999999999995</v>
      </c>
      <c r="AE25" s="82"/>
      <c r="AF25" s="82"/>
      <c r="AG25" s="82"/>
      <c r="AH25" s="82"/>
      <c r="AI25" s="82"/>
    </row>
    <row r="26" spans="1:35" s="355" customFormat="1" x14ac:dyDescent="0.25">
      <c r="A26" s="601" t="s">
        <v>242</v>
      </c>
      <c r="B26" s="354">
        <f t="shared" si="6"/>
        <v>45648</v>
      </c>
      <c r="C26" s="590">
        <v>4500</v>
      </c>
      <c r="D26" s="591">
        <v>937</v>
      </c>
      <c r="E26" s="591">
        <v>485</v>
      </c>
      <c r="F26" s="591">
        <v>235</v>
      </c>
      <c r="G26" s="591">
        <v>354.839</v>
      </c>
      <c r="H26" s="591">
        <v>1080</v>
      </c>
      <c r="I26" s="591">
        <v>785</v>
      </c>
      <c r="J26" s="591">
        <v>0</v>
      </c>
      <c r="K26" s="591">
        <v>20</v>
      </c>
      <c r="L26" s="591">
        <f t="shared" si="0"/>
        <v>8396.8389999999999</v>
      </c>
      <c r="M26" s="453"/>
      <c r="O26" s="592">
        <v>8376.8389999999999</v>
      </c>
      <c r="P26" s="592">
        <v>3500</v>
      </c>
      <c r="Q26" s="592">
        <v>14.516</v>
      </c>
      <c r="R26" s="592">
        <v>0</v>
      </c>
      <c r="S26" s="592">
        <f t="shared" si="2"/>
        <v>11891.355</v>
      </c>
      <c r="U26" s="592">
        <f t="shared" si="1"/>
        <v>3494.5159999999996</v>
      </c>
      <c r="V26" s="593">
        <f t="shared" si="3"/>
        <v>0.29387029484865262</v>
      </c>
      <c r="Z26" s="592">
        <f t="shared" si="4"/>
        <v>11876.839</v>
      </c>
      <c r="AA26" s="592">
        <f t="shared" si="5"/>
        <v>-3479.9999999999995</v>
      </c>
      <c r="AE26" s="82"/>
      <c r="AF26" s="82"/>
      <c r="AG26" s="82"/>
      <c r="AH26" s="82"/>
      <c r="AI26" s="82"/>
    </row>
    <row r="27" spans="1:35" s="624" customFormat="1" x14ac:dyDescent="0.25">
      <c r="A27" s="619" t="s">
        <v>243</v>
      </c>
      <c r="B27" s="620">
        <f t="shared" si="6"/>
        <v>45649</v>
      </c>
      <c r="C27" s="621">
        <v>4500</v>
      </c>
      <c r="D27" s="622">
        <v>904</v>
      </c>
      <c r="E27" s="622">
        <v>485</v>
      </c>
      <c r="F27" s="622">
        <v>235</v>
      </c>
      <c r="G27" s="622">
        <v>354.839</v>
      </c>
      <c r="H27" s="622">
        <v>1080</v>
      </c>
      <c r="I27" s="622">
        <v>785</v>
      </c>
      <c r="J27" s="622">
        <v>0</v>
      </c>
      <c r="K27" s="622">
        <v>20</v>
      </c>
      <c r="L27" s="622">
        <f t="shared" si="0"/>
        <v>8363.8389999999999</v>
      </c>
      <c r="M27" s="623"/>
      <c r="O27" s="625">
        <v>8343.8389999999999</v>
      </c>
      <c r="P27" s="625">
        <v>3500</v>
      </c>
      <c r="Q27" s="625">
        <v>14.516</v>
      </c>
      <c r="R27" s="625">
        <v>0</v>
      </c>
      <c r="S27" s="625">
        <f t="shared" si="2"/>
        <v>11858.355</v>
      </c>
      <c r="U27" s="625">
        <f t="shared" si="1"/>
        <v>3494.5159999999996</v>
      </c>
      <c r="V27" s="626">
        <f t="shared" si="3"/>
        <v>0.29468809122344541</v>
      </c>
      <c r="Z27" s="625">
        <f t="shared" si="4"/>
        <v>11843.839</v>
      </c>
      <c r="AA27" s="625">
        <f t="shared" si="5"/>
        <v>-3479.9999999999995</v>
      </c>
      <c r="AE27" s="627"/>
      <c r="AF27" s="627"/>
      <c r="AG27" s="627"/>
      <c r="AH27" s="627"/>
      <c r="AI27" s="627"/>
    </row>
    <row r="28" spans="1:35" s="624" customFormat="1" x14ac:dyDescent="0.25">
      <c r="A28" s="619" t="s">
        <v>244</v>
      </c>
      <c r="B28" s="620">
        <f t="shared" si="6"/>
        <v>45650</v>
      </c>
      <c r="C28" s="621">
        <v>4500</v>
      </c>
      <c r="D28" s="622">
        <v>948</v>
      </c>
      <c r="E28" s="622">
        <v>485</v>
      </c>
      <c r="F28" s="622">
        <v>235</v>
      </c>
      <c r="G28" s="622">
        <v>354.839</v>
      </c>
      <c r="H28" s="622">
        <v>1080</v>
      </c>
      <c r="I28" s="622">
        <v>785</v>
      </c>
      <c r="J28" s="622">
        <v>0</v>
      </c>
      <c r="K28" s="622">
        <v>20</v>
      </c>
      <c r="L28" s="622">
        <f t="shared" si="0"/>
        <v>8407.8389999999999</v>
      </c>
      <c r="M28" s="623"/>
      <c r="O28" s="625">
        <v>8387.8389999999999</v>
      </c>
      <c r="P28" s="625">
        <v>3500</v>
      </c>
      <c r="Q28" s="625">
        <v>14.516</v>
      </c>
      <c r="R28" s="625">
        <v>0</v>
      </c>
      <c r="S28" s="625">
        <f t="shared" si="2"/>
        <v>11902.355</v>
      </c>
      <c r="U28" s="625">
        <f t="shared" si="1"/>
        <v>3494.5159999999996</v>
      </c>
      <c r="V28" s="626">
        <f t="shared" si="3"/>
        <v>0.29359870378593139</v>
      </c>
      <c r="Z28" s="625">
        <f t="shared" si="4"/>
        <v>11887.839</v>
      </c>
      <c r="AA28" s="625">
        <f t="shared" si="5"/>
        <v>-3479.9999999999995</v>
      </c>
      <c r="AE28" s="627"/>
      <c r="AF28" s="627"/>
      <c r="AG28" s="627"/>
      <c r="AH28" s="627"/>
      <c r="AI28" s="627"/>
    </row>
    <row r="29" spans="1:35" s="355" customFormat="1" x14ac:dyDescent="0.25">
      <c r="A29" s="601" t="s">
        <v>245</v>
      </c>
      <c r="B29" s="354">
        <f t="shared" si="6"/>
        <v>45651</v>
      </c>
      <c r="C29" s="590">
        <v>4500</v>
      </c>
      <c r="D29" s="591">
        <v>948</v>
      </c>
      <c r="E29" s="591">
        <v>485</v>
      </c>
      <c r="F29" s="591">
        <v>235</v>
      </c>
      <c r="G29" s="591">
        <v>354.839</v>
      </c>
      <c r="H29" s="591">
        <v>1080</v>
      </c>
      <c r="I29" s="591">
        <v>785</v>
      </c>
      <c r="J29" s="591">
        <v>0</v>
      </c>
      <c r="K29" s="591">
        <v>20</v>
      </c>
      <c r="L29" s="591">
        <f t="shared" si="0"/>
        <v>8407.8389999999999</v>
      </c>
      <c r="M29" s="453"/>
      <c r="O29" s="592">
        <v>8387.8389999999999</v>
      </c>
      <c r="P29" s="592">
        <v>3500</v>
      </c>
      <c r="Q29" s="592">
        <v>14.516</v>
      </c>
      <c r="R29" s="592">
        <v>0</v>
      </c>
      <c r="S29" s="592">
        <f t="shared" si="2"/>
        <v>11902.355</v>
      </c>
      <c r="U29" s="592">
        <f t="shared" si="1"/>
        <v>3494.5159999999996</v>
      </c>
      <c r="V29" s="593">
        <f t="shared" si="3"/>
        <v>0.29359870378593139</v>
      </c>
      <c r="Z29" s="592">
        <f t="shared" si="4"/>
        <v>11887.839</v>
      </c>
      <c r="AA29" s="592">
        <f t="shared" si="5"/>
        <v>-3479.9999999999995</v>
      </c>
      <c r="AE29" s="82"/>
      <c r="AF29" s="82"/>
      <c r="AG29" s="82"/>
      <c r="AH29" s="82"/>
      <c r="AI29" s="82"/>
    </row>
    <row r="30" spans="1:35" s="355" customFormat="1" x14ac:dyDescent="0.25">
      <c r="A30" s="601" t="s">
        <v>246</v>
      </c>
      <c r="B30" s="354">
        <f t="shared" si="6"/>
        <v>45652</v>
      </c>
      <c r="C30" s="590">
        <v>4500</v>
      </c>
      <c r="D30" s="591">
        <v>948</v>
      </c>
      <c r="E30" s="591">
        <v>485</v>
      </c>
      <c r="F30" s="591">
        <v>235</v>
      </c>
      <c r="G30" s="591">
        <v>354.839</v>
      </c>
      <c r="H30" s="591">
        <v>1080</v>
      </c>
      <c r="I30" s="591">
        <v>785</v>
      </c>
      <c r="J30" s="591">
        <v>0</v>
      </c>
      <c r="K30" s="591">
        <v>20</v>
      </c>
      <c r="L30" s="591">
        <f t="shared" si="0"/>
        <v>8407.8389999999999</v>
      </c>
      <c r="M30" s="453"/>
      <c r="O30" s="592">
        <v>8387.8389999999999</v>
      </c>
      <c r="P30" s="592">
        <v>3500</v>
      </c>
      <c r="Q30" s="592">
        <v>14.516</v>
      </c>
      <c r="R30" s="592">
        <v>0</v>
      </c>
      <c r="S30" s="592">
        <f t="shared" si="2"/>
        <v>11902.355</v>
      </c>
      <c r="U30" s="592">
        <f t="shared" si="1"/>
        <v>3494.5159999999996</v>
      </c>
      <c r="V30" s="593">
        <f t="shared" si="3"/>
        <v>0.29359870378593139</v>
      </c>
      <c r="Z30" s="592">
        <f t="shared" si="4"/>
        <v>11887.839</v>
      </c>
      <c r="AA30" s="592">
        <f t="shared" si="5"/>
        <v>-3479.9999999999995</v>
      </c>
      <c r="AE30" s="82"/>
      <c r="AF30" s="82"/>
      <c r="AG30" s="82"/>
      <c r="AH30" s="82"/>
      <c r="AI30" s="82"/>
    </row>
    <row r="31" spans="1:35" s="355" customFormat="1" x14ac:dyDescent="0.25">
      <c r="A31" s="601" t="s">
        <v>247</v>
      </c>
      <c r="B31" s="354">
        <f t="shared" si="6"/>
        <v>45653</v>
      </c>
      <c r="C31" s="590">
        <v>4500</v>
      </c>
      <c r="D31" s="591">
        <v>904</v>
      </c>
      <c r="E31" s="591">
        <v>485</v>
      </c>
      <c r="F31" s="591">
        <v>235</v>
      </c>
      <c r="G31" s="591">
        <v>354.839</v>
      </c>
      <c r="H31" s="591">
        <v>1080</v>
      </c>
      <c r="I31" s="591">
        <v>785</v>
      </c>
      <c r="J31" s="591">
        <v>0</v>
      </c>
      <c r="K31" s="591">
        <v>20</v>
      </c>
      <c r="L31" s="591">
        <f t="shared" si="0"/>
        <v>8363.8389999999999</v>
      </c>
      <c r="M31" s="453"/>
      <c r="O31" s="592">
        <v>8343.8389999999999</v>
      </c>
      <c r="P31" s="592">
        <v>3500</v>
      </c>
      <c r="Q31" s="592">
        <v>14.516</v>
      </c>
      <c r="R31" s="592">
        <v>0</v>
      </c>
      <c r="S31" s="592">
        <f t="shared" si="2"/>
        <v>11858.355</v>
      </c>
      <c r="U31" s="592">
        <f t="shared" si="1"/>
        <v>3494.5159999999996</v>
      </c>
      <c r="V31" s="593">
        <f t="shared" si="3"/>
        <v>0.29468809122344541</v>
      </c>
      <c r="Z31" s="592">
        <f t="shared" si="4"/>
        <v>11843.839</v>
      </c>
      <c r="AA31" s="592">
        <f t="shared" si="5"/>
        <v>-3479.9999999999995</v>
      </c>
      <c r="AE31" s="82"/>
      <c r="AF31" s="82"/>
      <c r="AG31" s="82"/>
      <c r="AH31" s="82"/>
      <c r="AI31" s="82"/>
    </row>
    <row r="32" spans="1:35" s="355" customFormat="1" x14ac:dyDescent="0.25">
      <c r="A32" s="601" t="s">
        <v>248</v>
      </c>
      <c r="B32" s="354">
        <f t="shared" si="6"/>
        <v>45654</v>
      </c>
      <c r="C32" s="590">
        <v>4500</v>
      </c>
      <c r="D32" s="591">
        <v>937</v>
      </c>
      <c r="E32" s="591">
        <v>485</v>
      </c>
      <c r="F32" s="591">
        <v>235</v>
      </c>
      <c r="G32" s="591">
        <v>354.839</v>
      </c>
      <c r="H32" s="591">
        <v>1080</v>
      </c>
      <c r="I32" s="591">
        <v>785</v>
      </c>
      <c r="J32" s="591">
        <v>0</v>
      </c>
      <c r="K32" s="591">
        <v>20</v>
      </c>
      <c r="L32" s="591">
        <f t="shared" si="0"/>
        <v>8396.8389999999999</v>
      </c>
      <c r="M32" s="453"/>
      <c r="O32" s="592">
        <v>8376.8389999999999</v>
      </c>
      <c r="P32" s="592">
        <v>3500</v>
      </c>
      <c r="Q32" s="592">
        <v>14.516</v>
      </c>
      <c r="R32" s="592">
        <v>0</v>
      </c>
      <c r="S32" s="592">
        <f t="shared" si="2"/>
        <v>11891.355</v>
      </c>
      <c r="U32" s="592">
        <f t="shared" si="1"/>
        <v>3494.5159999999996</v>
      </c>
      <c r="V32" s="593">
        <f t="shared" si="3"/>
        <v>0.29387029484865262</v>
      </c>
      <c r="Z32" s="592">
        <f t="shared" si="4"/>
        <v>11876.839</v>
      </c>
      <c r="AA32" s="592">
        <f t="shared" si="5"/>
        <v>-3479.9999999999995</v>
      </c>
      <c r="AE32" s="82"/>
      <c r="AF32" s="82"/>
      <c r="AG32" s="82"/>
      <c r="AH32" s="82"/>
      <c r="AI32" s="82"/>
    </row>
    <row r="33" spans="1:35" s="355" customFormat="1" x14ac:dyDescent="0.25">
      <c r="A33" s="601" t="s">
        <v>242</v>
      </c>
      <c r="B33" s="354">
        <f t="shared" si="6"/>
        <v>45655</v>
      </c>
      <c r="C33" s="590">
        <v>4500</v>
      </c>
      <c r="D33" s="591">
        <v>937</v>
      </c>
      <c r="E33" s="591">
        <v>485</v>
      </c>
      <c r="F33" s="591">
        <v>235</v>
      </c>
      <c r="G33" s="591">
        <v>354.839</v>
      </c>
      <c r="H33" s="591">
        <v>1080</v>
      </c>
      <c r="I33" s="591">
        <v>785</v>
      </c>
      <c r="J33" s="591">
        <v>0</v>
      </c>
      <c r="K33" s="591">
        <v>20</v>
      </c>
      <c r="L33" s="591">
        <f t="shared" si="0"/>
        <v>8396.8389999999999</v>
      </c>
      <c r="M33" s="453"/>
      <c r="O33" s="592">
        <v>8376.8389999999999</v>
      </c>
      <c r="P33" s="592">
        <v>3500</v>
      </c>
      <c r="Q33" s="592">
        <v>14.516</v>
      </c>
      <c r="R33" s="592">
        <v>0</v>
      </c>
      <c r="S33" s="592">
        <f t="shared" si="2"/>
        <v>11891.355</v>
      </c>
      <c r="U33" s="592">
        <f t="shared" si="1"/>
        <v>3494.5159999999996</v>
      </c>
      <c r="V33" s="593">
        <f t="shared" si="3"/>
        <v>0.29387029484865262</v>
      </c>
      <c r="Z33" s="592">
        <f t="shared" si="4"/>
        <v>11876.839</v>
      </c>
      <c r="AA33" s="592">
        <f t="shared" si="5"/>
        <v>-3479.9999999999995</v>
      </c>
      <c r="AE33" s="82"/>
      <c r="AF33" s="82"/>
      <c r="AG33" s="82"/>
      <c r="AH33" s="82"/>
      <c r="AI33" s="82"/>
    </row>
    <row r="34" spans="1:35" s="355" customFormat="1" x14ac:dyDescent="0.25">
      <c r="A34" s="601"/>
      <c r="B34" s="354">
        <f t="shared" si="6"/>
        <v>45656</v>
      </c>
      <c r="C34" s="590">
        <v>4500</v>
      </c>
      <c r="D34" s="591">
        <v>904</v>
      </c>
      <c r="E34" s="591">
        <v>485</v>
      </c>
      <c r="F34" s="591">
        <v>235</v>
      </c>
      <c r="G34" s="591">
        <v>354.839</v>
      </c>
      <c r="H34" s="591">
        <v>1080</v>
      </c>
      <c r="I34" s="591">
        <v>785</v>
      </c>
      <c r="J34" s="591">
        <v>0</v>
      </c>
      <c r="K34" s="591">
        <v>20</v>
      </c>
      <c r="L34" s="591">
        <f t="shared" si="0"/>
        <v>8363.8389999999999</v>
      </c>
      <c r="M34" s="453"/>
      <c r="O34" s="592">
        <v>8343.8389999999999</v>
      </c>
      <c r="P34" s="592">
        <v>3500</v>
      </c>
      <c r="Q34" s="592">
        <v>14.516</v>
      </c>
      <c r="R34" s="592"/>
      <c r="S34" s="592">
        <f t="shared" si="2"/>
        <v>11858.355</v>
      </c>
      <c r="U34" s="592">
        <f t="shared" si="1"/>
        <v>3494.5159999999996</v>
      </c>
      <c r="V34" s="593"/>
      <c r="Z34" s="592"/>
      <c r="AA34" s="592"/>
      <c r="AE34" s="82"/>
      <c r="AF34" s="82"/>
      <c r="AG34" s="82"/>
      <c r="AH34" s="82"/>
      <c r="AI34" s="82"/>
    </row>
    <row r="35" spans="1:35" s="624" customFormat="1" ht="15.75" thickBot="1" x14ac:dyDescent="0.3">
      <c r="A35" s="619" t="s">
        <v>243</v>
      </c>
      <c r="B35" s="354">
        <f t="shared" si="6"/>
        <v>45657</v>
      </c>
      <c r="C35" s="621">
        <v>4500</v>
      </c>
      <c r="D35" s="622">
        <v>937</v>
      </c>
      <c r="E35" s="622">
        <v>485</v>
      </c>
      <c r="F35" s="622">
        <v>235</v>
      </c>
      <c r="G35" s="622">
        <v>354.839</v>
      </c>
      <c r="H35" s="622">
        <v>1080</v>
      </c>
      <c r="I35" s="622">
        <v>785</v>
      </c>
      <c r="J35" s="622">
        <v>0</v>
      </c>
      <c r="K35" s="622">
        <v>20</v>
      </c>
      <c r="L35" s="622">
        <f t="shared" si="0"/>
        <v>8396.8389999999999</v>
      </c>
      <c r="M35" s="623"/>
      <c r="O35" s="625">
        <v>8376.8389999999999</v>
      </c>
      <c r="P35" s="625">
        <v>3500</v>
      </c>
      <c r="Q35" s="625">
        <v>14.52</v>
      </c>
      <c r="R35" s="625">
        <v>0</v>
      </c>
      <c r="S35" s="625">
        <f t="shared" si="2"/>
        <v>11891.359</v>
      </c>
      <c r="U35" s="592">
        <f t="shared" si="1"/>
        <v>3494.5200000000004</v>
      </c>
      <c r="V35" s="626">
        <f t="shared" si="3"/>
        <v>0.29387053237565197</v>
      </c>
      <c r="Z35" s="625">
        <f t="shared" si="4"/>
        <v>11876.839</v>
      </c>
      <c r="AA35" s="625">
        <f t="shared" si="5"/>
        <v>-3480.0000000000005</v>
      </c>
      <c r="AE35" s="627"/>
      <c r="AF35" s="627"/>
      <c r="AG35" s="627"/>
      <c r="AH35" s="627"/>
      <c r="AI35" s="627"/>
    </row>
    <row r="36" spans="1:35" ht="15.75" thickBot="1" x14ac:dyDescent="0.3">
      <c r="B36" s="350" t="s">
        <v>151</v>
      </c>
      <c r="C36" s="351">
        <f t="shared" ref="C36:L36" si="7">SUM(C4:C35)</f>
        <v>138700</v>
      </c>
      <c r="D36" s="352">
        <f t="shared" si="7"/>
        <v>28618</v>
      </c>
      <c r="E36" s="352">
        <f t="shared" si="7"/>
        <v>15035</v>
      </c>
      <c r="F36" s="352">
        <f t="shared" si="7"/>
        <v>7285</v>
      </c>
      <c r="G36" s="352">
        <f t="shared" si="7"/>
        <v>11000.009</v>
      </c>
      <c r="H36" s="352">
        <f t="shared" si="7"/>
        <v>29880</v>
      </c>
      <c r="I36" s="352">
        <f t="shared" si="7"/>
        <v>24335</v>
      </c>
      <c r="J36" s="352">
        <f t="shared" ref="J36" si="8">SUM(J4:J35)</f>
        <v>0</v>
      </c>
      <c r="K36" s="352">
        <f t="shared" si="7"/>
        <v>620</v>
      </c>
      <c r="L36" s="353">
        <f t="shared" si="7"/>
        <v>255473.00900000017</v>
      </c>
      <c r="O36" s="352">
        <f>SUM(O5:O35)</f>
        <v>254853.00900000017</v>
      </c>
      <c r="P36" s="352">
        <f>SUM(P5:P35)</f>
        <v>108500</v>
      </c>
      <c r="Q36" s="352">
        <f>SUM(Q5:Q35)</f>
        <v>450.00000000000017</v>
      </c>
      <c r="R36" s="455">
        <f>SUM(R5:R35)</f>
        <v>0</v>
      </c>
      <c r="S36" s="352">
        <f>SUM(S5:S35)</f>
        <v>363803.00899999996</v>
      </c>
      <c r="U36" s="352">
        <f>SUM(U5:U35)</f>
        <v>108330.00000000006</v>
      </c>
      <c r="V36" s="456">
        <f t="shared" si="3"/>
        <v>0.29777103905152164</v>
      </c>
      <c r="Z36" s="352">
        <f>SUM(Z5:Z35)</f>
        <v>351509.16999999993</v>
      </c>
      <c r="AA36" s="352">
        <f>SUM(AA5:AA35)</f>
        <v>-104399.99999999999</v>
      </c>
      <c r="AE36" s="1"/>
      <c r="AF36" s="1"/>
      <c r="AG36" s="1"/>
      <c r="AH36" s="1"/>
      <c r="AI36" s="1"/>
    </row>
    <row r="37" spans="1:35" x14ac:dyDescent="0.25">
      <c r="C37">
        <f>+C36/31</f>
        <v>4474.1935483870966</v>
      </c>
      <c r="D37">
        <f t="shared" ref="D37:K37" si="9">+D36/31</f>
        <v>923.16129032258061</v>
      </c>
      <c r="E37">
        <f t="shared" si="9"/>
        <v>485</v>
      </c>
      <c r="F37">
        <f t="shared" si="9"/>
        <v>235</v>
      </c>
      <c r="G37">
        <f t="shared" si="9"/>
        <v>354.839</v>
      </c>
      <c r="H37">
        <f t="shared" si="9"/>
        <v>963.87096774193549</v>
      </c>
      <c r="I37">
        <f t="shared" si="9"/>
        <v>785</v>
      </c>
      <c r="J37">
        <f t="shared" si="9"/>
        <v>0</v>
      </c>
      <c r="K37">
        <f t="shared" si="9"/>
        <v>20</v>
      </c>
      <c r="L37">
        <f>+L36/31</f>
        <v>8241.064806451619</v>
      </c>
      <c r="P37" s="349"/>
      <c r="X37" s="349"/>
    </row>
    <row r="38" spans="1:35" x14ac:dyDescent="0.25">
      <c r="P38" s="349"/>
      <c r="X38" s="349"/>
    </row>
    <row r="39" spans="1:35" x14ac:dyDescent="0.25">
      <c r="P39" s="349"/>
      <c r="X39" s="349"/>
    </row>
    <row r="40" spans="1:35" x14ac:dyDescent="0.25">
      <c r="P40" s="349"/>
      <c r="X40" s="349"/>
    </row>
    <row r="41" spans="1:35" ht="15.75" thickBot="1" x14ac:dyDescent="0.3">
      <c r="B41" s="708" t="s">
        <v>217</v>
      </c>
      <c r="C41" s="709"/>
      <c r="D41" s="709"/>
      <c r="E41" s="709"/>
      <c r="F41" s="709"/>
      <c r="G41" s="709"/>
      <c r="H41" s="709"/>
      <c r="I41" s="709"/>
      <c r="J41" s="709"/>
      <c r="K41" s="709"/>
      <c r="L41" s="709"/>
      <c r="O41" s="710" t="s">
        <v>218</v>
      </c>
      <c r="P41" s="711"/>
      <c r="Q41" s="711"/>
      <c r="R41" s="712"/>
    </row>
    <row r="42" spans="1:35" ht="75.75" thickBot="1" x14ac:dyDescent="0.3">
      <c r="B42" s="345" t="s">
        <v>8</v>
      </c>
      <c r="C42" s="346" t="s">
        <v>14</v>
      </c>
      <c r="D42" s="347" t="s">
        <v>15</v>
      </c>
      <c r="E42" s="347" t="s">
        <v>16</v>
      </c>
      <c r="F42" s="347" t="s">
        <v>17</v>
      </c>
      <c r="G42" s="347" t="s">
        <v>211</v>
      </c>
      <c r="H42" s="347" t="s">
        <v>37</v>
      </c>
      <c r="I42" s="347" t="s">
        <v>74</v>
      </c>
      <c r="J42" s="347" t="s">
        <v>142</v>
      </c>
      <c r="K42" s="347" t="s">
        <v>334</v>
      </c>
      <c r="L42" s="345" t="s">
        <v>151</v>
      </c>
      <c r="O42" s="347" t="s">
        <v>18</v>
      </c>
      <c r="P42" s="347" t="s">
        <v>213</v>
      </c>
      <c r="Q42" s="347" t="s">
        <v>321</v>
      </c>
      <c r="R42" s="347" t="s">
        <v>151</v>
      </c>
      <c r="T42" s="348" t="s">
        <v>219</v>
      </c>
      <c r="U42" s="348" t="s">
        <v>220</v>
      </c>
      <c r="V42" s="348" t="s">
        <v>221</v>
      </c>
      <c r="Y42" s="348" t="s">
        <v>214</v>
      </c>
      <c r="Z42" s="348" t="s">
        <v>215</v>
      </c>
    </row>
    <row r="43" spans="1:35" s="355" customFormat="1" x14ac:dyDescent="0.25">
      <c r="A43" s="601" t="s">
        <v>242</v>
      </c>
      <c r="B43" s="47">
        <v>45627</v>
      </c>
      <c r="C43" s="590">
        <f>+Плевен!H4+Плевен!K4</f>
        <v>4451.3440000000001</v>
      </c>
      <c r="D43" s="590">
        <f>+Бургас!E4+Бургас!H4</f>
        <v>1005.657</v>
      </c>
      <c r="E43" s="590">
        <f>+'Враца 1'!E4+'Враца 1'!H4</f>
        <v>487.35199999999998</v>
      </c>
      <c r="F43" s="590">
        <f>+'Враца 2'!E4+'Враца 2'!H4</f>
        <v>255.732</v>
      </c>
      <c r="G43" s="590">
        <f>+'Велико Търново'!C4+'Велико Търново'!E4</f>
        <v>251.23699999999999</v>
      </c>
      <c r="H43" s="590">
        <f>+Перник!E4+Перник!G4</f>
        <v>1009.206</v>
      </c>
      <c r="I43" s="590">
        <f>+Русе!E4+Русе!G4</f>
        <v>2282.7379999999998</v>
      </c>
      <c r="J43" s="590">
        <f>+Цени!Y3</f>
        <v>0</v>
      </c>
      <c r="K43" s="590">
        <f>+'Русе Кемикълс'!E4+Труд!E4+Берус!E4+'Бултекс 1'!E4+'Доминекс про'!E4+РВД!E4+Димитровград!E4+Булмаш!E4+ЛКМК!E4+'PPC Гърция'!D4+Алуком!E4+Илинден!E4+'Ваптех АМ'!E4+HERON!D4+'МЕТ ВИТОЛ ДХТ'!D4+'МЕТ ВИТОЛ ДХТ'!J4+'МЕТ ВИТОЛ ДХТ'!P4+'МЕТ ВИТОЛ ДХТ'!V4+'МЕТ ВИТОЛ ДХТ'!AB4+'МЕТ ВИТОЛ ДХТ'!AH4</f>
        <v>3245.33</v>
      </c>
      <c r="L43" s="590">
        <f t="shared" ref="L43:L60" si="10">SUM(C43:K43)</f>
        <v>12988.596</v>
      </c>
      <c r="M43" s="453">
        <f>+K43-Димитровград!E4</f>
        <v>3064.7469999999998</v>
      </c>
      <c r="O43" s="590">
        <f>+Плевен!H4+Бургас!E4+'Враца 1'!E4+'Враца 2'!E4+Перник!E4+Русе!E4+'Велико Търново'!C4</f>
        <v>8702.4609999999993</v>
      </c>
      <c r="P43" s="590">
        <f>+Цени!D3</f>
        <v>5245.5870000000004</v>
      </c>
      <c r="Q43" s="590">
        <f>+Цени!C3+Цени!Q3</f>
        <v>14.516</v>
      </c>
      <c r="R43" s="590">
        <f>SUM(O43:Q43)</f>
        <v>13962.563999999998</v>
      </c>
      <c r="T43" s="590">
        <f>+'Борса и балансиране'!C4</f>
        <v>0</v>
      </c>
      <c r="U43" s="590">
        <f>+'Борса и балансиране'!J4+'Борса и балансиране'!K4</f>
        <v>23.967999999999847</v>
      </c>
      <c r="V43" s="590">
        <f>+L43-R43-T43+U43</f>
        <v>-949.99999999999909</v>
      </c>
      <c r="W43" s="453"/>
      <c r="Y43" s="590">
        <f>+O43+P43</f>
        <v>13948.047999999999</v>
      </c>
      <c r="Z43" s="590">
        <f t="shared" ref="Z43" si="11">+Q43+T43</f>
        <v>14.516</v>
      </c>
    </row>
    <row r="44" spans="1:35" s="355" customFormat="1" x14ac:dyDescent="0.25">
      <c r="A44" s="601" t="s">
        <v>243</v>
      </c>
      <c r="B44" s="354">
        <f>+B43+1</f>
        <v>45628</v>
      </c>
      <c r="C44" s="590">
        <f>+Плевен!H5+Плевен!K5</f>
        <v>4557.4210000000003</v>
      </c>
      <c r="D44" s="590">
        <f>+Бургас!E5+Бургас!H5</f>
        <v>1175.4459999999999</v>
      </c>
      <c r="E44" s="590">
        <f>+'Враца 1'!E5+'Враца 1'!H5</f>
        <v>512.03499999999997</v>
      </c>
      <c r="F44" s="590">
        <f>+'Враца 2'!E5+'Враца 2'!H5</f>
        <v>289.27699999999999</v>
      </c>
      <c r="G44" s="590">
        <f>+'Велико Търново'!C5+'Велико Търново'!E5</f>
        <v>163.04599999999999</v>
      </c>
      <c r="H44" s="590">
        <f>+Перник!E5+Перник!G5</f>
        <v>738.43799999999999</v>
      </c>
      <c r="I44" s="590">
        <f>+Русе!E5+Русе!G5</f>
        <v>2252.1619999999998</v>
      </c>
      <c r="J44" s="590">
        <f>+Цени!Y4</f>
        <v>0</v>
      </c>
      <c r="K44" s="590">
        <f>+'Русе Кемикълс'!E5+Труд!E5+Берус!E5+'Бултекс 1'!E5+'Доминекс про'!E5+РВД!E5+Димитровград!E5+Булмаш!E5+ЛКМК!E5+'PPC Гърция'!D5+Алуком!E5+Илинден!E5+'Ваптех АМ'!E5+HERON!D5+'МЕТ ВИТОЛ ДХТ'!D5+'МЕТ ВИТОЛ ДХТ'!J5+'МЕТ ВИТОЛ ДХТ'!P5+'МЕТ ВИТОЛ ДХТ'!V5+'МЕТ ВИТОЛ ДХТ'!AB5+'МЕТ ВИТОЛ ДХТ'!AH5</f>
        <v>4630.4390000000003</v>
      </c>
      <c r="L44" s="590">
        <f t="shared" si="10"/>
        <v>14318.264000000001</v>
      </c>
      <c r="M44" s="453"/>
      <c r="O44" s="590">
        <f>+Плевен!H5+Бургас!E5+'Враца 1'!E5+'Враца 2'!E5+Перник!E5+Русе!E5+'Велико Търново'!C5</f>
        <v>9408.1610000000001</v>
      </c>
      <c r="P44" s="590">
        <f>+Цени!D4</f>
        <v>4845.5870000000004</v>
      </c>
      <c r="Q44" s="590">
        <f>+Цени!C4+Цени!Q4</f>
        <v>14.516</v>
      </c>
      <c r="R44" s="590">
        <f t="shared" ref="R44:R71" si="12">SUM(O44:Q44)</f>
        <v>14268.263999999999</v>
      </c>
      <c r="T44" s="590">
        <f>+'Борса и балансиране'!C5</f>
        <v>1500</v>
      </c>
      <c r="U44" s="590">
        <f>+'Борса и балансиране'!J5+'Борса и балансиране'!K5</f>
        <v>0</v>
      </c>
      <c r="V44" s="590">
        <f t="shared" ref="V44:V71" si="13">+L44-R44-T44+U44</f>
        <v>-1449.9999999999982</v>
      </c>
      <c r="Y44" s="590">
        <f t="shared" ref="Y44:Y70" si="14">+O44+P44</f>
        <v>14253.748</v>
      </c>
      <c r="Z44" s="590">
        <f>+Q44+T44</f>
        <v>1514.5160000000001</v>
      </c>
    </row>
    <row r="45" spans="1:35" s="355" customFormat="1" x14ac:dyDescent="0.25">
      <c r="A45" s="601" t="s">
        <v>244</v>
      </c>
      <c r="B45" s="354">
        <f t="shared" ref="B45:B71" si="15">+B44+1</f>
        <v>45629</v>
      </c>
      <c r="C45" s="590">
        <f>+Плевен!H6+Плевен!K6</f>
        <v>4415.7020000000002</v>
      </c>
      <c r="D45" s="590">
        <f>+Бургас!E6+Бургас!H6</f>
        <v>1153.9469999999999</v>
      </c>
      <c r="E45" s="590">
        <f>+'Враца 1'!E6+'Враца 1'!H6</f>
        <v>524.79</v>
      </c>
      <c r="F45" s="590">
        <f>+'Враца 2'!E6+'Враца 2'!H6</f>
        <v>399.17200000000003</v>
      </c>
      <c r="G45" s="590">
        <f>+'Велико Търново'!C6+'Велико Търново'!E6</f>
        <v>196.55799999999999</v>
      </c>
      <c r="H45" s="590">
        <f>+Перник!E6+Перник!G6</f>
        <v>738.14800000000002</v>
      </c>
      <c r="I45" s="590">
        <f>+Русе!E6+Русе!G6</f>
        <v>2960.9380000000001</v>
      </c>
      <c r="J45" s="590">
        <f>+Цени!Y5</f>
        <v>0</v>
      </c>
      <c r="K45" s="590">
        <f>+'Русе Кемикълс'!E6+Труд!E6+Берус!E6+'Бултекс 1'!E6+'Доминекс про'!E6+РВД!E6+Димитровград!E6+Булмаш!E6+ЛКМК!E6+'PPC Гърция'!D6+Алуком!E6+Илинден!E6+'Ваптех АМ'!E6+HERON!D6+'МЕТ ВИТОЛ ДХТ'!D6+'МЕТ ВИТОЛ ДХТ'!J6+'МЕТ ВИТОЛ ДХТ'!P6+'МЕТ ВИТОЛ ДХТ'!V6+'МЕТ ВИТОЛ ДХТ'!AB6+'МЕТ ВИТОЛ ДХТ'!AH6</f>
        <v>4608.53</v>
      </c>
      <c r="L45" s="590">
        <f t="shared" si="10"/>
        <v>14997.785</v>
      </c>
      <c r="M45" s="453"/>
      <c r="O45" s="590">
        <f>+Плевен!H6+Бургас!E6+'Враца 1'!E6+'Враца 2'!E6+Перник!E6+Русе!E6+'Велико Търново'!C6</f>
        <v>9796.7839999999997</v>
      </c>
      <c r="P45" s="590">
        <f>+Цени!D5</f>
        <v>5345.5870000000004</v>
      </c>
      <c r="Q45" s="590">
        <f>+Цени!C5+Цени!Q5</f>
        <v>14.516</v>
      </c>
      <c r="R45" s="590">
        <f t="shared" si="12"/>
        <v>15156.886999999999</v>
      </c>
      <c r="T45" s="590">
        <f>+'Борса и балансиране'!C6</f>
        <v>1000</v>
      </c>
      <c r="U45" s="590">
        <f>+'Борса и балансиране'!J6+'Борса и балансиране'!K6</f>
        <v>9.1019999999998618</v>
      </c>
      <c r="V45" s="590">
        <f t="shared" si="13"/>
        <v>-1149.9999999999991</v>
      </c>
      <c r="Y45" s="590">
        <f t="shared" si="14"/>
        <v>15142.370999999999</v>
      </c>
      <c r="Z45" s="590">
        <f t="shared" ref="Z45:Z70" si="16">+Q45+T45</f>
        <v>1014.516</v>
      </c>
    </row>
    <row r="46" spans="1:35" s="355" customFormat="1" x14ac:dyDescent="0.25">
      <c r="A46" s="601" t="s">
        <v>245</v>
      </c>
      <c r="B46" s="354">
        <f t="shared" si="15"/>
        <v>45630</v>
      </c>
      <c r="C46" s="590">
        <f>+Плевен!H7+Плевен!K7</f>
        <v>4350.71</v>
      </c>
      <c r="D46" s="590">
        <f>+Бургас!E7+Бургас!H7</f>
        <v>1215.1109999999999</v>
      </c>
      <c r="E46" s="590">
        <f>+'Враца 1'!E7+'Враца 1'!H7</f>
        <v>499.03199999999998</v>
      </c>
      <c r="F46" s="590">
        <f>+'Враца 2'!E7+'Враца 2'!H7</f>
        <v>232.59800000000001</v>
      </c>
      <c r="G46" s="590">
        <f>+'Велико Търново'!C7+'Велико Търново'!E7</f>
        <v>298.08600000000001</v>
      </c>
      <c r="H46" s="590">
        <f>+Перник!E7+Перник!G7</f>
        <v>752.60299999999995</v>
      </c>
      <c r="I46" s="590">
        <f>+Русе!E7+Русе!G7</f>
        <v>3328.8119999999999</v>
      </c>
      <c r="J46" s="590">
        <f>+Цени!Y6</f>
        <v>0</v>
      </c>
      <c r="K46" s="590">
        <f>+'Русе Кемикълс'!E7+Труд!E7+Берус!E7+'Бултекс 1'!E7+'Доминекс про'!E7+РВД!E7+Димитровград!E7+Булмаш!E7+ЛКМК!E7+'PPC Гърция'!D7+Алуком!E7+Илинден!E7+'Ваптех АМ'!E7+HERON!D7+'МЕТ ВИТОЛ ДХТ'!D7+'МЕТ ВИТОЛ ДХТ'!J7+'МЕТ ВИТОЛ ДХТ'!P7+'МЕТ ВИТОЛ ДХТ'!V7+'МЕТ ВИТОЛ ДХТ'!AB7+'МЕТ ВИТОЛ ДХТ'!AH7</f>
        <v>4623.3509999999997</v>
      </c>
      <c r="L46" s="590">
        <f t="shared" si="10"/>
        <v>15300.303</v>
      </c>
      <c r="M46" s="453"/>
      <c r="O46" s="590">
        <f>+Плевен!H7+Бургас!E7+'Враца 1'!E7+'Враца 2'!E7+Перник!E7+Русе!E7+'Велико Търново'!C7</f>
        <v>10490.398999999999</v>
      </c>
      <c r="P46" s="590">
        <f>+Цени!D6</f>
        <v>4845.5870000000004</v>
      </c>
      <c r="Q46" s="590">
        <f>+Цени!C6+Цени!Q6</f>
        <v>14.516</v>
      </c>
      <c r="R46" s="590">
        <f t="shared" si="12"/>
        <v>15350.502</v>
      </c>
      <c r="T46" s="590">
        <f>+'Борса и балансиране'!C7</f>
        <v>1000</v>
      </c>
      <c r="U46" s="590">
        <f>+'Борса и балансиране'!J7+'Борса и балансиране'!K7</f>
        <v>0.19899999999961437</v>
      </c>
      <c r="V46" s="590">
        <f t="shared" si="13"/>
        <v>-1050.0000000000009</v>
      </c>
      <c r="Y46" s="590">
        <f t="shared" si="14"/>
        <v>15335.986000000001</v>
      </c>
      <c r="Z46" s="590">
        <f t="shared" si="16"/>
        <v>1014.516</v>
      </c>
    </row>
    <row r="47" spans="1:35" s="355" customFormat="1" x14ac:dyDescent="0.25">
      <c r="A47" s="601" t="s">
        <v>246</v>
      </c>
      <c r="B47" s="354">
        <f t="shared" si="15"/>
        <v>45631</v>
      </c>
      <c r="C47" s="590">
        <f>+Плевен!H8+Плевен!K8</f>
        <v>4343.16</v>
      </c>
      <c r="D47" s="590">
        <f>+Бургас!E8+Бургас!H8</f>
        <v>1053.549</v>
      </c>
      <c r="E47" s="590">
        <f>+'Враца 1'!E8+'Враца 1'!H8</f>
        <v>519.44500000000005</v>
      </c>
      <c r="F47" s="590">
        <f>+'Враца 2'!E8+'Враца 2'!H8</f>
        <v>231.39400000000001</v>
      </c>
      <c r="G47" s="590">
        <f>+'Велико Търново'!C8+'Велико Търново'!E8</f>
        <v>308.67899999999997</v>
      </c>
      <c r="H47" s="590">
        <f>+Перник!E8+Перник!G8</f>
        <v>743.52499999999998</v>
      </c>
      <c r="I47" s="590">
        <f>+Русе!E8+Русе!G8</f>
        <v>2461.2930000000001</v>
      </c>
      <c r="J47" s="590">
        <f>+Цени!Y7</f>
        <v>0</v>
      </c>
      <c r="K47" s="590">
        <f>+'Русе Кемикълс'!E8+Труд!E8+Берус!E8+'Бултекс 1'!E8+'Доминекс про'!E8+РВД!E8+Димитровград!E8+Булмаш!E8+ЛКМК!E8+'PPC Гърция'!D8+Алуком!E8+Илинден!E8+'Ваптех АМ'!E8+HERON!D8+'МЕТ ВИТОЛ ДХТ'!D8+'МЕТ ВИТОЛ ДХТ'!J8+'МЕТ ВИТОЛ ДХТ'!P8+'МЕТ ВИТОЛ ДХТ'!V8+'МЕТ ВИТОЛ ДХТ'!AB8+'МЕТ ВИТОЛ ДХТ'!AH8</f>
        <v>4604.6490000000003</v>
      </c>
      <c r="L47" s="590">
        <f t="shared" si="10"/>
        <v>14265.694</v>
      </c>
      <c r="M47" s="453"/>
      <c r="O47" s="590">
        <f>+Плевен!H8+Бургас!E8+'Враца 1'!E8+'Враца 2'!E8+Перник!E8+Русе!E8+'Велико Търново'!C8</f>
        <v>9275.1970000000001</v>
      </c>
      <c r="P47" s="590">
        <f>+Цени!D7</f>
        <v>4845.5870000000004</v>
      </c>
      <c r="Q47" s="590">
        <f>+Цени!C7+Цени!Q7</f>
        <v>14.516</v>
      </c>
      <c r="R47" s="590">
        <f t="shared" si="12"/>
        <v>14135.3</v>
      </c>
      <c r="T47" s="590">
        <f>+'Борса и балансиране'!C8</f>
        <v>1100</v>
      </c>
      <c r="U47" s="590">
        <f>+'Борса и балансиране'!J8+'Борса и балансиране'!K8</f>
        <v>19.606000000000677</v>
      </c>
      <c r="V47" s="590">
        <f t="shared" si="13"/>
        <v>-949.99999999999909</v>
      </c>
      <c r="Y47" s="590">
        <f t="shared" si="14"/>
        <v>14120.784</v>
      </c>
      <c r="Z47" s="590">
        <f t="shared" si="16"/>
        <v>1114.5160000000001</v>
      </c>
    </row>
    <row r="48" spans="1:35" s="355" customFormat="1" x14ac:dyDescent="0.25">
      <c r="A48" s="601" t="s">
        <v>247</v>
      </c>
      <c r="B48" s="354">
        <f t="shared" si="15"/>
        <v>45632</v>
      </c>
      <c r="C48" s="590">
        <f>+Плевен!H9+Плевен!K9</f>
        <v>4342.9870000000001</v>
      </c>
      <c r="D48" s="590">
        <f>+Бургас!E9+Бургас!H9</f>
        <v>931.07099999999991</v>
      </c>
      <c r="E48" s="590">
        <f>+'Враца 1'!E9+'Враца 1'!H9</f>
        <v>519.98299999999995</v>
      </c>
      <c r="F48" s="590">
        <f>+'Враца 2'!E9+'Враца 2'!H9</f>
        <v>240.90100000000001</v>
      </c>
      <c r="G48" s="590">
        <f>+'Велико Търново'!C9+'Велико Търново'!E9</f>
        <v>293.74099999999999</v>
      </c>
      <c r="H48" s="590">
        <f>+Перник!E9+Перник!G9</f>
        <v>1129.0709999999999</v>
      </c>
      <c r="I48" s="590">
        <f>+Русе!E9+Русе!G9</f>
        <v>2349.15</v>
      </c>
      <c r="J48" s="590">
        <f>+Цени!Y8</f>
        <v>0</v>
      </c>
      <c r="K48" s="590">
        <f>+'Русе Кемикълс'!E9+Труд!E9+Берус!E9+'Бултекс 1'!E9+'Доминекс про'!E9+РВД!E9+Димитровград!E9+Булмаш!E9+ЛКМК!E9+'PPC Гърция'!D9+Алуком!E9+Илинден!E9+'Ваптех АМ'!E9+HERON!D9+'МЕТ ВИТОЛ ДХТ'!D9+'МЕТ ВИТОЛ ДХТ'!J9+'МЕТ ВИТОЛ ДХТ'!P9+'МЕТ ВИТОЛ ДХТ'!V9+'МЕТ ВИТОЛ ДХТ'!AB9+'МЕТ ВИТОЛ ДХТ'!AH9</f>
        <v>4595.1080000000002</v>
      </c>
      <c r="L48" s="590">
        <f t="shared" si="10"/>
        <v>14402.012000000001</v>
      </c>
      <c r="M48" s="453"/>
      <c r="O48" s="590">
        <f>+Плевен!H9+Бургас!E9+'Враца 1'!E9+'Враца 2'!E9+Перник!E9+Русе!E9+'Велико Търново'!C9</f>
        <v>8991.9040000000005</v>
      </c>
      <c r="P48" s="590">
        <f>+Цени!D8</f>
        <v>4845.5870000000004</v>
      </c>
      <c r="Q48" s="590">
        <f>+Цени!C8+Цени!Q8</f>
        <v>14.516</v>
      </c>
      <c r="R48" s="590">
        <f t="shared" si="12"/>
        <v>13852.007000000001</v>
      </c>
      <c r="T48" s="590">
        <f>+'Борса и балансиране'!C9</f>
        <v>1500</v>
      </c>
      <c r="U48" s="590">
        <f>+'Борса и балансиране'!J9+'Борса и балансиране'!K9</f>
        <v>-5.0000000001091394E-3</v>
      </c>
      <c r="V48" s="590">
        <f t="shared" si="13"/>
        <v>-950.00000000000091</v>
      </c>
      <c r="Y48" s="590">
        <f t="shared" si="14"/>
        <v>13837.491000000002</v>
      </c>
      <c r="Z48" s="590">
        <f t="shared" si="16"/>
        <v>1514.5160000000001</v>
      </c>
    </row>
    <row r="49" spans="1:29" s="355" customFormat="1" x14ac:dyDescent="0.25">
      <c r="A49" s="601" t="s">
        <v>248</v>
      </c>
      <c r="B49" s="354">
        <f t="shared" si="15"/>
        <v>45633</v>
      </c>
      <c r="C49" s="590">
        <f>+Плевен!H10+Плевен!K10</f>
        <v>4522.2299999999996</v>
      </c>
      <c r="D49" s="590">
        <f>+Бургас!E10+Бургас!H10</f>
        <v>924.52100000000007</v>
      </c>
      <c r="E49" s="590">
        <f>+'Враца 1'!E10+'Враца 1'!H10</f>
        <v>522.58500000000004</v>
      </c>
      <c r="F49" s="590">
        <f>+'Враца 2'!E10+'Враца 2'!H10</f>
        <v>250.30099999999999</v>
      </c>
      <c r="G49" s="590">
        <f>+'Велико Търново'!C10+'Велико Търново'!E10</f>
        <v>348.666</v>
      </c>
      <c r="H49" s="590">
        <f>+Перник!E10+Перник!G10</f>
        <v>1441.0409999999999</v>
      </c>
      <c r="I49" s="590">
        <f>+Русе!E10+Русе!G10</f>
        <v>2352.355</v>
      </c>
      <c r="J49" s="590">
        <f>+Цени!Y9</f>
        <v>0</v>
      </c>
      <c r="K49" s="590">
        <f>+'Русе Кемикълс'!E10+Труд!E10+Берус!E10+'Бултекс 1'!E10+'Доминекс про'!E10+РВД!E10+Димитровград!E10+Булмаш!E10+ЛКМК!E10+'PPC Гърция'!D10+Алуком!E10+Илинден!E10+'Ваптех АМ'!E10+HERON!D10+'МЕТ ВИТОЛ ДХТ'!D10+'МЕТ ВИТОЛ ДХТ'!J10+'МЕТ ВИТОЛ ДХТ'!P10+'МЕТ ВИТОЛ ДХТ'!V10+'МЕТ ВИТОЛ ДХТ'!AB10+'МЕТ ВИТОЛ ДХТ'!AH10</f>
        <v>3572.1080000000002</v>
      </c>
      <c r="L49" s="590">
        <f t="shared" si="10"/>
        <v>13933.807000000001</v>
      </c>
      <c r="M49" s="453">
        <f>+K49-Димитровград!E10</f>
        <v>3572.1080000000002</v>
      </c>
      <c r="O49" s="590">
        <f>+Плевен!H10+Бургас!E10+'Враца 1'!E10+'Враца 2'!E10+Перник!E10+Русе!E10+'Велико Търново'!C10</f>
        <v>9974.7790000000005</v>
      </c>
      <c r="P49" s="590">
        <f>+Цени!D9</f>
        <v>4345.5870000000004</v>
      </c>
      <c r="Q49" s="590">
        <f>+Цени!C9+Цени!Q9</f>
        <v>14.516</v>
      </c>
      <c r="R49" s="590">
        <f t="shared" si="12"/>
        <v>14334.882000000001</v>
      </c>
      <c r="T49" s="590">
        <f>+'Борса и балансиране'!C10</f>
        <v>550</v>
      </c>
      <c r="U49" s="590">
        <f>+'Борса и балансиране'!J10+'Борса и балансиране'!K10</f>
        <v>1.0749999999998181</v>
      </c>
      <c r="V49" s="590">
        <f t="shared" si="13"/>
        <v>-950.00000000000091</v>
      </c>
      <c r="Y49" s="590">
        <f t="shared" si="14"/>
        <v>14320.366000000002</v>
      </c>
      <c r="Z49" s="590">
        <f t="shared" si="16"/>
        <v>564.51599999999996</v>
      </c>
    </row>
    <row r="50" spans="1:29" s="355" customFormat="1" x14ac:dyDescent="0.25">
      <c r="A50" s="601" t="s">
        <v>242</v>
      </c>
      <c r="B50" s="354">
        <f t="shared" si="15"/>
        <v>45634</v>
      </c>
      <c r="C50" s="590">
        <f>+Плевен!H11+Плевен!K11</f>
        <v>4385.1580000000004</v>
      </c>
      <c r="D50" s="590">
        <f>+Бургас!E11+Бургас!H11</f>
        <v>928.57600000000002</v>
      </c>
      <c r="E50" s="590">
        <f>+'Враца 1'!E11+'Враца 1'!H11</f>
        <v>546.096</v>
      </c>
      <c r="F50" s="590">
        <f>+'Враца 2'!E11+'Враца 2'!H11</f>
        <v>239.09399999999999</v>
      </c>
      <c r="G50" s="590">
        <f>+'Велико Търново'!C11+'Велико Търново'!E11</f>
        <v>289.95499999999998</v>
      </c>
      <c r="H50" s="590">
        <f>+Перник!E11+Перник!G11</f>
        <v>1569.9829999999999</v>
      </c>
      <c r="I50" s="590">
        <f>+Русе!E11+Русе!G11</f>
        <v>1909.6579999999999</v>
      </c>
      <c r="J50" s="590">
        <f>+Цени!Y10</f>
        <v>0</v>
      </c>
      <c r="K50" s="590">
        <f>+'Русе Кемикълс'!E11+Труд!E11+Берус!E11+'Бултекс 1'!E11+'Доминекс про'!E11+РВД!E11+Димитровград!E11+Булмаш!E11+ЛКМК!E11+'PPC Гърция'!D11+Алуком!E11+Илинден!E11+'Ваптех АМ'!E11+HERON!D11+'МЕТ ВИТОЛ ДХТ'!D11+'МЕТ ВИТОЛ ДХТ'!J11+'МЕТ ВИТОЛ ДХТ'!P11+'МЕТ ВИТОЛ ДХТ'!V11+'МЕТ ВИТОЛ ДХТ'!AB11+'МЕТ ВИТОЛ ДХТ'!AH11</f>
        <v>3943.875</v>
      </c>
      <c r="L50" s="590">
        <f t="shared" si="10"/>
        <v>13812.395</v>
      </c>
      <c r="M50" s="453">
        <f>+K50-Димитровград!E11</f>
        <v>3566.2130000000002</v>
      </c>
      <c r="O50" s="590">
        <f>+Плевен!H11+Бургас!E11+'Враца 1'!E11+'Враца 2'!E11+Перник!E11+Русе!E11+'Велико Търново'!C11</f>
        <v>9815.2919999999995</v>
      </c>
      <c r="P50" s="590">
        <f>+Цени!D10</f>
        <v>4345.5870000000004</v>
      </c>
      <c r="Q50" s="590">
        <f>+Цени!C10+Цени!Q10</f>
        <v>14.516</v>
      </c>
      <c r="R50" s="590">
        <f t="shared" si="12"/>
        <v>14175.395</v>
      </c>
      <c r="T50" s="590">
        <f>+'Борса и балансиране'!C11</f>
        <v>587</v>
      </c>
      <c r="U50" s="590">
        <f>+'Борса и балансиране'!J11+'Борса и балансиране'!K11</f>
        <v>0</v>
      </c>
      <c r="V50" s="590">
        <f t="shared" si="13"/>
        <v>-950</v>
      </c>
      <c r="Y50" s="590">
        <f t="shared" si="14"/>
        <v>14160.879000000001</v>
      </c>
      <c r="Z50" s="590">
        <f t="shared" si="16"/>
        <v>601.51599999999996</v>
      </c>
    </row>
    <row r="51" spans="1:29" s="355" customFormat="1" x14ac:dyDescent="0.25">
      <c r="A51" s="601" t="s">
        <v>243</v>
      </c>
      <c r="B51" s="354">
        <f t="shared" si="15"/>
        <v>45635</v>
      </c>
      <c r="C51" s="590">
        <f>+Плевен!H12+Плевен!K12</f>
        <v>4322.0259999999998</v>
      </c>
      <c r="D51" s="590">
        <f>+Бургас!E12+Бургас!H12</f>
        <v>907.22699999999998</v>
      </c>
      <c r="E51" s="590">
        <f>+'Враца 1'!E12+'Враца 1'!H12</f>
        <v>534.11500000000001</v>
      </c>
      <c r="F51" s="590">
        <f>+'Враца 2'!E12+'Враца 2'!H12</f>
        <v>394.96699999999998</v>
      </c>
      <c r="G51" s="590">
        <f>+'Велико Търново'!C12+'Велико Търново'!E12</f>
        <v>262.69099999999997</v>
      </c>
      <c r="H51" s="590">
        <f>+Перник!E12+Перник!G12</f>
        <v>1280.6410000000001</v>
      </c>
      <c r="I51" s="590">
        <f>+Русе!E12+Русе!G12</f>
        <v>1282.48</v>
      </c>
      <c r="J51" s="590">
        <f>+Цени!Y11</f>
        <v>0</v>
      </c>
      <c r="K51" s="590">
        <f>+'Русе Кемикълс'!E12+Труд!E12+Берус!E12+'Бултекс 1'!E12+'Доминекс про'!E12+РВД!E12+Димитровград!E12+Булмаш!E12+ЛКМК!E12+'PPC Гърция'!D12+Алуком!E12+Илинден!E12+'Ваптех АМ'!E12+HERON!D12+'МЕТ ВИТОЛ ДХТ'!D12+'МЕТ ВИТОЛ ДХТ'!J12+'МЕТ ВИТОЛ ДХТ'!P12+'МЕТ ВИТОЛ ДХТ'!V12+'МЕТ ВИТОЛ ДХТ'!AB12+'МЕТ ВИТОЛ ДХТ'!AH12</f>
        <v>4643.9679999999998</v>
      </c>
      <c r="L51" s="590">
        <f t="shared" si="10"/>
        <v>13628.114999999998</v>
      </c>
      <c r="M51" s="453">
        <f>+K51-Димитровград!E12</f>
        <v>4643.9679999999998</v>
      </c>
      <c r="O51" s="590">
        <f>+Плевен!H12+Бургас!E12+'Враца 1'!E12+'Враца 2'!E12+Перник!E12+Русе!E12+'Велико Търново'!C12</f>
        <v>8718.0120000000006</v>
      </c>
      <c r="P51" s="590">
        <f>+Цени!D11</f>
        <v>4845.5870000000004</v>
      </c>
      <c r="Q51" s="590">
        <f>+Цени!C11+Цени!Q11</f>
        <v>14.516</v>
      </c>
      <c r="R51" s="590">
        <f t="shared" si="12"/>
        <v>13578.115000000002</v>
      </c>
      <c r="T51" s="590">
        <f>+'Борса и балансиране'!C12</f>
        <v>1000</v>
      </c>
      <c r="U51" s="590">
        <f>+'Борса и балансиране'!J12+'Борса и балансиране'!K12</f>
        <v>9.0949470177292824E-13</v>
      </c>
      <c r="V51" s="590">
        <f t="shared" si="13"/>
        <v>-950.00000000000273</v>
      </c>
      <c r="Y51" s="590">
        <f t="shared" si="14"/>
        <v>13563.599000000002</v>
      </c>
      <c r="Z51" s="590">
        <f t="shared" si="16"/>
        <v>1014.516</v>
      </c>
    </row>
    <row r="52" spans="1:29" s="355" customFormat="1" x14ac:dyDescent="0.25">
      <c r="A52" s="601" t="s">
        <v>244</v>
      </c>
      <c r="B52" s="354">
        <f t="shared" si="15"/>
        <v>45636</v>
      </c>
      <c r="C52" s="590">
        <f>+Плевен!H13+Плевен!K13</f>
        <v>4337.76</v>
      </c>
      <c r="D52" s="590">
        <f>+Бургас!E13+Бургас!H13</f>
        <v>930.99600000000009</v>
      </c>
      <c r="E52" s="590">
        <f>+'Враца 1'!E13+'Враца 1'!H13</f>
        <v>502.68900000000002</v>
      </c>
      <c r="F52" s="590">
        <f>+'Враца 2'!E13+'Враца 2'!H13</f>
        <v>409.66899999999998</v>
      </c>
      <c r="G52" s="590">
        <f>+'Велико Търново'!C13+'Велико Търново'!E13</f>
        <v>311.04500000000002</v>
      </c>
      <c r="H52" s="590">
        <f>+Перник!E13+Перник!G13</f>
        <v>738.82500000000005</v>
      </c>
      <c r="I52" s="590">
        <f>+Русе!E13+Русе!G13</f>
        <v>1295.0309999999999</v>
      </c>
      <c r="J52" s="590">
        <f>+Цени!Y12</f>
        <v>0</v>
      </c>
      <c r="K52" s="590">
        <f>+'Русе Кемикълс'!E13+Труд!E13+Берус!E13+'Бултекс 1'!E13+'Доминекс про'!E13+РВД!E13+Димитровград!E13+Булмаш!E13+ЛКМК!E13+'PPC Гърция'!D13+Алуком!E13+Илинден!E13+'Ваптех АМ'!E13+HERON!D13+'МЕТ ВИТОЛ ДХТ'!D13+'МЕТ ВИТОЛ ДХТ'!J13+'МЕТ ВИТОЛ ДХТ'!P13+'МЕТ ВИТОЛ ДХТ'!V13+'МЕТ ВИТОЛ ДХТ'!AB13+'МЕТ ВИТОЛ ДХТ'!AH13</f>
        <v>4586.241</v>
      </c>
      <c r="L52" s="590">
        <f t="shared" si="10"/>
        <v>13112.255999999999</v>
      </c>
      <c r="M52" s="453">
        <f>+K52-Димитровград!E13</f>
        <v>4581.4870000000001</v>
      </c>
      <c r="O52" s="590">
        <f>+Плевен!H13+Бургас!E13+'Враца 1'!E13+'Враца 2'!E13+Перник!E13+Русе!E13+'Велико Търново'!C13</f>
        <v>8202.482</v>
      </c>
      <c r="P52" s="590">
        <f>+Цени!D12</f>
        <v>4345.5870000000004</v>
      </c>
      <c r="Q52" s="590">
        <f>+Цени!C12+Цени!Q12</f>
        <v>14.516</v>
      </c>
      <c r="R52" s="590">
        <f t="shared" si="12"/>
        <v>12562.584999999999</v>
      </c>
      <c r="T52" s="590">
        <f>+'Борса и балансиране'!C13</f>
        <v>1500</v>
      </c>
      <c r="U52" s="590">
        <f>+'Борса и балансиране'!J13+'Борса и балансиране'!K13</f>
        <v>0.32899999999972351</v>
      </c>
      <c r="V52" s="590">
        <f t="shared" si="13"/>
        <v>-950</v>
      </c>
      <c r="Y52" s="590">
        <f t="shared" si="14"/>
        <v>12548.069</v>
      </c>
      <c r="Z52" s="590">
        <f t="shared" si="16"/>
        <v>1514.5160000000001</v>
      </c>
    </row>
    <row r="53" spans="1:29" s="355" customFormat="1" x14ac:dyDescent="0.25">
      <c r="A53" s="601" t="s">
        <v>245</v>
      </c>
      <c r="B53" s="354">
        <f t="shared" si="15"/>
        <v>45637</v>
      </c>
      <c r="C53" s="590">
        <f>+Плевен!H14+Плевен!K14</f>
        <v>4361.0770000000002</v>
      </c>
      <c r="D53" s="590">
        <f>+Бургас!E14+Бургас!H14</f>
        <v>992.04099999999994</v>
      </c>
      <c r="E53" s="590">
        <f>+'Враца 1'!E14+'Враца 1'!H14</f>
        <v>480.97399999999999</v>
      </c>
      <c r="F53" s="590">
        <f>+'Враца 2'!E14+'Враца 2'!H14</f>
        <v>257.61500000000001</v>
      </c>
      <c r="G53" s="590">
        <f>+'Велико Търново'!C14+'Велико Търново'!E14</f>
        <v>292.52499999999998</v>
      </c>
      <c r="H53" s="590">
        <f>+Перник!E14+Перник!G14</f>
        <v>1016.896</v>
      </c>
      <c r="I53" s="590">
        <f>+Русе!E14+Русе!G14</f>
        <v>1387.309</v>
      </c>
      <c r="J53" s="590">
        <f>+Цени!Y13</f>
        <v>0</v>
      </c>
      <c r="K53" s="590">
        <f>+'Русе Кемикълс'!E14+Труд!E14+Берус!E14+'Бултекс 1'!E14+'Доминекс про'!E14+РВД!E14+Димитровград!E14+Булмаш!E14+ЛКМК!E14+'PPC Гърция'!D14+Алуком!E14+Илинден!E14+'Ваптех АМ'!E14+HERON!D14+'МЕТ ВИТОЛ ДХТ'!D14+'МЕТ ВИТОЛ ДХТ'!J14+'МЕТ ВИТОЛ ДХТ'!P14+'МЕТ ВИТОЛ ДХТ'!V14+'МЕТ ВИТОЛ ДХТ'!AB14+'МЕТ ВИТОЛ ДХТ'!AH14</f>
        <v>4576.6679999999997</v>
      </c>
      <c r="L53" s="590">
        <f t="shared" si="10"/>
        <v>13365.105</v>
      </c>
      <c r="M53" s="453">
        <f>+K53-Димитровград!E14</f>
        <v>4576.6679999999997</v>
      </c>
      <c r="O53" s="590">
        <f>+Плевен!H14+Бургас!E14+'Враца 1'!E14+'Враца 2'!E14+Перник!E14+Русе!E14+'Велико Търново'!C14</f>
        <v>8455.0020000000004</v>
      </c>
      <c r="P53" s="590">
        <f>+Цени!D13</f>
        <v>4345.5870000000004</v>
      </c>
      <c r="Q53" s="590">
        <f>+Цени!C13+Цени!Q13</f>
        <v>14.516</v>
      </c>
      <c r="R53" s="590">
        <f t="shared" si="12"/>
        <v>12815.105</v>
      </c>
      <c r="T53" s="590">
        <f>+'Борса и балансиране'!C14</f>
        <v>1900</v>
      </c>
      <c r="U53" s="590">
        <f>+'Борса и балансиране'!J14+'Борса и балансиране'!K14</f>
        <v>0</v>
      </c>
      <c r="V53" s="590">
        <f t="shared" si="13"/>
        <v>-1350</v>
      </c>
      <c r="Y53" s="590">
        <f t="shared" si="14"/>
        <v>12800.589</v>
      </c>
      <c r="Z53" s="590">
        <f t="shared" si="16"/>
        <v>1914.5160000000001</v>
      </c>
    </row>
    <row r="54" spans="1:29" s="355" customFormat="1" x14ac:dyDescent="0.25">
      <c r="A54" s="601" t="s">
        <v>246</v>
      </c>
      <c r="B54" s="354">
        <f t="shared" si="15"/>
        <v>45638</v>
      </c>
      <c r="C54" s="590">
        <f>+Плевен!H15+Плевен!K15</f>
        <v>4538.0929999999998</v>
      </c>
      <c r="D54" s="590">
        <f>+Бургас!E15+Бургас!H15</f>
        <v>1027.694</v>
      </c>
      <c r="E54" s="590">
        <f>+'Враца 1'!E15+'Враца 1'!H15</f>
        <v>545.81600000000003</v>
      </c>
      <c r="F54" s="590">
        <f>+'Враца 2'!E15+'Враца 2'!H15</f>
        <v>244.827</v>
      </c>
      <c r="G54" s="590">
        <f>+'Велико Търново'!C15+'Велико Търново'!E15</f>
        <v>226.285</v>
      </c>
      <c r="H54" s="590">
        <f>+Перник!E15+Перник!G15</f>
        <v>1080.8340000000001</v>
      </c>
      <c r="I54" s="590">
        <f>+Русе!E15+Русе!G15</f>
        <v>1311.0450000000001</v>
      </c>
      <c r="J54" s="590">
        <f>+Цени!Y14</f>
        <v>0</v>
      </c>
      <c r="K54" s="590">
        <f>+'Русе Кемикълс'!E15+Труд!E15+Берус!E15+'Бултекс 1'!E15+'Доминекс про'!E15+РВД!E15+Димитровград!E15+Булмаш!E15+ЛКМК!E15+'PPC Гърция'!D15+Алуком!E15+Илинден!E15+'Ваптех АМ'!E15+HERON!D15+'МЕТ ВИТОЛ ДХТ'!D15+'МЕТ ВИТОЛ ДХТ'!J15+'МЕТ ВИТОЛ ДХТ'!P15+'МЕТ ВИТОЛ ДХТ'!V15+'МЕТ ВИТОЛ ДХТ'!AB15+'МЕТ ВИТОЛ ДХТ'!AH15</f>
        <v>4577.9650000000001</v>
      </c>
      <c r="L54" s="590">
        <f t="shared" si="10"/>
        <v>13552.559000000001</v>
      </c>
      <c r="M54" s="453">
        <f>+K54-Димитровград!E15</f>
        <v>4577.9650000000001</v>
      </c>
      <c r="O54" s="590">
        <f>+Плевен!H15+Бургас!E15+'Враца 1'!E15+'Враца 2'!E15+Перник!E15+Русе!E15+'Велико Търново'!C15</f>
        <v>8642.4559999999983</v>
      </c>
      <c r="P54" s="590">
        <f>+Цени!D14</f>
        <v>4345.5870000000004</v>
      </c>
      <c r="Q54" s="590">
        <f>+Цени!C14+Цени!Q14</f>
        <v>14.516</v>
      </c>
      <c r="R54" s="590">
        <f t="shared" si="12"/>
        <v>13002.558999999997</v>
      </c>
      <c r="T54" s="590">
        <f>+'Борса и балансиране'!C15</f>
        <v>1500</v>
      </c>
      <c r="U54" s="590">
        <f>+'Борса и балансиране'!J15+'Борса и балансиране'!K15</f>
        <v>0</v>
      </c>
      <c r="V54" s="590">
        <f t="shared" si="13"/>
        <v>-949.99999999999636</v>
      </c>
      <c r="Y54" s="590">
        <f t="shared" si="14"/>
        <v>12988.042999999998</v>
      </c>
      <c r="Z54" s="590">
        <f t="shared" si="16"/>
        <v>1514.5160000000001</v>
      </c>
    </row>
    <row r="55" spans="1:29" s="355" customFormat="1" x14ac:dyDescent="0.25">
      <c r="A55" s="601" t="s">
        <v>247</v>
      </c>
      <c r="B55" s="354">
        <f t="shared" si="15"/>
        <v>45639</v>
      </c>
      <c r="C55" s="590">
        <f>+Плевен!H16+Плевен!K16</f>
        <v>4530.4150000000009</v>
      </c>
      <c r="D55" s="590">
        <f>+Бургас!E16+Бургас!H16</f>
        <v>1098.3430000000001</v>
      </c>
      <c r="E55" s="590">
        <f>+'Враца 1'!E16+'Враца 1'!H16</f>
        <v>526.83399999999995</v>
      </c>
      <c r="F55" s="590">
        <f>+'Враца 2'!E16+'Враца 2'!H16</f>
        <v>246.24600000000001</v>
      </c>
      <c r="G55" s="590">
        <f>+'Велико Търново'!C16+'Велико Търново'!E16</f>
        <v>198.13900000000001</v>
      </c>
      <c r="H55" s="590">
        <f>+Перник!E16+Перник!G16</f>
        <v>898.47299999999996</v>
      </c>
      <c r="I55" s="590">
        <f>+Русе!E16+Русе!G16</f>
        <v>1296.902</v>
      </c>
      <c r="J55" s="590">
        <f>+Цени!Y15</f>
        <v>0</v>
      </c>
      <c r="K55" s="590">
        <f>+'Русе Кемикълс'!E16+Труд!E16+Берус!E16+'Бултекс 1'!E16+'Доминекс про'!E16+РВД!E16+Димитровград!E16+Булмаш!E16+ЛКМК!E16+'PPC Гърция'!D16+Алуком!E16+Илинден!E16+'Ваптех АМ'!E16+HERON!D16+'МЕТ ВИТОЛ ДХТ'!D16+'МЕТ ВИТОЛ ДХТ'!J16+'МЕТ ВИТОЛ ДХТ'!P16+'МЕТ ВИТОЛ ДХТ'!V16+'МЕТ ВИТОЛ ДХТ'!AB16+'МЕТ ВИТОЛ ДХТ'!AH16</f>
        <v>4952.2739999999994</v>
      </c>
      <c r="L55" s="590">
        <f t="shared" si="10"/>
        <v>13747.626</v>
      </c>
      <c r="M55" s="453">
        <f>+K55-Димитровград!E16</f>
        <v>4578.3329999999996</v>
      </c>
      <c r="O55" s="590">
        <f>+Плевен!H16+Бургас!E16+'Враца 1'!E16+'Враца 2'!E16+Перник!E16+Русе!E16+'Велико Търново'!C16</f>
        <v>8456.7870000000003</v>
      </c>
      <c r="P55" s="590">
        <f>+Цени!D15</f>
        <v>4345.5870000000004</v>
      </c>
      <c r="Q55" s="590">
        <f>+Цени!C15+Цени!Q15</f>
        <v>14.516</v>
      </c>
      <c r="R55" s="590">
        <f t="shared" si="12"/>
        <v>12816.89</v>
      </c>
      <c r="T55" s="590">
        <f>+'Борса и балансиране'!C16</f>
        <v>1880</v>
      </c>
      <c r="U55" s="590">
        <f>+'Борса и балансиране'!J16+'Борса и балансиране'!K16</f>
        <v>-0.73599999999987631</v>
      </c>
      <c r="V55" s="590">
        <f t="shared" si="13"/>
        <v>-949.99999999999909</v>
      </c>
      <c r="Y55" s="590">
        <f t="shared" si="14"/>
        <v>12802.374</v>
      </c>
      <c r="Z55" s="590">
        <f t="shared" si="16"/>
        <v>1894.5160000000001</v>
      </c>
    </row>
    <row r="56" spans="1:29" s="355" customFormat="1" x14ac:dyDescent="0.25">
      <c r="A56" s="601" t="s">
        <v>248</v>
      </c>
      <c r="B56" s="354">
        <f t="shared" si="15"/>
        <v>45640</v>
      </c>
      <c r="C56" s="590">
        <f>+Плевен!H17+Плевен!K17</f>
        <v>4452.3869999999997</v>
      </c>
      <c r="D56" s="590">
        <f>+Бургас!E17+Бургас!H17</f>
        <v>945.81600000000003</v>
      </c>
      <c r="E56" s="590">
        <f>+'Враца 1'!E17+'Враца 1'!H17</f>
        <v>524.53200000000004</v>
      </c>
      <c r="F56" s="590">
        <f>+'Враца 2'!E17+'Враца 2'!H17</f>
        <v>265.584</v>
      </c>
      <c r="G56" s="590">
        <f>+'Велико Търново'!C17+'Велико Търново'!E17</f>
        <v>197.96700000000001</v>
      </c>
      <c r="H56" s="590">
        <f>+Перник!E17+Перник!G17</f>
        <v>1076.683</v>
      </c>
      <c r="I56" s="590">
        <f>+Русе!E17+Русе!G17</f>
        <v>1383.2650000000001</v>
      </c>
      <c r="J56" s="590">
        <f>+Цени!Y16</f>
        <v>0</v>
      </c>
      <c r="K56" s="590">
        <f>+'Русе Кемикълс'!E17+Труд!E17+Берус!E17+'Бултекс 1'!E17+'Доминекс про'!E17+РВД!E17+Димитровград!E17+Булмаш!E17+ЛКМК!E17+'PPC Гърция'!D17+Алуком!E17+Илинден!E17+'Ваптех АМ'!E17+HERON!D17+'МЕТ ВИТОЛ ДХТ'!D17+'МЕТ ВИТОЛ ДХТ'!J17+'МЕТ ВИТОЛ ДХТ'!P17+'МЕТ ВИТОЛ ДХТ'!V17+'МЕТ ВИТОЛ ДХТ'!AB17+'МЕТ ВИТОЛ ДХТ'!AH17</f>
        <v>4546.47</v>
      </c>
      <c r="L56" s="590">
        <f t="shared" si="10"/>
        <v>13392.703999999998</v>
      </c>
      <c r="M56" s="453">
        <f>+K56-Димитровград!E17</f>
        <v>4546.47</v>
      </c>
      <c r="O56" s="590">
        <f>+Плевен!H17+Бургас!E17+'Враца 1'!E17+'Враца 2'!E17+Перник!E17+Русе!E17+'Велико Търново'!C17</f>
        <v>8482.2340000000004</v>
      </c>
      <c r="P56" s="590">
        <f>+Цени!D16</f>
        <v>4345.5870000000004</v>
      </c>
      <c r="Q56" s="590">
        <f>+Цени!C16+Цени!Q16</f>
        <v>14.516</v>
      </c>
      <c r="R56" s="590">
        <f t="shared" si="12"/>
        <v>12842.337</v>
      </c>
      <c r="T56" s="590">
        <f>+'Борса и балансиране'!C17</f>
        <v>1500</v>
      </c>
      <c r="U56" s="590">
        <f>+'Борса и балансиране'!J17+'Борса и балансиране'!K17</f>
        <v>-0.36700000000018917</v>
      </c>
      <c r="V56" s="590">
        <f t="shared" si="13"/>
        <v>-950.00000000000182</v>
      </c>
      <c r="Y56" s="590">
        <f t="shared" si="14"/>
        <v>12827.821</v>
      </c>
      <c r="Z56" s="590">
        <f t="shared" si="16"/>
        <v>1514.5160000000001</v>
      </c>
    </row>
    <row r="57" spans="1:29" s="355" customFormat="1" x14ac:dyDescent="0.25">
      <c r="A57" s="601" t="s">
        <v>242</v>
      </c>
      <c r="B57" s="354">
        <f t="shared" si="15"/>
        <v>45641</v>
      </c>
      <c r="C57" s="590">
        <f>+Плевен!H18+Плевен!K18</f>
        <v>3394.0630000000001</v>
      </c>
      <c r="D57" s="590">
        <f>+Бургас!E18+Бургас!H18</f>
        <v>991.28899999999987</v>
      </c>
      <c r="E57" s="590">
        <f>+'Враца 1'!E18+'Враца 1'!H18</f>
        <v>539.27700000000004</v>
      </c>
      <c r="F57" s="590">
        <f>+'Враца 2'!E18+'Враца 2'!H18</f>
        <v>253.03299999999999</v>
      </c>
      <c r="G57" s="590">
        <f>+'Велико Търново'!C18+'Велико Търново'!E18</f>
        <v>224.07</v>
      </c>
      <c r="H57" s="590">
        <f>+Перник!E18+Перник!G18</f>
        <v>1081.856</v>
      </c>
      <c r="I57" s="590">
        <f>+Русе!E18+Русе!G18</f>
        <v>1262.0450000000001</v>
      </c>
      <c r="J57" s="590">
        <f>+Цени!Y17</f>
        <v>0</v>
      </c>
      <c r="K57" s="590">
        <f>+'Русе Кемикълс'!E18+Труд!E18+Берус!E18+'Бултекс 1'!E18+'Доминекс про'!E18+РВД!E18+Димитровград!E18+Булмаш!E18+ЛКМК!E18+'PPC Гърция'!D18+Алуком!E18+Илинден!E18+'Ваптех АМ'!E18+HERON!D18+'МЕТ ВИТОЛ ДХТ'!D18+'МЕТ ВИТОЛ ДХТ'!J18+'МЕТ ВИТОЛ ДХТ'!P18+'МЕТ ВИТОЛ ДХТ'!V18+'МЕТ ВИТОЛ ДХТ'!AB18+'МЕТ ВИТОЛ ДХТ'!AH18</f>
        <v>4541.79</v>
      </c>
      <c r="L57" s="590">
        <f t="shared" si="10"/>
        <v>12287.422999999999</v>
      </c>
      <c r="M57" s="453">
        <f>+K57-Димитровград!E18</f>
        <v>4541.79</v>
      </c>
      <c r="O57" s="590">
        <f>+Плевен!H18+Бургас!E18+'Враца 1'!E18+'Враца 2'!E18+Перник!E18+Русе!E18+'Велико Търново'!C18</f>
        <v>7377.32</v>
      </c>
      <c r="P57" s="590">
        <f>+Цени!D17</f>
        <v>4345.5870000000004</v>
      </c>
      <c r="Q57" s="590">
        <f>+Цени!C17+Цени!Q17</f>
        <v>14.516</v>
      </c>
      <c r="R57" s="590">
        <f t="shared" si="12"/>
        <v>11737.422999999999</v>
      </c>
      <c r="T57" s="590">
        <f>+'Борса и балансиране'!C18</f>
        <v>1500</v>
      </c>
      <c r="U57" s="590">
        <f>+'Борса и балансиране'!J18+'Борса и балансиране'!K18</f>
        <v>0</v>
      </c>
      <c r="V57" s="590">
        <f t="shared" si="13"/>
        <v>-950</v>
      </c>
      <c r="Y57" s="590">
        <f t="shared" si="14"/>
        <v>11722.906999999999</v>
      </c>
      <c r="Z57" s="590">
        <f t="shared" si="16"/>
        <v>1514.5160000000001</v>
      </c>
      <c r="AA57" s="453"/>
      <c r="AC57" s="453"/>
    </row>
    <row r="58" spans="1:29" s="355" customFormat="1" x14ac:dyDescent="0.25">
      <c r="A58" s="601" t="s">
        <v>243</v>
      </c>
      <c r="B58" s="354">
        <f t="shared" si="15"/>
        <v>45642</v>
      </c>
      <c r="C58" s="590">
        <f>+Плевен!H19+Плевен!K19</f>
        <v>4244.1910000000007</v>
      </c>
      <c r="D58" s="590">
        <f>+Бургас!E19+Бургас!H19</f>
        <v>1053.9570000000001</v>
      </c>
      <c r="E58" s="590">
        <f>+'Враца 1'!E19+'Враца 1'!H19</f>
        <v>486.81400000000002</v>
      </c>
      <c r="F58" s="590">
        <f>+'Враца 2'!E19+'Враца 2'!H19</f>
        <v>214.476</v>
      </c>
      <c r="G58" s="590">
        <f>+'Велико Търново'!C19+'Велико Търново'!E19</f>
        <v>197.655</v>
      </c>
      <c r="H58" s="590">
        <f>+Перник!E19+Перник!G19</f>
        <v>1110.712</v>
      </c>
      <c r="I58" s="590">
        <f>+Русе!E19+Русе!G19</f>
        <v>1335.126</v>
      </c>
      <c r="J58" s="590">
        <f>+Цени!Y18</f>
        <v>0</v>
      </c>
      <c r="K58" s="590">
        <f>+'Русе Кемикълс'!E19+Труд!E19+Берус!E19+'Бултекс 1'!E19+'Доминекс про'!E19+РВД!E19+Димитровград!E19+Булмаш!E19+ЛКМК!E19+'PPC Гърция'!D19+Алуком!E19+Илинден!E19+'Ваптех АМ'!E19+HERON!D19+'МЕТ ВИТОЛ ДХТ'!D19+'МЕТ ВИТОЛ ДХТ'!J19+'МЕТ ВИТОЛ ДХТ'!P19+'МЕТ ВИТОЛ ДХТ'!V19+'МЕТ ВИТОЛ ДХТ'!AB19+'МЕТ ВИТОЛ ДХТ'!AH19</f>
        <v>4652.1559999999999</v>
      </c>
      <c r="L58" s="590">
        <f t="shared" si="10"/>
        <v>13295.087</v>
      </c>
      <c r="M58" s="453">
        <f>+K58-Димитровград!E19</f>
        <v>4652.1559999999999</v>
      </c>
      <c r="O58" s="590">
        <f>+Плевен!H19+Бургас!E19+'Враца 1'!E19+'Враца 2'!E19+Перник!E19+Русе!E19+'Велико Търново'!C19</f>
        <v>8254.9840000000004</v>
      </c>
      <c r="P58" s="590">
        <f>+Цени!D18</f>
        <v>4345.5870000000004</v>
      </c>
      <c r="Q58" s="590">
        <f>+Цени!C18+Цени!Q18</f>
        <v>14.516</v>
      </c>
      <c r="R58" s="590">
        <f t="shared" si="12"/>
        <v>12615.087</v>
      </c>
      <c r="T58" s="590">
        <f>+'Борса и балансиране'!C19</f>
        <v>1630</v>
      </c>
      <c r="U58" s="590">
        <f>+'Борса и балансиране'!J19+'Борса и балансиране'!K19</f>
        <v>0</v>
      </c>
      <c r="V58" s="590">
        <f t="shared" si="13"/>
        <v>-950</v>
      </c>
      <c r="Y58" s="590">
        <f t="shared" si="14"/>
        <v>12600.571</v>
      </c>
      <c r="Z58" s="590">
        <f t="shared" si="16"/>
        <v>1644.5160000000001</v>
      </c>
      <c r="AA58" s="453"/>
      <c r="AC58" s="453"/>
    </row>
    <row r="59" spans="1:29" s="355" customFormat="1" x14ac:dyDescent="0.25">
      <c r="A59" s="601" t="s">
        <v>244</v>
      </c>
      <c r="B59" s="354">
        <f t="shared" si="15"/>
        <v>45643</v>
      </c>
      <c r="C59" s="590">
        <f>+Плевен!H20+Плевен!K20</f>
        <v>0</v>
      </c>
      <c r="D59" s="590">
        <f>+Бургас!E20+Бургас!H20</f>
        <v>0</v>
      </c>
      <c r="E59" s="590">
        <f>+'Враца 1'!E20+'Враца 1'!H20</f>
        <v>0</v>
      </c>
      <c r="F59" s="590">
        <f>+'Враца 2'!E20+'Враца 2'!H20</f>
        <v>0</v>
      </c>
      <c r="G59" s="590">
        <f>+'Велико Търново'!C20+'Велико Търново'!E20</f>
        <v>0</v>
      </c>
      <c r="H59" s="590">
        <f>+Перник!E20+Перник!G20</f>
        <v>0</v>
      </c>
      <c r="I59" s="590">
        <f>+Русе!E20+Русе!G20</f>
        <v>0</v>
      </c>
      <c r="J59" s="590">
        <f>+Цени!Y19</f>
        <v>0</v>
      </c>
      <c r="K59" s="590">
        <f>+'Русе Кемикълс'!E20+Труд!E20+Берус!E20+'Бултекс 1'!E20+'Доминекс про'!E20+РВД!E20+Димитровград!E20+Булмаш!E20+ЛКМК!E20+'PPC Гърция'!D20+Алуком!E20+Илинден!E20+'Ваптех АМ'!E20+HERON!D20+'МЕТ ВИТОЛ ДХТ'!D20+'МЕТ ВИТОЛ ДХТ'!J20+'МЕТ ВИТОЛ ДХТ'!P20+'МЕТ ВИТОЛ ДХТ'!V20+'МЕТ ВИТОЛ ДХТ'!AB20+'МЕТ ВИТОЛ ДХТ'!AH20</f>
        <v>0</v>
      </c>
      <c r="L59" s="590">
        <f t="shared" si="10"/>
        <v>0</v>
      </c>
      <c r="M59" s="453">
        <f>+K59-Димитровград!E20</f>
        <v>0</v>
      </c>
      <c r="O59" s="590">
        <f>+Плевен!H20+Бургас!E20+'Враца 1'!E20+'Враца 2'!E20+Перник!E20+Русе!E20+'Велико Търново'!C20</f>
        <v>0</v>
      </c>
      <c r="P59" s="590">
        <f>+Цени!D19</f>
        <v>0</v>
      </c>
      <c r="Q59" s="590">
        <f>+Цени!C19+Цени!Q19</f>
        <v>0</v>
      </c>
      <c r="R59" s="590">
        <f t="shared" si="12"/>
        <v>0</v>
      </c>
      <c r="T59" s="590">
        <f>+'Борса и балансиране'!C20</f>
        <v>0</v>
      </c>
      <c r="U59" s="590">
        <f>+'Борса и балансиране'!J20+'Борса и балансиране'!K20</f>
        <v>0</v>
      </c>
      <c r="V59" s="590">
        <f t="shared" si="13"/>
        <v>0</v>
      </c>
      <c r="Y59" s="590">
        <f t="shared" si="14"/>
        <v>0</v>
      </c>
      <c r="Z59" s="590">
        <f t="shared" si="16"/>
        <v>0</v>
      </c>
      <c r="AA59" s="453"/>
      <c r="AC59" s="453"/>
    </row>
    <row r="60" spans="1:29" s="355" customFormat="1" x14ac:dyDescent="0.25">
      <c r="A60" s="601" t="s">
        <v>245</v>
      </c>
      <c r="B60" s="354">
        <f t="shared" si="15"/>
        <v>45644</v>
      </c>
      <c r="C60" s="590">
        <f>+Плевен!H21+Плевен!K21</f>
        <v>0</v>
      </c>
      <c r="D60" s="590">
        <f>+Бургас!E21+Бургас!H21</f>
        <v>0</v>
      </c>
      <c r="E60" s="590">
        <f>+'Враца 1'!E21+'Враца 1'!H21</f>
        <v>0</v>
      </c>
      <c r="F60" s="590">
        <f>+'Враца 2'!E21+'Враца 2'!H21</f>
        <v>0</v>
      </c>
      <c r="G60" s="590">
        <f>+'Велико Търново'!C21+'Велико Търново'!E21</f>
        <v>0</v>
      </c>
      <c r="H60" s="590">
        <f>+Перник!E21+Перник!G21</f>
        <v>0</v>
      </c>
      <c r="I60" s="590">
        <f>+Русе!E21+Русе!G21</f>
        <v>0</v>
      </c>
      <c r="J60" s="590">
        <f>+Цени!Y20</f>
        <v>0</v>
      </c>
      <c r="K60" s="590">
        <f>+'Русе Кемикълс'!E21+Труд!E21+Берус!E21+'Бултекс 1'!E21+'Доминекс про'!E21+РВД!E21+Димитровград!E21+Булмаш!E21+ЛКМК!E21+'PPC Гърция'!D21+Алуком!E21+Илинден!E21+'Ваптех АМ'!E21+HERON!D21+'МЕТ ВИТОЛ ДХТ'!D21+'МЕТ ВИТОЛ ДХТ'!J21+'МЕТ ВИТОЛ ДХТ'!P21+'МЕТ ВИТОЛ ДХТ'!V21+'МЕТ ВИТОЛ ДХТ'!AB21+'МЕТ ВИТОЛ ДХТ'!AH21</f>
        <v>0</v>
      </c>
      <c r="L60" s="590">
        <f t="shared" si="10"/>
        <v>0</v>
      </c>
      <c r="M60" s="453">
        <f>+K60-Димитровград!E21</f>
        <v>0</v>
      </c>
      <c r="O60" s="590">
        <f>+Плевен!H21+Бургас!E21+'Враца 1'!E21+'Враца 2'!E21+Перник!E21+Русе!E21+'Велико Търново'!C21</f>
        <v>0</v>
      </c>
      <c r="P60" s="590">
        <f>+Цени!D20</f>
        <v>0</v>
      </c>
      <c r="Q60" s="590">
        <f>+Цени!C20+Цени!Q20</f>
        <v>0</v>
      </c>
      <c r="R60" s="590">
        <f t="shared" si="12"/>
        <v>0</v>
      </c>
      <c r="T60" s="590">
        <f>+'Борса и балансиране'!C21</f>
        <v>0</v>
      </c>
      <c r="U60" s="590">
        <f>+'Борса и балансиране'!J21+'Борса и балансиране'!K21</f>
        <v>0</v>
      </c>
      <c r="V60" s="590">
        <f t="shared" si="13"/>
        <v>0</v>
      </c>
      <c r="Y60" s="590">
        <f t="shared" si="14"/>
        <v>0</v>
      </c>
      <c r="Z60" s="590">
        <f t="shared" si="16"/>
        <v>0</v>
      </c>
      <c r="AA60" s="453"/>
      <c r="AC60" s="453"/>
    </row>
    <row r="61" spans="1:29" s="355" customFormat="1" x14ac:dyDescent="0.25">
      <c r="A61" s="601" t="s">
        <v>246</v>
      </c>
      <c r="B61" s="354">
        <f t="shared" si="15"/>
        <v>45645</v>
      </c>
      <c r="C61" s="590">
        <f>+Плевен!H22+Плевен!K22</f>
        <v>0</v>
      </c>
      <c r="D61" s="590">
        <f>+Бургас!E22+Бургас!H22</f>
        <v>0</v>
      </c>
      <c r="E61" s="590">
        <f>+'Враца 1'!E22+'Враца 1'!H22</f>
        <v>0</v>
      </c>
      <c r="F61" s="590">
        <f>+'Враца 2'!E22+'Враца 2'!H22</f>
        <v>0</v>
      </c>
      <c r="G61" s="590">
        <f>+'Велико Търново'!C22+'Велико Търново'!E22</f>
        <v>0</v>
      </c>
      <c r="H61" s="590">
        <f>+Перник!E22+Перник!G22</f>
        <v>0</v>
      </c>
      <c r="I61" s="590">
        <f>+Русе!E22+Русе!G22</f>
        <v>0</v>
      </c>
      <c r="J61" s="590">
        <f>+Цени!Y21</f>
        <v>0</v>
      </c>
      <c r="K61" s="590">
        <f>+'Русе Кемикълс'!E22+Труд!E22+Берус!E22+'Бултекс 1'!E22+'Доминекс про'!E22+РВД!E22+Димитровград!E22+Булмаш!E22+ЛКМК!E22+'PPC Гърция'!D22+Алуком!E22+Илинден!E22+'Ваптех АМ'!E22+HERON!D22+'МЕТ ВИТОЛ ДХТ'!D22+'МЕТ ВИТОЛ ДХТ'!J22+'МЕТ ВИТОЛ ДХТ'!P22+'МЕТ ВИТОЛ ДХТ'!V22+'МЕТ ВИТОЛ ДХТ'!AB22+'МЕТ ВИТОЛ ДХТ'!AH22</f>
        <v>0</v>
      </c>
      <c r="L61" s="590">
        <f t="shared" ref="L61:L73" si="17">SUM(C61:K61)</f>
        <v>0</v>
      </c>
      <c r="M61" s="453">
        <f>+K61-Димитровград!E22</f>
        <v>0</v>
      </c>
      <c r="O61" s="590">
        <f>+Плевен!H22+Бургас!E22+'Враца 1'!E22+'Враца 2'!E22+Перник!E22+Русе!E22+'Велико Търново'!C22</f>
        <v>0</v>
      </c>
      <c r="P61" s="590">
        <f>+Цени!D21</f>
        <v>0</v>
      </c>
      <c r="Q61" s="590">
        <f>+Цени!C21+Цени!Q21</f>
        <v>0</v>
      </c>
      <c r="R61" s="590">
        <f t="shared" si="12"/>
        <v>0</v>
      </c>
      <c r="T61" s="590">
        <f>+'Борса и балансиране'!C22</f>
        <v>0</v>
      </c>
      <c r="U61" s="590">
        <f>+'Борса и балансиране'!J22+'Борса и балансиране'!K22</f>
        <v>0</v>
      </c>
      <c r="V61" s="590">
        <f t="shared" si="13"/>
        <v>0</v>
      </c>
      <c r="Y61" s="590">
        <f t="shared" si="14"/>
        <v>0</v>
      </c>
      <c r="Z61" s="590">
        <f t="shared" si="16"/>
        <v>0</v>
      </c>
      <c r="AA61" s="453"/>
      <c r="AC61" s="453"/>
    </row>
    <row r="62" spans="1:29" s="355" customFormat="1" x14ac:dyDescent="0.25">
      <c r="A62" s="601" t="s">
        <v>247</v>
      </c>
      <c r="B62" s="354">
        <f t="shared" si="15"/>
        <v>45646</v>
      </c>
      <c r="C62" s="590">
        <f>+Плевен!H23+Плевен!K23</f>
        <v>0</v>
      </c>
      <c r="D62" s="590">
        <f>+Бургас!E23+Бургас!H23</f>
        <v>0</v>
      </c>
      <c r="E62" s="590">
        <f>+'Враца 1'!E23+'Враца 1'!H23</f>
        <v>0</v>
      </c>
      <c r="F62" s="590">
        <f>+'Враца 2'!E23+'Враца 2'!H23</f>
        <v>0</v>
      </c>
      <c r="G62" s="590">
        <f>+'Велико Търново'!C23+'Велико Търново'!E23</f>
        <v>0</v>
      </c>
      <c r="H62" s="590">
        <f>+Перник!E23+Перник!G23</f>
        <v>0</v>
      </c>
      <c r="I62" s="590">
        <f>+Русе!E23+Русе!G23</f>
        <v>0</v>
      </c>
      <c r="J62" s="590">
        <f>+Цени!Y22</f>
        <v>0</v>
      </c>
      <c r="K62" s="590">
        <f>+'Русе Кемикълс'!E23+Труд!E23+Берус!E23+'Бултекс 1'!E23+'Доминекс про'!E23+РВД!E23+Димитровград!E23+Булмаш!E23+ЛКМК!E23+'PPC Гърция'!D23+Алуком!E23+Илинден!E23+'Ваптех АМ'!E23+HERON!D23+'МЕТ ВИТОЛ ДХТ'!D23+'МЕТ ВИТОЛ ДХТ'!J23+'МЕТ ВИТОЛ ДХТ'!P23+'МЕТ ВИТОЛ ДХТ'!V23+'МЕТ ВИТОЛ ДХТ'!AB23+'МЕТ ВИТОЛ ДХТ'!AH23</f>
        <v>0</v>
      </c>
      <c r="L62" s="590">
        <f t="shared" si="17"/>
        <v>0</v>
      </c>
      <c r="M62" s="453">
        <f>+K62-Димитровград!E23</f>
        <v>0</v>
      </c>
      <c r="O62" s="590">
        <f>+Плевен!H23+Бургас!E23+'Враца 1'!E23+'Враца 2'!E23+Перник!E23+Русе!E23+'Велико Търново'!C23</f>
        <v>0</v>
      </c>
      <c r="P62" s="590">
        <f>+Цени!D22</f>
        <v>0</v>
      </c>
      <c r="Q62" s="590">
        <f>+Цени!C22+Цени!Q22</f>
        <v>0</v>
      </c>
      <c r="R62" s="590">
        <f t="shared" si="12"/>
        <v>0</v>
      </c>
      <c r="T62" s="590">
        <f>+'Борса и балансиране'!C23</f>
        <v>0</v>
      </c>
      <c r="U62" s="590">
        <f>+'Борса и балансиране'!J23+'Борса и балансиране'!K23</f>
        <v>0</v>
      </c>
      <c r="V62" s="590">
        <f t="shared" si="13"/>
        <v>0</v>
      </c>
      <c r="Y62" s="590">
        <f t="shared" si="14"/>
        <v>0</v>
      </c>
      <c r="Z62" s="590">
        <f t="shared" si="16"/>
        <v>0</v>
      </c>
      <c r="AA62" s="453"/>
      <c r="AC62" s="453"/>
    </row>
    <row r="63" spans="1:29" s="355" customFormat="1" x14ac:dyDescent="0.25">
      <c r="A63" s="601" t="s">
        <v>248</v>
      </c>
      <c r="B63" s="354">
        <f t="shared" si="15"/>
        <v>45647</v>
      </c>
      <c r="C63" s="590">
        <f>+Плевен!H24+Плевен!K24</f>
        <v>0</v>
      </c>
      <c r="D63" s="590">
        <f>+Бургас!E24+Бургас!H24</f>
        <v>0</v>
      </c>
      <c r="E63" s="590">
        <f>+'Враца 1'!E24+'Враца 1'!H24</f>
        <v>0</v>
      </c>
      <c r="F63" s="590">
        <f>+'Враца 2'!E24+'Враца 2'!H24</f>
        <v>0</v>
      </c>
      <c r="G63" s="590">
        <f>+'Велико Търново'!C24+'Велико Търново'!E24</f>
        <v>0</v>
      </c>
      <c r="H63" s="590">
        <f>+Перник!E24+Перник!G24</f>
        <v>0</v>
      </c>
      <c r="I63" s="590">
        <f>+Русе!E24+Русе!G24</f>
        <v>0</v>
      </c>
      <c r="J63" s="590">
        <f>+Цени!Y23</f>
        <v>0</v>
      </c>
      <c r="K63" s="590">
        <f>+'Русе Кемикълс'!E24+Труд!E24+Берус!E24+'Бултекс 1'!E24+'Доминекс про'!E24+РВД!E24+Димитровград!E24+Булмаш!E24+ЛКМК!E24+'PPC Гърция'!D24+Алуком!E24+Илинден!E24+'Ваптех АМ'!E24+HERON!D24+'МЕТ ВИТОЛ ДХТ'!D24+'МЕТ ВИТОЛ ДХТ'!J24+'МЕТ ВИТОЛ ДХТ'!P24+'МЕТ ВИТОЛ ДХТ'!V24+'МЕТ ВИТОЛ ДХТ'!AB24+'МЕТ ВИТОЛ ДХТ'!AH24</f>
        <v>0</v>
      </c>
      <c r="L63" s="590">
        <f t="shared" si="17"/>
        <v>0</v>
      </c>
      <c r="M63" s="453">
        <f>+K63-Димитровград!E24</f>
        <v>0</v>
      </c>
      <c r="O63" s="590">
        <f>+Плевен!H24+Бургас!E24+'Враца 1'!E24+'Враца 2'!E24+Перник!E24+Русе!E24+'Велико Търново'!C24</f>
        <v>0</v>
      </c>
      <c r="P63" s="590">
        <f>+Цени!D23</f>
        <v>0</v>
      </c>
      <c r="Q63" s="590">
        <f>+Цени!C23+Цени!Q23</f>
        <v>0</v>
      </c>
      <c r="R63" s="590">
        <f t="shared" si="12"/>
        <v>0</v>
      </c>
      <c r="T63" s="590">
        <f>+'Борса и балансиране'!C24</f>
        <v>0</v>
      </c>
      <c r="U63" s="590">
        <f>+'Борса и балансиране'!J24+'Борса и балансиране'!K24</f>
        <v>0</v>
      </c>
      <c r="V63" s="590">
        <f t="shared" si="13"/>
        <v>0</v>
      </c>
      <c r="Y63" s="590">
        <f t="shared" si="14"/>
        <v>0</v>
      </c>
      <c r="Z63" s="590">
        <f t="shared" si="16"/>
        <v>0</v>
      </c>
      <c r="AA63" s="453"/>
      <c r="AC63" s="453"/>
    </row>
    <row r="64" spans="1:29" s="355" customFormat="1" x14ac:dyDescent="0.25">
      <c r="A64" s="601" t="s">
        <v>242</v>
      </c>
      <c r="B64" s="354">
        <f t="shared" si="15"/>
        <v>45648</v>
      </c>
      <c r="C64" s="590">
        <f>+Плевен!H25+Плевен!K25</f>
        <v>0</v>
      </c>
      <c r="D64" s="590">
        <f>+Бургас!E25+Бургас!H25</f>
        <v>0</v>
      </c>
      <c r="E64" s="590">
        <f>+'Враца 1'!E25+'Враца 1'!H25</f>
        <v>0</v>
      </c>
      <c r="F64" s="590">
        <f>+'Враца 2'!E25+'Враца 2'!H25</f>
        <v>0</v>
      </c>
      <c r="G64" s="590">
        <f>+'Велико Търново'!C25+'Велико Търново'!E25</f>
        <v>0</v>
      </c>
      <c r="H64" s="590">
        <f>+Перник!E25+Перник!G25</f>
        <v>0</v>
      </c>
      <c r="I64" s="590">
        <f>+Русе!E25+Русе!G25</f>
        <v>0</v>
      </c>
      <c r="J64" s="590">
        <f>+Цени!Y24</f>
        <v>0</v>
      </c>
      <c r="K64" s="590">
        <f>+'Русе Кемикълс'!E25+Труд!E25+Берус!E25+'Бултекс 1'!E25+'Доминекс про'!E25+РВД!E25+Димитровград!E25+Булмаш!E25+ЛКМК!E25+'PPC Гърция'!D25+Алуком!E25+Илинден!E25+'Ваптех АМ'!E25+HERON!D25+'МЕТ ВИТОЛ ДХТ'!D25+'МЕТ ВИТОЛ ДХТ'!J25+'МЕТ ВИТОЛ ДХТ'!P25+'МЕТ ВИТОЛ ДХТ'!V25+'МЕТ ВИТОЛ ДХТ'!AB25+'МЕТ ВИТОЛ ДХТ'!AH25</f>
        <v>0</v>
      </c>
      <c r="L64" s="590">
        <f t="shared" si="17"/>
        <v>0</v>
      </c>
      <c r="M64" s="453">
        <f>+K64-Димитровград!E25</f>
        <v>0</v>
      </c>
      <c r="O64" s="590">
        <f>+Плевен!H25+Бургас!E25+'Враца 1'!E25+'Враца 2'!E25+Перник!E25+Русе!E25+'Велико Търново'!C25</f>
        <v>0</v>
      </c>
      <c r="P64" s="590">
        <f>+Цени!D24</f>
        <v>0</v>
      </c>
      <c r="Q64" s="590">
        <f>+Цени!C24+Цени!Q24</f>
        <v>0</v>
      </c>
      <c r="R64" s="590">
        <f t="shared" si="12"/>
        <v>0</v>
      </c>
      <c r="T64" s="590">
        <f>+'Борса и балансиране'!C25</f>
        <v>0</v>
      </c>
      <c r="U64" s="590">
        <f>+'Борса и балансиране'!J25+'Борса и балансиране'!K25</f>
        <v>0</v>
      </c>
      <c r="V64" s="590">
        <f t="shared" si="13"/>
        <v>0</v>
      </c>
      <c r="Y64" s="590">
        <f t="shared" si="14"/>
        <v>0</v>
      </c>
      <c r="Z64" s="590">
        <f t="shared" si="16"/>
        <v>0</v>
      </c>
      <c r="AA64" s="453"/>
      <c r="AC64" s="453"/>
    </row>
    <row r="65" spans="1:29" s="355" customFormat="1" x14ac:dyDescent="0.25">
      <c r="A65" s="601" t="s">
        <v>243</v>
      </c>
      <c r="B65" s="354">
        <f t="shared" si="15"/>
        <v>45649</v>
      </c>
      <c r="C65" s="590">
        <f>+Плевен!H26+Плевен!K26</f>
        <v>0</v>
      </c>
      <c r="D65" s="590">
        <f>+Бургас!E26+Бургас!H26</f>
        <v>0</v>
      </c>
      <c r="E65" s="590">
        <f>+'Враца 1'!E26+'Враца 1'!H26</f>
        <v>0</v>
      </c>
      <c r="F65" s="590">
        <f>+'Враца 2'!E26+'Враца 2'!H26</f>
        <v>0</v>
      </c>
      <c r="G65" s="590">
        <f>+'Велико Търново'!C26+'Велико Търново'!E26</f>
        <v>0</v>
      </c>
      <c r="H65" s="590">
        <f>+Перник!E26+Перник!G26</f>
        <v>0</v>
      </c>
      <c r="I65" s="590">
        <f>+Русе!E26+Русе!G26</f>
        <v>0</v>
      </c>
      <c r="J65" s="590">
        <f>+Цени!Y25</f>
        <v>0</v>
      </c>
      <c r="K65" s="590">
        <f>+'Русе Кемикълс'!E26+Труд!E26+Берус!E26+'Бултекс 1'!E26+'Доминекс про'!E26+РВД!E26+Димитровград!E26+Булмаш!E26+ЛКМК!E26+'PPC Гърция'!D26+Алуком!E26+Илинден!E26+'Ваптех АМ'!E26+HERON!D26+'МЕТ ВИТОЛ ДХТ'!D26+'МЕТ ВИТОЛ ДХТ'!J26+'МЕТ ВИТОЛ ДХТ'!P26+'МЕТ ВИТОЛ ДХТ'!V26+'МЕТ ВИТОЛ ДХТ'!AB26+'МЕТ ВИТОЛ ДХТ'!AH26</f>
        <v>0</v>
      </c>
      <c r="L65" s="590">
        <f t="shared" si="17"/>
        <v>0</v>
      </c>
      <c r="M65" s="453">
        <f>+K65-Димитровград!E26</f>
        <v>0</v>
      </c>
      <c r="O65" s="590">
        <f>+Плевен!H26+Бургас!E26+'Враца 1'!E26+'Враца 2'!E26+Перник!E26+Русе!E26+'Велико Търново'!C26</f>
        <v>0</v>
      </c>
      <c r="P65" s="590">
        <f>+Цени!D25</f>
        <v>0</v>
      </c>
      <c r="Q65" s="590">
        <f>+Цени!C25+Цени!Q25</f>
        <v>0</v>
      </c>
      <c r="R65" s="590">
        <f t="shared" si="12"/>
        <v>0</v>
      </c>
      <c r="T65" s="590">
        <f>+'Борса и балансиране'!C26</f>
        <v>0</v>
      </c>
      <c r="U65" s="590">
        <f>+'Борса и балансиране'!J26+'Борса и балансиране'!K26</f>
        <v>0</v>
      </c>
      <c r="V65" s="590">
        <f t="shared" si="13"/>
        <v>0</v>
      </c>
      <c r="Y65" s="590">
        <f t="shared" si="14"/>
        <v>0</v>
      </c>
      <c r="Z65" s="590">
        <f t="shared" si="16"/>
        <v>0</v>
      </c>
      <c r="AA65" s="453"/>
      <c r="AC65" s="453"/>
    </row>
    <row r="66" spans="1:29" s="355" customFormat="1" x14ac:dyDescent="0.25">
      <c r="A66" s="601" t="s">
        <v>244</v>
      </c>
      <c r="B66" s="354">
        <f t="shared" si="15"/>
        <v>45650</v>
      </c>
      <c r="C66" s="590">
        <f>+Плевен!H27+Плевен!K27</f>
        <v>0</v>
      </c>
      <c r="D66" s="590">
        <f>+Бургас!E27+Бургас!H27</f>
        <v>0</v>
      </c>
      <c r="E66" s="590">
        <f>+'Враца 1'!E27+'Враца 1'!H27</f>
        <v>0</v>
      </c>
      <c r="F66" s="590">
        <f>+'Враца 2'!E27+'Враца 2'!H27</f>
        <v>0</v>
      </c>
      <c r="G66" s="590">
        <f>+'Велико Търново'!C27+'Велико Търново'!E27</f>
        <v>0</v>
      </c>
      <c r="H66" s="590">
        <f>+Перник!E27+Перник!G27</f>
        <v>0</v>
      </c>
      <c r="I66" s="590">
        <f>+Русе!E27+Русе!G27</f>
        <v>0</v>
      </c>
      <c r="J66" s="590">
        <f>+Цени!Y26</f>
        <v>0</v>
      </c>
      <c r="K66" s="590">
        <f>+'Русе Кемикълс'!E27+Труд!E27+Берус!E27+'Бултекс 1'!E27+'Доминекс про'!E27+РВД!E27+Димитровград!E27+Булмаш!E27+ЛКМК!E27+'PPC Гърция'!D27+Алуком!E27+Илинден!E27+'Ваптех АМ'!E27+HERON!D27+'МЕТ ВИТОЛ ДХТ'!D27+'МЕТ ВИТОЛ ДХТ'!J27+'МЕТ ВИТОЛ ДХТ'!P27+'МЕТ ВИТОЛ ДХТ'!V27+'МЕТ ВИТОЛ ДХТ'!AB27+'МЕТ ВИТОЛ ДХТ'!AH27</f>
        <v>0</v>
      </c>
      <c r="L66" s="590">
        <f t="shared" si="17"/>
        <v>0</v>
      </c>
      <c r="M66" s="453">
        <f>+K66-Димитровград!E27</f>
        <v>0</v>
      </c>
      <c r="O66" s="590">
        <f>+Плевен!H27+Бургас!E27+'Враца 1'!E27+'Враца 2'!E27+Перник!E27+Русе!E27+'Велико Търново'!C27</f>
        <v>0</v>
      </c>
      <c r="P66" s="590">
        <f>+Цени!D26</f>
        <v>0</v>
      </c>
      <c r="Q66" s="590">
        <f>+Цени!C26+Цени!Q26</f>
        <v>0</v>
      </c>
      <c r="R66" s="590">
        <f t="shared" si="12"/>
        <v>0</v>
      </c>
      <c r="T66" s="590">
        <f>+'Борса и балансиране'!C27</f>
        <v>0</v>
      </c>
      <c r="U66" s="590">
        <f>+'Борса и балансиране'!J27+'Борса и балансиране'!K27</f>
        <v>0</v>
      </c>
      <c r="V66" s="590">
        <f t="shared" si="13"/>
        <v>0</v>
      </c>
      <c r="Y66" s="590">
        <f t="shared" si="14"/>
        <v>0</v>
      </c>
      <c r="Z66" s="590">
        <f t="shared" si="16"/>
        <v>0</v>
      </c>
      <c r="AA66" s="453"/>
      <c r="AC66" s="453"/>
    </row>
    <row r="67" spans="1:29" s="355" customFormat="1" x14ac:dyDescent="0.25">
      <c r="A67" s="601" t="s">
        <v>245</v>
      </c>
      <c r="B67" s="354">
        <f t="shared" si="15"/>
        <v>45651</v>
      </c>
      <c r="C67" s="590">
        <f>+Плевен!H28+Плевен!K28</f>
        <v>0</v>
      </c>
      <c r="D67" s="590">
        <f>+Бургас!E28+Бургас!H28</f>
        <v>0</v>
      </c>
      <c r="E67" s="590">
        <f>+'Враца 1'!E28+'Враца 1'!H28</f>
        <v>0</v>
      </c>
      <c r="F67" s="590">
        <f>+'Враца 2'!E28+'Враца 2'!H28</f>
        <v>0</v>
      </c>
      <c r="G67" s="590">
        <f>+'Велико Търново'!C28+'Велико Търново'!E28</f>
        <v>0</v>
      </c>
      <c r="H67" s="590">
        <f>+Перник!E28+Перник!G28</f>
        <v>0</v>
      </c>
      <c r="I67" s="590">
        <f>+Русе!E28+Русе!G28</f>
        <v>0</v>
      </c>
      <c r="J67" s="590">
        <f>+Цени!Y27</f>
        <v>0</v>
      </c>
      <c r="K67" s="590">
        <f>+'Русе Кемикълс'!E28+Труд!E28+Берус!E28+'Бултекс 1'!E28+'Доминекс про'!E28+РВД!E28+Димитровград!E28+Булмаш!E28+ЛКМК!E28+'PPC Гърция'!D28+Алуком!E28+Илинден!E28+'Ваптех АМ'!E28+HERON!D28+'МЕТ ВИТОЛ ДХТ'!D28+'МЕТ ВИТОЛ ДХТ'!J28+'МЕТ ВИТОЛ ДХТ'!P28+'МЕТ ВИТОЛ ДХТ'!V28+'МЕТ ВИТОЛ ДХТ'!AB28+'МЕТ ВИТОЛ ДХТ'!AH28</f>
        <v>0</v>
      </c>
      <c r="L67" s="590">
        <f t="shared" si="17"/>
        <v>0</v>
      </c>
      <c r="M67" s="453">
        <f>+K67-Димитровград!E28</f>
        <v>0</v>
      </c>
      <c r="O67" s="590">
        <f>+Плевен!H28+Бургас!E28+'Враца 1'!E28+'Враца 2'!E28+Перник!E28+Русе!E28+'Велико Търново'!C28</f>
        <v>0</v>
      </c>
      <c r="P67" s="590">
        <f>+Цени!D27</f>
        <v>0</v>
      </c>
      <c r="Q67" s="590">
        <f>+Цени!C27+Цени!Q27</f>
        <v>0</v>
      </c>
      <c r="R67" s="590">
        <f t="shared" si="12"/>
        <v>0</v>
      </c>
      <c r="T67" s="590">
        <f>+'Борса и балансиране'!C28</f>
        <v>0</v>
      </c>
      <c r="U67" s="590">
        <f>+'Борса и балансиране'!J28+'Борса и балансиране'!K28</f>
        <v>0</v>
      </c>
      <c r="V67" s="590">
        <f t="shared" si="13"/>
        <v>0</v>
      </c>
      <c r="Y67" s="590">
        <f t="shared" si="14"/>
        <v>0</v>
      </c>
      <c r="Z67" s="590">
        <f t="shared" si="16"/>
        <v>0</v>
      </c>
      <c r="AA67" s="453"/>
      <c r="AC67" s="453"/>
    </row>
    <row r="68" spans="1:29" s="355" customFormat="1" x14ac:dyDescent="0.25">
      <c r="A68" s="601" t="s">
        <v>246</v>
      </c>
      <c r="B68" s="354">
        <f t="shared" si="15"/>
        <v>45652</v>
      </c>
      <c r="C68" s="590">
        <f>+Плевен!H29+Плевен!K29</f>
        <v>0</v>
      </c>
      <c r="D68" s="590">
        <f>+Бургас!E29+Бургас!H29</f>
        <v>0</v>
      </c>
      <c r="E68" s="590">
        <f>+'Враца 1'!E29+'Враца 1'!H29</f>
        <v>0</v>
      </c>
      <c r="F68" s="590">
        <f>+'Враца 2'!E29+'Враца 2'!H29</f>
        <v>0</v>
      </c>
      <c r="G68" s="590">
        <f>+'Велико Търново'!C29+'Велико Търново'!E29</f>
        <v>0</v>
      </c>
      <c r="H68" s="590">
        <f>+Перник!E29+Перник!G29</f>
        <v>0</v>
      </c>
      <c r="I68" s="590">
        <f>+Русе!E29+Русе!G29</f>
        <v>0</v>
      </c>
      <c r="J68" s="590">
        <f>+Цени!Y28</f>
        <v>0</v>
      </c>
      <c r="K68" s="590">
        <f>+'Русе Кемикълс'!E29+Труд!E29+Берус!E29+'Бултекс 1'!E29+'Доминекс про'!E29+РВД!E29+Димитровград!E29+Булмаш!E29+ЛКМК!E29+'PPC Гърция'!D29+Алуком!E29+Илинден!E29+'Ваптех АМ'!E29+HERON!D29+'МЕТ ВИТОЛ ДХТ'!D29+'МЕТ ВИТОЛ ДХТ'!J29+'МЕТ ВИТОЛ ДХТ'!P29+'МЕТ ВИТОЛ ДХТ'!V29+'МЕТ ВИТОЛ ДХТ'!AB29+'МЕТ ВИТОЛ ДХТ'!AH29</f>
        <v>0</v>
      </c>
      <c r="L68" s="590">
        <f t="shared" si="17"/>
        <v>0</v>
      </c>
      <c r="M68" s="453">
        <f>+K68-Димитровград!E29</f>
        <v>0</v>
      </c>
      <c r="O68" s="590">
        <f>+Плевен!H29+Бургас!E29+'Враца 1'!E29+'Враца 2'!E29+Перник!E29+Русе!E29+'Велико Търново'!C29</f>
        <v>0</v>
      </c>
      <c r="P68" s="590">
        <f>+Цени!D28</f>
        <v>0</v>
      </c>
      <c r="Q68" s="590">
        <f>+Цени!C28+Цени!Q28</f>
        <v>0</v>
      </c>
      <c r="R68" s="590">
        <f t="shared" si="12"/>
        <v>0</v>
      </c>
      <c r="T68" s="590">
        <f>+'Борса и балансиране'!C29</f>
        <v>0</v>
      </c>
      <c r="U68" s="590">
        <f>+'Борса и балансиране'!J29+'Борса и балансиране'!K29</f>
        <v>0</v>
      </c>
      <c r="V68" s="590">
        <f t="shared" si="13"/>
        <v>0</v>
      </c>
      <c r="Y68" s="590">
        <f t="shared" si="14"/>
        <v>0</v>
      </c>
      <c r="Z68" s="590">
        <f t="shared" si="16"/>
        <v>0</v>
      </c>
      <c r="AA68" s="453"/>
      <c r="AC68" s="453"/>
    </row>
    <row r="69" spans="1:29" s="355" customFormat="1" x14ac:dyDescent="0.25">
      <c r="A69" s="601" t="s">
        <v>247</v>
      </c>
      <c r="B69" s="354">
        <f t="shared" si="15"/>
        <v>45653</v>
      </c>
      <c r="C69" s="590">
        <f>+Плевен!H30+Плевен!K30</f>
        <v>0</v>
      </c>
      <c r="D69" s="590">
        <f>+Бургас!E30+Бургас!H30</f>
        <v>0</v>
      </c>
      <c r="E69" s="590">
        <f>+'Враца 1'!E30+'Враца 1'!H30</f>
        <v>0</v>
      </c>
      <c r="F69" s="590">
        <f>+'Враца 2'!E30+'Враца 2'!H30</f>
        <v>0</v>
      </c>
      <c r="G69" s="590">
        <f>+'Велико Търново'!C30+'Велико Търново'!E30</f>
        <v>0</v>
      </c>
      <c r="H69" s="590">
        <f>+Перник!E30+Перник!G30</f>
        <v>0</v>
      </c>
      <c r="I69" s="590">
        <f>+Русе!E30+Русе!G30</f>
        <v>0</v>
      </c>
      <c r="J69" s="590">
        <f>+Цени!Y29</f>
        <v>0</v>
      </c>
      <c r="K69" s="590">
        <f>+'Русе Кемикълс'!E30+Труд!E30+Берус!E30+'Бултекс 1'!E30+'Доминекс про'!E30+РВД!E30+Димитровград!E30+Булмаш!E30+ЛКМК!E30+'PPC Гърция'!D30+Алуком!E30+Илинден!E30+'Ваптех АМ'!E30+HERON!D30+'МЕТ ВИТОЛ ДХТ'!D30+'МЕТ ВИТОЛ ДХТ'!J30+'МЕТ ВИТОЛ ДХТ'!P30+'МЕТ ВИТОЛ ДХТ'!V30+'МЕТ ВИТОЛ ДХТ'!AB30+'МЕТ ВИТОЛ ДХТ'!AH30</f>
        <v>0</v>
      </c>
      <c r="L69" s="590">
        <f t="shared" si="17"/>
        <v>0</v>
      </c>
      <c r="M69" s="453">
        <f>+K69-Димитровград!E30</f>
        <v>0</v>
      </c>
      <c r="O69" s="590">
        <f>+Плевен!H30+Бургас!E30+'Враца 1'!E30+'Враца 2'!E30+Перник!E30+Русе!E30+'Велико Търново'!C30</f>
        <v>0</v>
      </c>
      <c r="P69" s="590">
        <f>+Цени!D29</f>
        <v>0</v>
      </c>
      <c r="Q69" s="590">
        <f>+Цени!C29+Цени!Q29</f>
        <v>0</v>
      </c>
      <c r="R69" s="590">
        <f t="shared" si="12"/>
        <v>0</v>
      </c>
      <c r="T69" s="590">
        <f>+'Борса и балансиране'!C30</f>
        <v>0</v>
      </c>
      <c r="U69" s="590">
        <f>+'Борса и балансиране'!J30+'Борса и балансиране'!K30</f>
        <v>0</v>
      </c>
      <c r="V69" s="590">
        <f t="shared" si="13"/>
        <v>0</v>
      </c>
      <c r="Y69" s="590">
        <f t="shared" si="14"/>
        <v>0</v>
      </c>
      <c r="Z69" s="590">
        <f t="shared" si="16"/>
        <v>0</v>
      </c>
      <c r="AA69" s="453"/>
      <c r="AC69" s="453"/>
    </row>
    <row r="70" spans="1:29" s="355" customFormat="1" x14ac:dyDescent="0.25">
      <c r="A70" s="601" t="s">
        <v>248</v>
      </c>
      <c r="B70" s="354">
        <f t="shared" si="15"/>
        <v>45654</v>
      </c>
      <c r="C70" s="590">
        <f>+Плевен!H31+Плевен!K31</f>
        <v>0</v>
      </c>
      <c r="D70" s="590">
        <f>+Бургас!E31+Бургас!H31</f>
        <v>0</v>
      </c>
      <c r="E70" s="590">
        <f>+'Враца 1'!E31+'Враца 1'!H31</f>
        <v>0</v>
      </c>
      <c r="F70" s="590">
        <f>+'Враца 2'!E31+'Враца 2'!H31</f>
        <v>0</v>
      </c>
      <c r="G70" s="590">
        <f>+'Велико Търново'!C31+'Велико Търново'!E31</f>
        <v>0</v>
      </c>
      <c r="H70" s="590">
        <f>+Перник!E31+Перник!G31</f>
        <v>0</v>
      </c>
      <c r="I70" s="590">
        <f>+Русе!E31+Русе!G31</f>
        <v>0</v>
      </c>
      <c r="J70" s="590">
        <f>+Цени!Y30</f>
        <v>0</v>
      </c>
      <c r="K70" s="590">
        <f>+'Русе Кемикълс'!E31+Труд!E31+Берус!E31+'Бултекс 1'!E31+'Доминекс про'!E31+РВД!E31+Димитровград!E31+Булмаш!E31+ЛКМК!E31+'PPC Гърция'!D31+Алуком!E31+Илинден!E31+'Ваптех АМ'!E31+HERON!D31+'МЕТ ВИТОЛ ДХТ'!D31+'МЕТ ВИТОЛ ДХТ'!J31+'МЕТ ВИТОЛ ДХТ'!P31+'МЕТ ВИТОЛ ДХТ'!V31+'МЕТ ВИТОЛ ДХТ'!AB31+'МЕТ ВИТОЛ ДХТ'!AH31</f>
        <v>0</v>
      </c>
      <c r="L70" s="590">
        <f t="shared" si="17"/>
        <v>0</v>
      </c>
      <c r="M70" s="453">
        <f>+K70-Димитровград!E31</f>
        <v>0</v>
      </c>
      <c r="O70" s="590">
        <f>+Плевен!H31+Бургас!E31+'Враца 1'!E31+'Враца 2'!E31+Перник!E31+Русе!E31+'Велико Търново'!C31</f>
        <v>0</v>
      </c>
      <c r="P70" s="590">
        <f>+Цени!D30</f>
        <v>0</v>
      </c>
      <c r="Q70" s="590">
        <f>+Цени!C30+Цени!Q30</f>
        <v>0</v>
      </c>
      <c r="R70" s="590">
        <f t="shared" si="12"/>
        <v>0</v>
      </c>
      <c r="T70" s="590">
        <f>+'Борса и балансиране'!C31</f>
        <v>0</v>
      </c>
      <c r="U70" s="590">
        <f>+'Борса и балансиране'!J31+'Борса и балансиране'!K31</f>
        <v>0</v>
      </c>
      <c r="V70" s="590">
        <f t="shared" si="13"/>
        <v>0</v>
      </c>
      <c r="Y70" s="590">
        <f t="shared" si="14"/>
        <v>0</v>
      </c>
      <c r="Z70" s="590">
        <f t="shared" si="16"/>
        <v>0</v>
      </c>
      <c r="AA70" s="453"/>
      <c r="AC70" s="453"/>
    </row>
    <row r="71" spans="1:29" s="355" customFormat="1" x14ac:dyDescent="0.25">
      <c r="A71" s="601" t="s">
        <v>242</v>
      </c>
      <c r="B71" s="354">
        <f t="shared" si="15"/>
        <v>45655</v>
      </c>
      <c r="C71" s="590">
        <f>+Плевен!H32+Плевен!K32</f>
        <v>0</v>
      </c>
      <c r="D71" s="590">
        <f>+Бургас!E32+Бургас!H32</f>
        <v>0</v>
      </c>
      <c r="E71" s="590">
        <f>+'Враца 1'!E32+'Враца 1'!H32</f>
        <v>0</v>
      </c>
      <c r="F71" s="590">
        <f>+'Враца 2'!E32+'Враца 2'!H32</f>
        <v>0</v>
      </c>
      <c r="G71" s="590">
        <f>+'Велико Търново'!C32+'Велико Търново'!E32</f>
        <v>0</v>
      </c>
      <c r="H71" s="590">
        <f>+Перник!E32+Перник!G32</f>
        <v>0</v>
      </c>
      <c r="I71" s="590">
        <f>+Русе!E32+Русе!G32</f>
        <v>0</v>
      </c>
      <c r="J71" s="590">
        <f>+Цени!Y31</f>
        <v>0</v>
      </c>
      <c r="K71" s="590">
        <f>+'Русе Кемикълс'!E32+Труд!E32+Берус!E32+'Бултекс 1'!E32+'Доминекс про'!E32+РВД!E32+Димитровград!E32+Булмаш!E32+ЛКМК!E32+'PPC Гърция'!D32+Алуком!E32+Илинден!E32+'Ваптех АМ'!E32+HERON!D32+'МЕТ ВИТОЛ ДХТ'!D32+'МЕТ ВИТОЛ ДХТ'!J32+'МЕТ ВИТОЛ ДХТ'!P32+'МЕТ ВИТОЛ ДХТ'!V32+'МЕТ ВИТОЛ ДХТ'!AB32+'МЕТ ВИТОЛ ДХТ'!AH32</f>
        <v>0</v>
      </c>
      <c r="L71" s="590">
        <f t="shared" si="17"/>
        <v>0</v>
      </c>
      <c r="M71" s="453">
        <f>+K71-Димитровград!E32</f>
        <v>0</v>
      </c>
      <c r="O71" s="590">
        <f>+Плевен!H32+Бургас!E32+'Враца 1'!E32+'Враца 2'!E32+Перник!E32+Русе!E32+'Велико Търново'!C32</f>
        <v>0</v>
      </c>
      <c r="P71" s="590">
        <f>+Цени!D31</f>
        <v>0</v>
      </c>
      <c r="Q71" s="590">
        <f>+Цени!C31+Цени!Q31</f>
        <v>0</v>
      </c>
      <c r="R71" s="590">
        <f t="shared" si="12"/>
        <v>0</v>
      </c>
      <c r="T71" s="590">
        <f>+'Борса и балансиране'!C32</f>
        <v>0</v>
      </c>
      <c r="U71" s="590">
        <f>+'Борса и балансиране'!J32+'Борса и балансиране'!K32</f>
        <v>0</v>
      </c>
      <c r="V71" s="590">
        <f t="shared" si="13"/>
        <v>0</v>
      </c>
      <c r="Y71" s="590">
        <f t="shared" ref="Y71" si="18">+O71+P71</f>
        <v>0</v>
      </c>
      <c r="Z71" s="590">
        <f t="shared" ref="Z71" si="19">+Q71+T71</f>
        <v>0</v>
      </c>
      <c r="AA71" s="453"/>
      <c r="AC71" s="453"/>
    </row>
    <row r="72" spans="1:29" s="355" customFormat="1" x14ac:dyDescent="0.25">
      <c r="A72" s="601" t="s">
        <v>242</v>
      </c>
      <c r="B72" s="354">
        <f>+B71+1</f>
        <v>45656</v>
      </c>
      <c r="C72" s="590">
        <f>+Плевен!H33+Плевен!K33</f>
        <v>0</v>
      </c>
      <c r="D72" s="590">
        <f>+Бургас!E33+Бургас!H33</f>
        <v>0</v>
      </c>
      <c r="E72" s="590">
        <f>+'Враца 1'!E33+'Враца 1'!H33</f>
        <v>0</v>
      </c>
      <c r="F72" s="590">
        <f>+'Враца 2'!E33+'Враца 2'!H33</f>
        <v>0</v>
      </c>
      <c r="G72" s="590">
        <f>+'Велико Търново'!C33+'Велико Търново'!E33</f>
        <v>0</v>
      </c>
      <c r="H72" s="590">
        <f>+Перник!E33+Перник!G33</f>
        <v>0</v>
      </c>
      <c r="I72" s="590">
        <f>+Русе!E33+Русе!G33</f>
        <v>0</v>
      </c>
      <c r="J72" s="590">
        <f>+Цени!Y32</f>
        <v>0</v>
      </c>
      <c r="K72" s="590">
        <f>+'Русе Кемикълс'!E33+Труд!E33+Берус!E33+'Бултекс 1'!E33+'Доминекс про'!E33+РВД!E33+Димитровград!E33+Булмаш!E34+ЛКМК!E33+'PPC Гърция'!D33+Алуком!E33+Илинден!E33+'Ваптех АМ'!E33+HERON!D33+'МЕТ ВИТОЛ ДХТ'!D33+'МЕТ ВИТОЛ ДХТ'!J33+'МЕТ ВИТОЛ ДХТ'!P33+'МЕТ ВИТОЛ ДХТ'!V33+'МЕТ ВИТОЛ ДХТ'!AB33+'МЕТ ВИТОЛ ДХТ'!AH33</f>
        <v>0</v>
      </c>
      <c r="L72" s="590">
        <f t="shared" si="17"/>
        <v>0</v>
      </c>
      <c r="M72" s="453">
        <f>+K72-Димитровград!E33</f>
        <v>0</v>
      </c>
      <c r="O72" s="590">
        <f>+Плевен!H33+Бургас!E33+'Враца 1'!E33+'Враца 2'!E33+Перник!E33+Русе!E33+'Велико Търново'!C33</f>
        <v>0</v>
      </c>
      <c r="P72" s="590">
        <f>+Цени!D32</f>
        <v>0</v>
      </c>
      <c r="Q72" s="590">
        <f>+Цени!C32+Цени!Q32</f>
        <v>0</v>
      </c>
      <c r="R72" s="590">
        <f>SUM(O72:Q72)</f>
        <v>0</v>
      </c>
      <c r="T72" s="590">
        <f>+'Борса и балансиране'!C34</f>
        <v>0</v>
      </c>
      <c r="U72" s="590">
        <f>+'Борса и балансиране'!J34+'Борса и балансиране'!K34</f>
        <v>0</v>
      </c>
      <c r="V72" s="590">
        <f>+L72-R72-T72+U72</f>
        <v>0</v>
      </c>
      <c r="Y72" s="590">
        <f>+O72+P72</f>
        <v>0</v>
      </c>
      <c r="Z72" s="590">
        <f>+Q72+T72</f>
        <v>0</v>
      </c>
      <c r="AA72" s="453"/>
      <c r="AC72" s="453"/>
    </row>
    <row r="73" spans="1:29" s="355" customFormat="1" ht="15.75" thickBot="1" x14ac:dyDescent="0.3">
      <c r="A73" s="601" t="s">
        <v>242</v>
      </c>
      <c r="B73" s="354">
        <f>+B72+1</f>
        <v>45657</v>
      </c>
      <c r="C73" s="590">
        <f>+Плевен!H34+Плевен!K34</f>
        <v>0</v>
      </c>
      <c r="D73" s="590">
        <f>+Бургас!E34+Бургас!H34</f>
        <v>0</v>
      </c>
      <c r="E73" s="590">
        <f>+'Враца 1'!E34+'Враца 1'!H34</f>
        <v>0</v>
      </c>
      <c r="F73" s="590">
        <f>+'Враца 2'!E34+'Враца 2'!H34</f>
        <v>0</v>
      </c>
      <c r="G73" s="590">
        <f>+'Велико Търново'!C34+'Велико Търново'!E34</f>
        <v>0</v>
      </c>
      <c r="H73" s="590">
        <f>+Перник!E34+Перник!G34</f>
        <v>0</v>
      </c>
      <c r="I73" s="590">
        <f>+Русе!E34+Русе!G34</f>
        <v>0</v>
      </c>
      <c r="J73" s="590">
        <f>+Цени!Y33</f>
        <v>0</v>
      </c>
      <c r="K73" s="590">
        <f>+'Русе Кемикълс'!E34+Труд!E34+Берус!E34+'Бултекс 1'!E34+'Доминекс про'!E34+РВД!E34+Димитровград!E34+Булмаш!E35+ЛКМК!E34+'PPC Гърция'!D34+Алуком!E34+Илинден!E34+'Ваптех АМ'!E34+HERON!D34+'МЕТ ВИТОЛ ДХТ'!D34+'МЕТ ВИТОЛ ДХТ'!J34+'МЕТ ВИТОЛ ДХТ'!P34+'МЕТ ВИТОЛ ДХТ'!V34+'МЕТ ВИТОЛ ДХТ'!AB34+'МЕТ ВИТОЛ ДХТ'!AH34</f>
        <v>38.391995184561026</v>
      </c>
      <c r="L73" s="590">
        <f t="shared" si="17"/>
        <v>38.391995184561026</v>
      </c>
      <c r="M73" s="453">
        <f>+K73-Димитровград!E34</f>
        <v>38.391995184561026</v>
      </c>
      <c r="O73" s="590">
        <f>+Плевен!H34+Бургас!E34+'Враца 1'!E34+'Враца 2'!E34+Перник!E34+Русе!E34+'Велико Търново'!C34</f>
        <v>0</v>
      </c>
      <c r="P73" s="590">
        <f>+Цени!D33</f>
        <v>0</v>
      </c>
      <c r="Q73" s="590">
        <f>+Цени!C33+Цени!Q33</f>
        <v>0</v>
      </c>
      <c r="R73" s="590">
        <f>SUM(O73:Q73)</f>
        <v>0</v>
      </c>
      <c r="T73" s="590">
        <f>+'Борса и балансиране'!C35</f>
        <v>19647</v>
      </c>
      <c r="U73" s="590">
        <f>+'Борса и балансиране'!J35+'Борса и балансиране'!K35</f>
        <v>53.171000000000276</v>
      </c>
      <c r="V73" s="590">
        <f>+L73-R73-T73+U73</f>
        <v>-19555.437004815438</v>
      </c>
      <c r="Y73" s="590">
        <f>+O73+P73</f>
        <v>0</v>
      </c>
      <c r="Z73" s="590">
        <f>+Q73+T73</f>
        <v>19647</v>
      </c>
      <c r="AA73" s="453"/>
      <c r="AC73" s="453"/>
    </row>
    <row r="74" spans="1:29" ht="15.75" thickBot="1" x14ac:dyDescent="0.3">
      <c r="B74" s="350" t="s">
        <v>151</v>
      </c>
      <c r="C74" s="351">
        <f t="shared" ref="C74:M74" si="20">SUM(C43:C73)</f>
        <v>69548.724000000002</v>
      </c>
      <c r="D74" s="351">
        <f t="shared" si="20"/>
        <v>16335.241000000004</v>
      </c>
      <c r="E74" s="351">
        <f t="shared" si="20"/>
        <v>8272.3689999999988</v>
      </c>
      <c r="F74" s="351">
        <f t="shared" si="20"/>
        <v>4424.8860000000004</v>
      </c>
      <c r="G74" s="351">
        <f t="shared" si="20"/>
        <v>4060.3450000000003</v>
      </c>
      <c r="H74" s="351">
        <f t="shared" si="20"/>
        <v>16406.935000000001</v>
      </c>
      <c r="I74" s="351">
        <f t="shared" si="20"/>
        <v>30450.308999999997</v>
      </c>
      <c r="J74" s="351">
        <f t="shared" si="20"/>
        <v>0</v>
      </c>
      <c r="K74" s="351">
        <f t="shared" si="20"/>
        <v>70939.313995184566</v>
      </c>
      <c r="L74" s="351">
        <f t="shared" si="20"/>
        <v>220438.12299518459</v>
      </c>
      <c r="M74" s="351">
        <f t="shared" si="20"/>
        <v>46940.296995184566</v>
      </c>
      <c r="O74" s="351">
        <f>SUM(O43:O73)</f>
        <v>143044.25399999999</v>
      </c>
      <c r="P74" s="351">
        <f>SUM(P43:P73)</f>
        <v>73929.392000000007</v>
      </c>
      <c r="Q74" s="351">
        <f>SUM(Q43:Q73)</f>
        <v>232.25599999999994</v>
      </c>
      <c r="R74" s="351">
        <f>SUM(R43:R73)</f>
        <v>217205.902</v>
      </c>
      <c r="T74" s="351">
        <f>SUM(T43:T73)</f>
        <v>39294</v>
      </c>
      <c r="U74" s="351">
        <f>SUM(U43:U73)</f>
        <v>106.34200000000055</v>
      </c>
      <c r="V74" s="351">
        <f>SUM(V43:V73)</f>
        <v>-35955.437004815438</v>
      </c>
      <c r="Y74" s="351">
        <f>SUM(Y43:Y73)</f>
        <v>216973.64600000004</v>
      </c>
      <c r="Z74" s="351">
        <f>SUM(Z43:Z73)</f>
        <v>39526.255999999994</v>
      </c>
      <c r="AA74" s="349"/>
      <c r="AC74" s="349"/>
    </row>
    <row r="75" spans="1:29" x14ac:dyDescent="0.25">
      <c r="C75">
        <f>+C74/31</f>
        <v>2243.5072258064515</v>
      </c>
      <c r="D75">
        <f t="shared" ref="D75:L75" si="21">+D74/31</f>
        <v>526.94325806451627</v>
      </c>
      <c r="E75">
        <f t="shared" si="21"/>
        <v>266.85061290322579</v>
      </c>
      <c r="F75">
        <f t="shared" si="21"/>
        <v>142.73825806451615</v>
      </c>
      <c r="G75">
        <f t="shared" si="21"/>
        <v>130.97887096774195</v>
      </c>
      <c r="H75">
        <f t="shared" si="21"/>
        <v>529.25596774193548</v>
      </c>
      <c r="I75">
        <f t="shared" si="21"/>
        <v>982.26803225806441</v>
      </c>
      <c r="J75">
        <f t="shared" ref="J75" si="22">+J74/31</f>
        <v>0</v>
      </c>
      <c r="K75">
        <f t="shared" si="21"/>
        <v>2288.3649675865991</v>
      </c>
      <c r="L75">
        <f t="shared" si="21"/>
        <v>7110.9071933930509</v>
      </c>
      <c r="M75">
        <f>+M74/31</f>
        <v>1514.2031288769215</v>
      </c>
      <c r="O75">
        <f>+O74/31</f>
        <v>4614.3307741935478</v>
      </c>
      <c r="P75">
        <f t="shared" ref="P75:T75" si="23">+P74/31</f>
        <v>2384.8190967741939</v>
      </c>
      <c r="Q75">
        <f t="shared" si="23"/>
        <v>7.4921290322580623</v>
      </c>
      <c r="R75">
        <f t="shared" si="23"/>
        <v>7006.6419999999998</v>
      </c>
      <c r="T75">
        <f t="shared" si="23"/>
        <v>1267.5483870967741</v>
      </c>
      <c r="U75">
        <f t="shared" ref="U75" si="24">+U74/31</f>
        <v>3.4303870967742114</v>
      </c>
      <c r="V75">
        <f t="shared" ref="V75" si="25">+V74/31</f>
        <v>-1159.8528066069496</v>
      </c>
    </row>
    <row r="76" spans="1:29" x14ac:dyDescent="0.25">
      <c r="Q76" s="349">
        <f>+Q74+P74</f>
        <v>74161.648000000001</v>
      </c>
      <c r="T76">
        <f>+T75+U75+V75</f>
        <v>111.12596758659879</v>
      </c>
    </row>
    <row r="77" spans="1:29" x14ac:dyDescent="0.25">
      <c r="Q77">
        <f>+Q76/31</f>
        <v>2392.3112258064516</v>
      </c>
    </row>
  </sheetData>
  <mergeCells count="4">
    <mergeCell ref="B3:L3"/>
    <mergeCell ref="O3:S3"/>
    <mergeCell ref="B41:L41"/>
    <mergeCell ref="O41:R4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U38"/>
  <sheetViews>
    <sheetView view="pageBreakPreview" topLeftCell="A21" zoomScale="85" zoomScaleNormal="100" zoomScaleSheetLayoutView="85" workbookViewId="0">
      <selection activeCell="F35" sqref="F35"/>
    </sheetView>
  </sheetViews>
  <sheetFormatPr defaultColWidth="9.140625" defaultRowHeight="15" x14ac:dyDescent="0.25"/>
  <cols>
    <col min="1" max="1" width="9.140625" style="420"/>
    <col min="2" max="2" width="9.28515625" style="420" bestFit="1" customWidth="1"/>
    <col min="3" max="3" width="12.140625" style="420" customWidth="1"/>
    <col min="4" max="4" width="12" style="420" customWidth="1"/>
    <col min="5" max="5" width="10.5703125" style="420" customWidth="1"/>
    <col min="6" max="6" width="12.28515625" style="420" customWidth="1"/>
    <col min="7" max="7" width="9.7109375" style="420" customWidth="1"/>
    <col min="8" max="8" width="9.42578125" style="420" customWidth="1"/>
    <col min="9" max="9" width="13.85546875" style="420" customWidth="1"/>
    <col min="10" max="11" width="9.140625" style="420"/>
    <col min="12" max="13" width="9.28515625" style="420" bestFit="1" customWidth="1"/>
    <col min="14" max="18" width="9.140625" style="420"/>
    <col min="19" max="19" width="12" style="420" customWidth="1"/>
    <col min="20" max="20" width="9.140625" style="420"/>
    <col min="21" max="21" width="18" style="420" bestFit="1" customWidth="1"/>
    <col min="22" max="16384" width="9.140625" style="420"/>
  </cols>
  <sheetData>
    <row r="2" spans="2:21" ht="16.5" thickBot="1" x14ac:dyDescent="0.3">
      <c r="B2" s="459" t="s">
        <v>225</v>
      </c>
      <c r="C2" s="460"/>
      <c r="D2" s="460"/>
      <c r="E2" s="460"/>
      <c r="F2" s="460"/>
      <c r="G2" s="460"/>
      <c r="H2" s="460"/>
      <c r="I2" s="460"/>
      <c r="J2" s="460"/>
      <c r="K2" s="461"/>
      <c r="L2" s="461"/>
      <c r="M2" s="462"/>
      <c r="N2" s="462"/>
      <c r="O2" s="462"/>
      <c r="P2" s="462"/>
      <c r="Q2" s="462"/>
      <c r="R2" s="462"/>
      <c r="S2" s="462"/>
      <c r="T2" s="462"/>
      <c r="U2" s="462"/>
    </row>
    <row r="3" spans="2:21" ht="16.5" customHeight="1" thickBot="1" x14ac:dyDescent="0.3">
      <c r="B3" s="724" t="s">
        <v>226</v>
      </c>
      <c r="C3" s="726" t="s">
        <v>227</v>
      </c>
      <c r="D3" s="727"/>
      <c r="E3" s="727"/>
      <c r="F3" s="727"/>
      <c r="G3" s="727"/>
      <c r="H3" s="728"/>
      <c r="I3" s="720" t="s">
        <v>228</v>
      </c>
      <c r="J3" s="721"/>
      <c r="K3" s="729"/>
      <c r="L3" s="715" t="s">
        <v>224</v>
      </c>
      <c r="M3" s="461"/>
      <c r="N3" s="730" t="s">
        <v>260</v>
      </c>
      <c r="O3" s="713" t="s">
        <v>261</v>
      </c>
      <c r="P3" s="713" t="s">
        <v>262</v>
      </c>
      <c r="Q3" s="461"/>
      <c r="R3" s="461"/>
      <c r="S3" s="461"/>
      <c r="T3" s="461"/>
      <c r="U3" s="461"/>
    </row>
    <row r="4" spans="2:21" ht="48" thickBot="1" x14ac:dyDescent="0.3">
      <c r="B4" s="725"/>
      <c r="C4" s="463" t="s">
        <v>263</v>
      </c>
      <c r="D4" s="464" t="s">
        <v>264</v>
      </c>
      <c r="E4" s="464" t="s">
        <v>231</v>
      </c>
      <c r="F4" s="464" t="s">
        <v>265</v>
      </c>
      <c r="G4" s="465" t="s">
        <v>266</v>
      </c>
      <c r="H4" s="466" t="s">
        <v>233</v>
      </c>
      <c r="I4" s="467" t="s">
        <v>234</v>
      </c>
      <c r="J4" s="468" t="s">
        <v>229</v>
      </c>
      <c r="K4" s="469" t="s">
        <v>231</v>
      </c>
      <c r="L4" s="716"/>
      <c r="M4" s="461"/>
      <c r="N4" s="731"/>
      <c r="O4" s="723"/>
      <c r="P4" s="714"/>
      <c r="Q4" s="461"/>
      <c r="R4" s="461"/>
      <c r="S4" s="461"/>
      <c r="T4" s="461"/>
      <c r="U4" s="461"/>
    </row>
    <row r="5" spans="2:21" ht="15.75" x14ac:dyDescent="0.25">
      <c r="B5" s="470">
        <v>45292</v>
      </c>
      <c r="C5" s="471">
        <v>3083.9513161290315</v>
      </c>
      <c r="D5" s="472">
        <v>303.02045806451611</v>
      </c>
      <c r="E5" s="472">
        <v>1319.3548387096773</v>
      </c>
      <c r="F5" s="472">
        <v>2459.8709677419356</v>
      </c>
      <c r="G5" s="473">
        <v>0</v>
      </c>
      <c r="H5" s="474">
        <v>1332.1737096774204</v>
      </c>
      <c r="I5" s="471">
        <v>8216.9912903225813</v>
      </c>
      <c r="J5" s="472">
        <v>281.38</v>
      </c>
      <c r="K5" s="475">
        <v>0</v>
      </c>
      <c r="L5" s="476">
        <v>0</v>
      </c>
      <c r="M5" s="461"/>
      <c r="N5" s="477">
        <v>8498.3712903225805</v>
      </c>
      <c r="O5" s="478">
        <v>8498.3712903225805</v>
      </c>
      <c r="P5" s="479">
        <v>31</v>
      </c>
      <c r="Q5" s="461"/>
      <c r="R5" s="461"/>
      <c r="S5" s="461"/>
      <c r="T5" s="461"/>
      <c r="U5" s="461"/>
    </row>
    <row r="6" spans="2:21" ht="15.75" x14ac:dyDescent="0.25">
      <c r="B6" s="480">
        <v>45323</v>
      </c>
      <c r="C6" s="481">
        <v>2675.8590999999992</v>
      </c>
      <c r="D6" s="482">
        <v>261.26200344827583</v>
      </c>
      <c r="E6" s="482">
        <v>2558.6206896551726</v>
      </c>
      <c r="F6" s="482">
        <v>1937.9310344827586</v>
      </c>
      <c r="G6" s="483">
        <v>0</v>
      </c>
      <c r="H6" s="484">
        <v>306.04341379310335</v>
      </c>
      <c r="I6" s="481">
        <v>7526.379310344827</v>
      </c>
      <c r="J6" s="482">
        <v>213.33693103448275</v>
      </c>
      <c r="K6" s="485">
        <v>0</v>
      </c>
      <c r="L6" s="486">
        <v>0</v>
      </c>
      <c r="M6" s="461"/>
      <c r="N6" s="481">
        <v>7739.7162413793094</v>
      </c>
      <c r="O6" s="483">
        <v>7739.7162413793094</v>
      </c>
      <c r="P6" s="479">
        <v>29</v>
      </c>
      <c r="Q6" s="461"/>
      <c r="R6" s="461"/>
      <c r="S6" s="461"/>
      <c r="T6" s="461"/>
      <c r="U6" s="461"/>
    </row>
    <row r="7" spans="2:21" ht="15.75" x14ac:dyDescent="0.25">
      <c r="B7" s="480">
        <v>45352</v>
      </c>
      <c r="C7" s="481">
        <v>4921.5907516129027</v>
      </c>
      <c r="D7" s="482">
        <v>524.08892580645158</v>
      </c>
      <c r="E7" s="482">
        <v>800</v>
      </c>
      <c r="F7" s="482">
        <v>1099.895935483871</v>
      </c>
      <c r="G7" s="483">
        <v>0</v>
      </c>
      <c r="H7" s="484">
        <v>914.48196774193457</v>
      </c>
      <c r="I7" s="481">
        <v>8044.5220322580635</v>
      </c>
      <c r="J7" s="482">
        <v>215.53554838709681</v>
      </c>
      <c r="K7" s="485">
        <v>0</v>
      </c>
      <c r="L7" s="486">
        <v>0</v>
      </c>
      <c r="M7" s="461"/>
      <c r="N7" s="481">
        <v>8260.0575806451598</v>
      </c>
      <c r="O7" s="483">
        <v>8260.0575806451598</v>
      </c>
      <c r="P7" s="479">
        <v>31</v>
      </c>
      <c r="Q7" s="461"/>
      <c r="R7" s="461"/>
      <c r="S7" s="461"/>
      <c r="T7" s="461"/>
      <c r="U7" s="461"/>
    </row>
    <row r="8" spans="2:21" ht="15.75" x14ac:dyDescent="0.25">
      <c r="B8" s="480">
        <v>45383</v>
      </c>
      <c r="C8" s="481">
        <v>4820.7972966666666</v>
      </c>
      <c r="D8" s="482">
        <v>520.65910333333329</v>
      </c>
      <c r="E8" s="482">
        <v>15</v>
      </c>
      <c r="F8" s="482">
        <v>0</v>
      </c>
      <c r="G8" s="483">
        <v>0</v>
      </c>
      <c r="H8" s="484">
        <v>679.40426666666644</v>
      </c>
      <c r="I8" s="481">
        <v>5979.6064333333334</v>
      </c>
      <c r="J8" s="482">
        <v>56.254233333333346</v>
      </c>
      <c r="K8" s="485">
        <v>0</v>
      </c>
      <c r="L8" s="486">
        <v>0</v>
      </c>
      <c r="M8" s="461"/>
      <c r="N8" s="481">
        <v>6035.8606666666665</v>
      </c>
      <c r="O8" s="483">
        <v>6035.8606666666665</v>
      </c>
      <c r="P8" s="479">
        <v>30</v>
      </c>
      <c r="Q8" s="461"/>
      <c r="R8" s="461"/>
      <c r="S8" s="461"/>
      <c r="T8" s="461"/>
      <c r="U8" s="461"/>
    </row>
    <row r="9" spans="2:21" ht="15.75" x14ac:dyDescent="0.25">
      <c r="B9" s="567">
        <v>45413</v>
      </c>
      <c r="C9" s="568">
        <v>3128.367903225806</v>
      </c>
      <c r="D9" s="569">
        <v>0</v>
      </c>
      <c r="E9" s="569">
        <v>2835.483741935484</v>
      </c>
      <c r="F9" s="569">
        <v>0</v>
      </c>
      <c r="G9" s="570">
        <v>0</v>
      </c>
      <c r="H9" s="571">
        <v>1915.9753225806435</v>
      </c>
      <c r="I9" s="568">
        <v>5111.9537741935474</v>
      </c>
      <c r="J9" s="569">
        <v>30.264258064516135</v>
      </c>
      <c r="K9" s="572">
        <v>0</v>
      </c>
      <c r="L9" s="573">
        <v>2737.6089354838709</v>
      </c>
      <c r="M9" s="574"/>
      <c r="N9" s="568">
        <v>7879.8269677419339</v>
      </c>
      <c r="O9" s="570">
        <v>7879.8269677419339</v>
      </c>
      <c r="P9" s="575">
        <v>31</v>
      </c>
      <c r="Q9" s="574"/>
      <c r="R9" s="574"/>
      <c r="S9" s="574"/>
      <c r="T9" s="574"/>
      <c r="U9" s="574"/>
    </row>
    <row r="10" spans="2:21" ht="15.75" x14ac:dyDescent="0.25">
      <c r="B10" s="567">
        <v>45444</v>
      </c>
      <c r="C10" s="568">
        <v>4642.8239666666659</v>
      </c>
      <c r="D10" s="569">
        <v>0</v>
      </c>
      <c r="E10" s="569">
        <v>1000</v>
      </c>
      <c r="F10" s="569">
        <v>0</v>
      </c>
      <c r="G10" s="570">
        <v>0</v>
      </c>
      <c r="H10" s="571">
        <v>688.88886666666804</v>
      </c>
      <c r="I10" s="568">
        <v>5466.8038666666671</v>
      </c>
      <c r="J10" s="569">
        <v>34.908966666666664</v>
      </c>
      <c r="K10" s="572">
        <v>0</v>
      </c>
      <c r="L10" s="573">
        <v>830</v>
      </c>
      <c r="M10" s="574"/>
      <c r="N10" s="568">
        <v>6331.7128333333339</v>
      </c>
      <c r="O10" s="570">
        <v>6331.7128333333339</v>
      </c>
      <c r="P10" s="575">
        <v>30</v>
      </c>
      <c r="Q10" s="574"/>
      <c r="R10" s="574"/>
      <c r="S10" s="574"/>
      <c r="T10" s="574"/>
      <c r="U10" s="574"/>
    </row>
    <row r="11" spans="2:21" ht="15.75" x14ac:dyDescent="0.25">
      <c r="B11" s="480">
        <v>45474</v>
      </c>
      <c r="C11" s="481">
        <v>4421.9032258064553</v>
      </c>
      <c r="D11" s="482">
        <v>491.32258064516174</v>
      </c>
      <c r="E11" s="482">
        <v>3625.8064516129034</v>
      </c>
      <c r="F11" s="482">
        <v>0</v>
      </c>
      <c r="G11" s="483">
        <v>0</v>
      </c>
      <c r="H11" s="484">
        <v>768.02354838709653</v>
      </c>
      <c r="I11" s="481">
        <v>5318.612806451617</v>
      </c>
      <c r="J11" s="482">
        <v>20</v>
      </c>
      <c r="K11" s="485">
        <v>0</v>
      </c>
      <c r="L11" s="486">
        <v>3968.4430000000002</v>
      </c>
      <c r="M11" s="461"/>
      <c r="N11" s="481">
        <v>9307.0558064516172</v>
      </c>
      <c r="O11" s="483">
        <v>9307.0558064516172</v>
      </c>
      <c r="P11" s="479">
        <v>31</v>
      </c>
      <c r="Q11" s="461"/>
      <c r="R11" s="461"/>
      <c r="S11" s="461"/>
      <c r="T11" s="461"/>
      <c r="U11" s="461"/>
    </row>
    <row r="12" spans="2:21" ht="15.75" x14ac:dyDescent="0.25">
      <c r="B12" s="480">
        <v>45505</v>
      </c>
      <c r="C12" s="481">
        <v>4159.6258064516114</v>
      </c>
      <c r="D12" s="482">
        <v>462.18064516129016</v>
      </c>
      <c r="E12" s="482">
        <v>3900</v>
      </c>
      <c r="F12" s="482">
        <v>0</v>
      </c>
      <c r="G12" s="483">
        <v>0</v>
      </c>
      <c r="H12" s="484">
        <v>-134.7419032258058</v>
      </c>
      <c r="I12" s="481">
        <v>5967.0645483870958</v>
      </c>
      <c r="J12" s="482">
        <v>20</v>
      </c>
      <c r="K12" s="485">
        <v>0</v>
      </c>
      <c r="L12" s="486">
        <v>2400</v>
      </c>
      <c r="M12" s="461"/>
      <c r="N12" s="481">
        <v>8387.0645483870958</v>
      </c>
      <c r="O12" s="483">
        <v>8387.0645483870958</v>
      </c>
      <c r="P12" s="479">
        <v>31</v>
      </c>
      <c r="Q12" s="461"/>
      <c r="R12" s="461"/>
      <c r="S12" s="461"/>
      <c r="T12" s="461"/>
      <c r="U12" s="461"/>
    </row>
    <row r="13" spans="2:21" ht="15.75" x14ac:dyDescent="0.25">
      <c r="B13" s="480">
        <v>45536</v>
      </c>
      <c r="C13" s="481">
        <v>4248.3633333333391</v>
      </c>
      <c r="D13" s="482">
        <v>451.67000000000064</v>
      </c>
      <c r="E13" s="482">
        <v>2400</v>
      </c>
      <c r="F13" s="482">
        <v>0</v>
      </c>
      <c r="G13" s="483">
        <v>0</v>
      </c>
      <c r="H13" s="484">
        <v>722.1895999999897</v>
      </c>
      <c r="I13" s="481">
        <v>5665.8633333333328</v>
      </c>
      <c r="J13" s="482">
        <v>20</v>
      </c>
      <c r="K13" s="485">
        <v>0</v>
      </c>
      <c r="L13" s="486">
        <v>2136.359599999997</v>
      </c>
      <c r="M13" s="461"/>
      <c r="N13" s="481">
        <v>7822.2229333333298</v>
      </c>
      <c r="O13" s="483">
        <v>7822.2229333333298</v>
      </c>
      <c r="P13" s="479">
        <v>30</v>
      </c>
      <c r="Q13" s="461"/>
      <c r="R13" s="461"/>
      <c r="S13" s="461"/>
      <c r="T13" s="461"/>
      <c r="U13" s="461"/>
    </row>
    <row r="14" spans="2:21" ht="15.75" x14ac:dyDescent="0.25">
      <c r="B14" s="480">
        <v>45566</v>
      </c>
      <c r="C14" s="481">
        <v>3721.3451612903254</v>
      </c>
      <c r="D14" s="482">
        <v>391.97741935483907</v>
      </c>
      <c r="E14" s="482">
        <v>0</v>
      </c>
      <c r="F14" s="482">
        <v>0</v>
      </c>
      <c r="G14" s="483">
        <v>0</v>
      </c>
      <c r="H14" s="484">
        <v>772.2488064516092</v>
      </c>
      <c r="I14" s="481">
        <v>4845.5713870967738</v>
      </c>
      <c r="J14" s="482">
        <v>40</v>
      </c>
      <c r="K14" s="485">
        <v>0</v>
      </c>
      <c r="L14" s="486">
        <v>0</v>
      </c>
      <c r="M14" s="461"/>
      <c r="N14" s="481">
        <v>4885.5713870967738</v>
      </c>
      <c r="O14" s="483">
        <v>4885.5713870967738</v>
      </c>
      <c r="P14" s="479">
        <v>31</v>
      </c>
      <c r="Q14" s="461"/>
      <c r="R14" s="461"/>
      <c r="S14" s="461"/>
      <c r="T14" s="461"/>
      <c r="U14" s="461"/>
    </row>
    <row r="15" spans="2:21" ht="15.75" x14ac:dyDescent="0.25">
      <c r="B15" s="480">
        <v>45597</v>
      </c>
      <c r="C15" s="481">
        <v>5846.9763666666677</v>
      </c>
      <c r="D15" s="482">
        <v>608.92330000000015</v>
      </c>
      <c r="E15" s="482">
        <v>0</v>
      </c>
      <c r="F15" s="482">
        <v>0</v>
      </c>
      <c r="G15" s="483">
        <v>0</v>
      </c>
      <c r="H15" s="484">
        <v>1539.6769999999997</v>
      </c>
      <c r="I15" s="481">
        <v>7955.5766666666677</v>
      </c>
      <c r="J15" s="482">
        <v>40</v>
      </c>
      <c r="K15" s="485">
        <v>0</v>
      </c>
      <c r="L15" s="486">
        <v>0</v>
      </c>
      <c r="M15" s="461"/>
      <c r="N15" s="481">
        <v>7995.5766666666677</v>
      </c>
      <c r="O15" s="483">
        <v>7995.5766666666677</v>
      </c>
      <c r="P15" s="479">
        <v>30</v>
      </c>
      <c r="Q15" s="461"/>
      <c r="R15" s="461"/>
      <c r="S15" s="461"/>
      <c r="T15" s="461"/>
      <c r="U15" s="461"/>
    </row>
    <row r="16" spans="2:21" ht="16.5" thickBot="1" x14ac:dyDescent="0.3">
      <c r="B16" s="487">
        <v>45627</v>
      </c>
      <c r="C16" s="488">
        <v>5649.8580645161319</v>
      </c>
      <c r="D16" s="489">
        <v>588.33548387096801</v>
      </c>
      <c r="E16" s="489">
        <v>0</v>
      </c>
      <c r="F16" s="489">
        <v>3135.8005483870957</v>
      </c>
      <c r="G16" s="490">
        <v>0</v>
      </c>
      <c r="H16" s="491">
        <v>-399.03938709677823</v>
      </c>
      <c r="I16" s="488">
        <v>8934.9547096774186</v>
      </c>
      <c r="J16" s="489">
        <v>40</v>
      </c>
      <c r="K16" s="492">
        <v>0</v>
      </c>
      <c r="L16" s="493">
        <v>0</v>
      </c>
      <c r="M16" s="461"/>
      <c r="N16" s="494">
        <v>8974.9547096774186</v>
      </c>
      <c r="O16" s="495">
        <v>8974.9547096774186</v>
      </c>
      <c r="P16" s="479">
        <v>31</v>
      </c>
      <c r="Q16" s="461"/>
      <c r="R16" s="461"/>
      <c r="S16" s="461"/>
      <c r="T16" s="461"/>
      <c r="U16" s="461"/>
    </row>
    <row r="17" spans="2:21" ht="16.5" thickBot="1" x14ac:dyDescent="0.3">
      <c r="B17" s="496" t="s">
        <v>267</v>
      </c>
      <c r="C17" s="497">
        <v>4276.7885243638002</v>
      </c>
      <c r="D17" s="498">
        <v>383.61999330706976</v>
      </c>
      <c r="E17" s="498">
        <v>1537.8554768261031</v>
      </c>
      <c r="F17" s="498">
        <v>719.45820717463846</v>
      </c>
      <c r="G17" s="499">
        <v>0</v>
      </c>
      <c r="H17" s="500">
        <v>758.77710097021225</v>
      </c>
      <c r="I17" s="497">
        <v>6586.1583465609938</v>
      </c>
      <c r="J17" s="498">
        <v>84.306661457174641</v>
      </c>
      <c r="K17" s="501">
        <v>0</v>
      </c>
      <c r="L17" s="502">
        <v>1006.0342946236557</v>
      </c>
      <c r="M17" s="461"/>
      <c r="N17" s="503">
        <v>7676.4993026418242</v>
      </c>
      <c r="O17" s="504">
        <v>7676.4993026418242</v>
      </c>
      <c r="P17" s="461"/>
      <c r="Q17" s="461"/>
      <c r="R17" s="461"/>
      <c r="S17" s="461"/>
      <c r="T17" s="461"/>
      <c r="U17" s="461"/>
    </row>
    <row r="18" spans="2:21" ht="16.5" thickBot="1" x14ac:dyDescent="0.3">
      <c r="B18" s="461"/>
      <c r="C18" s="461"/>
      <c r="D18" s="461"/>
      <c r="E18" s="461"/>
      <c r="F18" s="461"/>
      <c r="G18" s="461"/>
      <c r="H18" s="505"/>
      <c r="I18" s="506"/>
      <c r="J18" s="506"/>
      <c r="K18" s="506"/>
      <c r="L18" s="506"/>
      <c r="M18" s="506"/>
      <c r="N18" s="506"/>
      <c r="O18" s="506"/>
      <c r="P18" s="506"/>
      <c r="Q18" s="506"/>
      <c r="R18" s="506"/>
      <c r="S18" s="506"/>
      <c r="T18" s="506"/>
      <c r="U18" s="506"/>
    </row>
    <row r="19" spans="2:21" ht="16.5" thickBot="1" x14ac:dyDescent="0.3">
      <c r="B19" s="507" t="s">
        <v>268</v>
      </c>
      <c r="C19" s="508">
        <v>0</v>
      </c>
      <c r="D19" s="509">
        <v>0</v>
      </c>
      <c r="E19" s="509">
        <v>0</v>
      </c>
      <c r="F19" s="509">
        <v>4716.0844555555559</v>
      </c>
      <c r="G19" s="510">
        <v>0</v>
      </c>
      <c r="H19" s="500">
        <v>3449.9639152267946</v>
      </c>
      <c r="I19" s="508">
        <v>7929.2975443084906</v>
      </c>
      <c r="J19" s="509">
        <v>236.75082647385986</v>
      </c>
      <c r="K19" s="510">
        <v>0</v>
      </c>
      <c r="L19" s="511">
        <v>0</v>
      </c>
      <c r="M19" s="512"/>
      <c r="N19" s="513">
        <v>8166.0483707823505</v>
      </c>
      <c r="O19" s="514">
        <v>8166.0483707823505</v>
      </c>
      <c r="P19" s="506"/>
      <c r="Q19" s="506"/>
      <c r="R19" s="506"/>
      <c r="S19" s="506"/>
      <c r="T19" s="506"/>
      <c r="U19" s="506"/>
    </row>
    <row r="20" spans="2:21" ht="15.75" x14ac:dyDescent="0.25">
      <c r="B20" s="461"/>
      <c r="C20" s="461"/>
      <c r="D20" s="461"/>
      <c r="E20" s="461"/>
      <c r="F20" s="461"/>
      <c r="G20" s="461"/>
      <c r="H20" s="461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</row>
    <row r="21" spans="2:21" ht="16.5" thickBot="1" x14ac:dyDescent="0.3">
      <c r="B21" s="459" t="s">
        <v>269</v>
      </c>
      <c r="C21" s="460"/>
      <c r="D21" s="460"/>
      <c r="E21" s="460"/>
      <c r="F21" s="460"/>
      <c r="G21" s="460"/>
      <c r="H21" s="460"/>
      <c r="I21" s="460"/>
      <c r="J21" s="460"/>
      <c r="K21" s="460"/>
      <c r="L21" s="460"/>
      <c r="M21" s="460"/>
      <c r="N21" s="460"/>
      <c r="O21" s="460"/>
      <c r="P21" s="460"/>
      <c r="Q21" s="460"/>
      <c r="R21" s="460"/>
      <c r="S21" s="460"/>
      <c r="T21" s="460"/>
      <c r="U21" s="460"/>
    </row>
    <row r="22" spans="2:21" ht="16.5" customHeight="1" thickBot="1" x14ac:dyDescent="0.3">
      <c r="B22" s="715" t="s">
        <v>226</v>
      </c>
      <c r="C22" s="717" t="s">
        <v>227</v>
      </c>
      <c r="D22" s="718"/>
      <c r="E22" s="718"/>
      <c r="F22" s="718"/>
      <c r="G22" s="718"/>
      <c r="H22" s="719"/>
      <c r="I22" s="720" t="s">
        <v>228</v>
      </c>
      <c r="J22" s="721"/>
      <c r="K22" s="722"/>
      <c r="L22" s="715" t="s">
        <v>224</v>
      </c>
      <c r="M22" s="461"/>
      <c r="N22" s="459" t="s">
        <v>270</v>
      </c>
      <c r="O22" s="461"/>
      <c r="P22" s="461"/>
      <c r="Q22" s="461"/>
      <c r="R22" s="460"/>
      <c r="S22" s="461"/>
      <c r="T22" s="461"/>
      <c r="U22" s="461"/>
    </row>
    <row r="23" spans="2:21" ht="79.5" thickBot="1" x14ac:dyDescent="0.3">
      <c r="B23" s="716"/>
      <c r="C23" s="463" t="s">
        <v>263</v>
      </c>
      <c r="D23" s="464" t="s">
        <v>264</v>
      </c>
      <c r="E23" s="464" t="s">
        <v>231</v>
      </c>
      <c r="F23" s="464" t="s">
        <v>265</v>
      </c>
      <c r="G23" s="465" t="s">
        <v>266</v>
      </c>
      <c r="H23" s="466" t="s">
        <v>233</v>
      </c>
      <c r="I23" s="467" t="s">
        <v>234</v>
      </c>
      <c r="J23" s="468" t="s">
        <v>229</v>
      </c>
      <c r="K23" s="515" t="s">
        <v>231</v>
      </c>
      <c r="L23" s="716"/>
      <c r="M23" s="461"/>
      <c r="N23" s="516" t="s">
        <v>271</v>
      </c>
      <c r="O23" s="516" t="s">
        <v>272</v>
      </c>
      <c r="P23" s="516" t="s">
        <v>273</v>
      </c>
      <c r="Q23" s="516" t="s">
        <v>274</v>
      </c>
      <c r="R23" s="460"/>
      <c r="S23" s="516" t="s">
        <v>275</v>
      </c>
      <c r="T23" s="461"/>
      <c r="U23" s="461" t="s">
        <v>271</v>
      </c>
    </row>
    <row r="24" spans="2:21" ht="15.75" x14ac:dyDescent="0.25">
      <c r="B24" s="470">
        <v>45292</v>
      </c>
      <c r="C24" s="471">
        <v>95602.49079999997</v>
      </c>
      <c r="D24" s="471">
        <v>9393.6341999999986</v>
      </c>
      <c r="E24" s="472">
        <v>40900</v>
      </c>
      <c r="F24" s="472">
        <v>76256</v>
      </c>
      <c r="G24" s="473">
        <v>0</v>
      </c>
      <c r="H24" s="474">
        <v>41297.385000000031</v>
      </c>
      <c r="I24" s="471">
        <v>254726.73</v>
      </c>
      <c r="J24" s="472">
        <v>8722.7800000000007</v>
      </c>
      <c r="K24" s="473">
        <v>0</v>
      </c>
      <c r="L24" s="476">
        <v>0</v>
      </c>
      <c r="M24" s="461"/>
      <c r="N24" s="517">
        <v>39.676249980826555</v>
      </c>
      <c r="O24" s="518">
        <v>31</v>
      </c>
      <c r="P24" s="518">
        <v>34.588895762924182</v>
      </c>
      <c r="Q24" s="517">
        <v>31.659777520776174</v>
      </c>
      <c r="R24" s="460"/>
      <c r="S24" s="519">
        <v>36.80238886574756</v>
      </c>
      <c r="T24" s="461"/>
      <c r="U24" s="520">
        <v>77.599999999999994</v>
      </c>
    </row>
    <row r="25" spans="2:21" ht="15.75" x14ac:dyDescent="0.25">
      <c r="B25" s="480">
        <v>45323</v>
      </c>
      <c r="C25" s="481">
        <v>77599.91389999997</v>
      </c>
      <c r="D25" s="482">
        <v>7576.5980999999992</v>
      </c>
      <c r="E25" s="482">
        <v>74200</v>
      </c>
      <c r="F25" s="482">
        <v>56200</v>
      </c>
      <c r="G25" s="483">
        <v>0</v>
      </c>
      <c r="H25" s="484">
        <v>8875.2589999999982</v>
      </c>
      <c r="I25" s="481">
        <v>218264.99999999997</v>
      </c>
      <c r="J25" s="482">
        <v>6186.7709999999997</v>
      </c>
      <c r="K25" s="483">
        <v>0</v>
      </c>
      <c r="L25" s="486">
        <v>0</v>
      </c>
      <c r="M25" s="461"/>
      <c r="N25" s="517">
        <v>36.342626915427211</v>
      </c>
      <c r="O25" s="518">
        <v>30</v>
      </c>
      <c r="P25" s="518">
        <v>26.77</v>
      </c>
      <c r="Q25" s="517">
        <v>29.604110512129381</v>
      </c>
      <c r="R25" s="460"/>
      <c r="S25" s="519">
        <v>32.865947550729842</v>
      </c>
      <c r="T25" s="461"/>
      <c r="U25" s="520">
        <v>71.08</v>
      </c>
    </row>
    <row r="26" spans="2:21" ht="15.75" x14ac:dyDescent="0.25">
      <c r="B26" s="480">
        <v>45352</v>
      </c>
      <c r="C26" s="481">
        <v>152569.31329999998</v>
      </c>
      <c r="D26" s="482">
        <v>16246.7567</v>
      </c>
      <c r="E26" s="482">
        <v>24800</v>
      </c>
      <c r="F26" s="482">
        <v>34096.773999999998</v>
      </c>
      <c r="G26" s="483">
        <v>0</v>
      </c>
      <c r="H26" s="484">
        <v>28348.94099999997</v>
      </c>
      <c r="I26" s="481">
        <v>249380.18299999996</v>
      </c>
      <c r="J26" s="482">
        <v>6681.6020000000008</v>
      </c>
      <c r="K26" s="483">
        <v>0</v>
      </c>
      <c r="L26" s="486">
        <v>0</v>
      </c>
      <c r="M26" s="461"/>
      <c r="N26" s="517">
        <v>29.445299438090224</v>
      </c>
      <c r="O26" s="518">
        <v>24.8</v>
      </c>
      <c r="P26" s="518">
        <v>23.3</v>
      </c>
      <c r="Q26" s="517">
        <v>27.337499999999999</v>
      </c>
      <c r="R26" s="460"/>
      <c r="S26" s="519">
        <v>28.424930704108139</v>
      </c>
      <c r="T26" s="461"/>
      <c r="U26" s="520">
        <v>57.59</v>
      </c>
    </row>
    <row r="27" spans="2:21" ht="15.75" x14ac:dyDescent="0.25">
      <c r="B27" s="480">
        <v>45383</v>
      </c>
      <c r="C27" s="481">
        <v>144623.91889999999</v>
      </c>
      <c r="D27" s="482">
        <v>15619.773099999999</v>
      </c>
      <c r="E27" s="482">
        <v>450</v>
      </c>
      <c r="F27" s="482">
        <v>0</v>
      </c>
      <c r="G27" s="483">
        <v>0</v>
      </c>
      <c r="H27" s="484">
        <v>20382.127999999993</v>
      </c>
      <c r="I27" s="481">
        <v>179388.193</v>
      </c>
      <c r="J27" s="482">
        <v>1687.6270000000004</v>
      </c>
      <c r="K27" s="483">
        <v>0</v>
      </c>
      <c r="L27" s="486">
        <v>0</v>
      </c>
      <c r="M27" s="461"/>
      <c r="N27" s="517">
        <v>30.084414289585499</v>
      </c>
      <c r="O27" s="518">
        <v>25.3</v>
      </c>
      <c r="P27" s="518">
        <v>23.8</v>
      </c>
      <c r="Q27" s="517">
        <v>33.950000000000003</v>
      </c>
      <c r="R27" s="460"/>
      <c r="S27" s="519">
        <v>29.386639054406807</v>
      </c>
      <c r="T27" s="461"/>
      <c r="U27" s="520">
        <v>58.84</v>
      </c>
    </row>
    <row r="28" spans="2:21" ht="15.75" x14ac:dyDescent="0.25">
      <c r="B28" s="567">
        <v>45413</v>
      </c>
      <c r="C28" s="568">
        <v>96979.404999999984</v>
      </c>
      <c r="D28" s="569">
        <v>0</v>
      </c>
      <c r="E28" s="569">
        <v>87899.995999999999</v>
      </c>
      <c r="F28" s="569">
        <v>0</v>
      </c>
      <c r="G28" s="570">
        <v>0</v>
      </c>
      <c r="H28" s="571">
        <v>59395.23499999995</v>
      </c>
      <c r="I28" s="568">
        <v>158470.56699999998</v>
      </c>
      <c r="J28" s="569">
        <v>938.19200000000012</v>
      </c>
      <c r="K28" s="570">
        <v>0</v>
      </c>
      <c r="L28" s="573">
        <v>84865.876999999993</v>
      </c>
      <c r="M28" s="574"/>
      <c r="N28" s="576">
        <v>27.967665901433154</v>
      </c>
      <c r="O28" s="577">
        <v>25.3</v>
      </c>
      <c r="P28" s="577">
        <v>23.8</v>
      </c>
      <c r="Q28" s="576">
        <v>24.892445643797295</v>
      </c>
      <c r="R28" s="578"/>
      <c r="S28" s="579">
        <v>25.847710459303578</v>
      </c>
      <c r="T28" s="574"/>
      <c r="U28" s="580">
        <v>54.7</v>
      </c>
    </row>
    <row r="29" spans="2:21" ht="15.75" x14ac:dyDescent="0.25">
      <c r="B29" s="567">
        <v>45444</v>
      </c>
      <c r="C29" s="568">
        <v>139284.71899999998</v>
      </c>
      <c r="D29" s="569">
        <v>0</v>
      </c>
      <c r="E29" s="569">
        <v>30000</v>
      </c>
      <c r="F29" s="569">
        <v>0</v>
      </c>
      <c r="G29" s="570">
        <v>0</v>
      </c>
      <c r="H29" s="571">
        <v>20666.666000000041</v>
      </c>
      <c r="I29" s="568">
        <v>164004.11600000001</v>
      </c>
      <c r="J29" s="569">
        <v>1047.269</v>
      </c>
      <c r="K29" s="570">
        <v>0</v>
      </c>
      <c r="L29" s="573">
        <v>24900</v>
      </c>
      <c r="M29" s="574"/>
      <c r="N29" s="576">
        <v>30.447431525234808</v>
      </c>
      <c r="O29" s="577">
        <v>25.3</v>
      </c>
      <c r="P29" s="577">
        <v>23.8</v>
      </c>
      <c r="Q29" s="576">
        <v>25.574999999999999</v>
      </c>
      <c r="R29" s="578"/>
      <c r="S29" s="579">
        <v>28.954664347743879</v>
      </c>
      <c r="T29" s="574"/>
      <c r="U29" s="600">
        <v>59.55</v>
      </c>
    </row>
    <row r="30" spans="2:21" ht="15.75" x14ac:dyDescent="0.25">
      <c r="B30" s="480">
        <v>45474</v>
      </c>
      <c r="C30" s="481">
        <v>137079.00000000012</v>
      </c>
      <c r="D30" s="482">
        <v>15231.000000000015</v>
      </c>
      <c r="E30" s="482">
        <v>112400</v>
      </c>
      <c r="F30" s="482">
        <v>0</v>
      </c>
      <c r="G30" s="483">
        <v>0</v>
      </c>
      <c r="H30" s="484">
        <v>23808.729999999992</v>
      </c>
      <c r="I30" s="481">
        <v>164876.99700000012</v>
      </c>
      <c r="J30" s="482">
        <v>620</v>
      </c>
      <c r="K30" s="483">
        <v>0</v>
      </c>
      <c r="L30" s="486">
        <v>123021.73300000001</v>
      </c>
      <c r="M30" s="461"/>
      <c r="N30" s="517">
        <v>29.706058297500295</v>
      </c>
      <c r="O30" s="518">
        <v>25.8</v>
      </c>
      <c r="P30" s="518">
        <v>24.3</v>
      </c>
      <c r="Q30" s="517">
        <v>27.59671797153025</v>
      </c>
      <c r="R30" s="460"/>
      <c r="S30" s="519">
        <v>28.438198720382111</v>
      </c>
      <c r="T30" s="461"/>
      <c r="U30" s="600">
        <v>58.1</v>
      </c>
    </row>
    <row r="31" spans="2:21" ht="15.75" x14ac:dyDescent="0.25">
      <c r="B31" s="480">
        <v>45505</v>
      </c>
      <c r="C31" s="481">
        <v>128948.39999999995</v>
      </c>
      <c r="D31" s="482">
        <v>14327.599999999995</v>
      </c>
      <c r="E31" s="482">
        <v>120900</v>
      </c>
      <c r="F31" s="482">
        <v>0</v>
      </c>
      <c r="G31" s="483">
        <v>0</v>
      </c>
      <c r="H31" s="484">
        <v>-4176.9989999999798</v>
      </c>
      <c r="I31" s="481">
        <v>184979.00099999996</v>
      </c>
      <c r="J31" s="482">
        <v>620</v>
      </c>
      <c r="K31" s="483">
        <v>0</v>
      </c>
      <c r="L31" s="486">
        <v>74400</v>
      </c>
      <c r="M31" s="461"/>
      <c r="N31" s="517">
        <v>31.040530107422427</v>
      </c>
      <c r="O31" s="518">
        <v>25.8</v>
      </c>
      <c r="P31" s="518">
        <v>24.3</v>
      </c>
      <c r="Q31" s="517">
        <v>27.262820512820515</v>
      </c>
      <c r="R31" s="460"/>
      <c r="S31" s="519">
        <v>29.392177995218738</v>
      </c>
      <c r="T31" s="461"/>
      <c r="U31" s="600">
        <v>60.71</v>
      </c>
    </row>
    <row r="32" spans="2:21" ht="15.75" x14ac:dyDescent="0.25">
      <c r="B32" s="480">
        <v>45536</v>
      </c>
      <c r="C32" s="481">
        <v>127450.90000000017</v>
      </c>
      <c r="D32" s="482">
        <v>13550.100000000019</v>
      </c>
      <c r="E32" s="482">
        <v>72000</v>
      </c>
      <c r="F32" s="482">
        <v>0</v>
      </c>
      <c r="G32" s="483">
        <v>0</v>
      </c>
      <c r="H32" s="484">
        <v>21665.687999999689</v>
      </c>
      <c r="I32" s="481">
        <v>169975.9</v>
      </c>
      <c r="J32" s="482">
        <v>600</v>
      </c>
      <c r="K32" s="483">
        <v>0</v>
      </c>
      <c r="L32" s="486">
        <v>64090.787999999913</v>
      </c>
      <c r="M32" s="461"/>
      <c r="N32" s="517">
        <v>30.677512871773111</v>
      </c>
      <c r="O32" s="518">
        <v>25.8</v>
      </c>
      <c r="P32" s="518">
        <v>24.3</v>
      </c>
      <c r="Q32" s="517">
        <v>26.889583333333334</v>
      </c>
      <c r="R32" s="460"/>
      <c r="S32" s="519">
        <v>28.926501109662752</v>
      </c>
      <c r="T32" s="461"/>
      <c r="U32" s="521">
        <v>60</v>
      </c>
    </row>
    <row r="33" spans="2:21" ht="15.75" x14ac:dyDescent="0.25">
      <c r="B33" s="480">
        <v>45566</v>
      </c>
      <c r="C33" s="481">
        <v>115361.70000000008</v>
      </c>
      <c r="D33" s="482">
        <v>12151.300000000012</v>
      </c>
      <c r="E33" s="482">
        <v>0</v>
      </c>
      <c r="F33" s="482">
        <v>0</v>
      </c>
      <c r="G33" s="483">
        <v>0</v>
      </c>
      <c r="H33" s="484">
        <v>23939.712999999887</v>
      </c>
      <c r="I33" s="481">
        <v>150212.71299999999</v>
      </c>
      <c r="J33" s="482">
        <v>1240</v>
      </c>
      <c r="K33" s="483">
        <v>0</v>
      </c>
      <c r="L33" s="486">
        <v>0</v>
      </c>
      <c r="M33" s="461"/>
      <c r="N33" s="517">
        <v>33.233972277754205</v>
      </c>
      <c r="O33" s="518">
        <v>28.5</v>
      </c>
      <c r="P33" s="518">
        <v>27</v>
      </c>
      <c r="Q33" s="517">
        <v>0</v>
      </c>
      <c r="R33" s="460"/>
      <c r="S33" s="519">
        <v>32.248585458177111</v>
      </c>
      <c r="T33" s="461"/>
      <c r="U33" s="521">
        <v>65</v>
      </c>
    </row>
    <row r="34" spans="2:21" ht="15.75" x14ac:dyDescent="0.25">
      <c r="B34" s="480">
        <v>45597</v>
      </c>
      <c r="C34" s="481">
        <v>175409.29100000003</v>
      </c>
      <c r="D34" s="482">
        <v>18267.699000000004</v>
      </c>
      <c r="E34" s="482">
        <v>0</v>
      </c>
      <c r="F34" s="482">
        <v>0</v>
      </c>
      <c r="G34" s="483">
        <v>0</v>
      </c>
      <c r="H34" s="484">
        <v>46190.30999999999</v>
      </c>
      <c r="I34" s="481">
        <v>238667.30000000005</v>
      </c>
      <c r="J34" s="482">
        <v>1200</v>
      </c>
      <c r="K34" s="483">
        <v>0</v>
      </c>
      <c r="L34" s="486">
        <v>0</v>
      </c>
      <c r="M34" s="461"/>
      <c r="N34" s="517">
        <v>35.790431683735292</v>
      </c>
      <c r="O34" s="518">
        <v>28.5</v>
      </c>
      <c r="P34" s="518">
        <v>27</v>
      </c>
      <c r="Q34" s="517">
        <v>0</v>
      </c>
      <c r="R34" s="460"/>
      <c r="S34" s="519">
        <v>34.097692554618675</v>
      </c>
      <c r="T34" s="461"/>
      <c r="U34" s="521">
        <v>70</v>
      </c>
    </row>
    <row r="35" spans="2:21" ht="16.5" thickBot="1" x14ac:dyDescent="0.3">
      <c r="B35" s="487">
        <v>45627</v>
      </c>
      <c r="C35" s="481">
        <v>175145.60000000009</v>
      </c>
      <c r="D35" s="489">
        <v>18238.400000000009</v>
      </c>
      <c r="E35" s="489">
        <v>0</v>
      </c>
      <c r="F35" s="489">
        <v>97209.816999999966</v>
      </c>
      <c r="G35" s="490">
        <v>0</v>
      </c>
      <c r="H35" s="581">
        <v>-12370.221000000125</v>
      </c>
      <c r="I35" s="488">
        <v>276983.59599999996</v>
      </c>
      <c r="J35" s="489">
        <v>1240</v>
      </c>
      <c r="K35" s="490">
        <v>0</v>
      </c>
      <c r="L35" s="493">
        <v>0</v>
      </c>
      <c r="M35" s="461"/>
      <c r="N35" s="517">
        <v>35.790431683735292</v>
      </c>
      <c r="O35" s="518">
        <v>28.5</v>
      </c>
      <c r="P35" s="518">
        <v>27</v>
      </c>
      <c r="Q35" s="517">
        <v>0</v>
      </c>
      <c r="R35" s="460"/>
      <c r="S35" s="519">
        <v>36.391157126924945</v>
      </c>
      <c r="T35" s="461"/>
      <c r="U35" s="521">
        <v>70</v>
      </c>
    </row>
    <row r="36" spans="2:21" ht="16.5" thickBot="1" x14ac:dyDescent="0.3">
      <c r="B36" s="496" t="s">
        <v>9</v>
      </c>
      <c r="C36" s="522">
        <v>1566054.6519000004</v>
      </c>
      <c r="D36" s="523">
        <v>140602.86110000004</v>
      </c>
      <c r="E36" s="523">
        <v>563549.99600000004</v>
      </c>
      <c r="F36" s="523">
        <v>263762.59099999996</v>
      </c>
      <c r="G36" s="524">
        <v>0</v>
      </c>
      <c r="H36" s="500">
        <v>278022.83499999944</v>
      </c>
      <c r="I36" s="522">
        <v>2409930.2960000001</v>
      </c>
      <c r="J36" s="523">
        <v>30784.240999999998</v>
      </c>
      <c r="K36" s="524">
        <v>0</v>
      </c>
      <c r="L36" s="525">
        <v>371278.39799999993</v>
      </c>
      <c r="M36" s="461"/>
      <c r="N36" s="526">
        <v>32.51688541437651</v>
      </c>
      <c r="O36" s="526">
        <v>27.05</v>
      </c>
      <c r="P36" s="526">
        <v>25.829907980243686</v>
      </c>
      <c r="Q36" s="526">
        <v>28.307550610487439</v>
      </c>
      <c r="R36" s="460"/>
      <c r="S36" s="526">
        <v>30.856398541329142</v>
      </c>
      <c r="T36" s="461"/>
      <c r="U36" s="461"/>
    </row>
    <row r="37" spans="2:21" ht="16.5" thickBot="1" x14ac:dyDescent="0.3">
      <c r="B37" s="461"/>
      <c r="C37" s="461"/>
      <c r="D37" s="461"/>
      <c r="E37" s="461"/>
      <c r="F37" s="461"/>
      <c r="G37" s="461"/>
      <c r="H37" s="505"/>
      <c r="I37" s="506"/>
      <c r="J37" s="506"/>
      <c r="K37" s="461"/>
      <c r="L37" s="461"/>
      <c r="M37" s="461"/>
      <c r="N37" s="461"/>
      <c r="O37" s="461"/>
      <c r="P37" s="461"/>
      <c r="Q37" s="461"/>
      <c r="R37" s="460"/>
      <c r="S37" s="512"/>
      <c r="T37" s="461"/>
      <c r="U37" s="461"/>
    </row>
    <row r="38" spans="2:21" ht="16.5" thickBot="1" x14ac:dyDescent="0.3">
      <c r="B38" s="507" t="s">
        <v>268</v>
      </c>
      <c r="C38" s="508">
        <v>0</v>
      </c>
      <c r="D38" s="509">
        <v>0</v>
      </c>
      <c r="E38" s="509">
        <v>0</v>
      </c>
      <c r="F38" s="509">
        <v>424447.60100000002</v>
      </c>
      <c r="G38" s="527">
        <v>0</v>
      </c>
      <c r="H38" s="500">
        <v>310496.75237041153</v>
      </c>
      <c r="I38" s="528">
        <v>713636.77898776415</v>
      </c>
      <c r="J38" s="509">
        <v>21307.574382647388</v>
      </c>
      <c r="K38" s="510">
        <v>0</v>
      </c>
      <c r="L38" s="511">
        <v>0</v>
      </c>
      <c r="M38" s="461"/>
      <c r="N38" s="529">
        <v>36.813015446127729</v>
      </c>
      <c r="O38" s="530">
        <v>40</v>
      </c>
      <c r="P38" s="530">
        <v>38.5</v>
      </c>
      <c r="Q38" s="531">
        <v>0</v>
      </c>
      <c r="R38" s="460"/>
      <c r="S38" s="532">
        <v>38.5</v>
      </c>
      <c r="T38" s="461"/>
      <c r="U38" s="521">
        <v>72</v>
      </c>
    </row>
  </sheetData>
  <mergeCells count="11">
    <mergeCell ref="P3:P4"/>
    <mergeCell ref="B22:B23"/>
    <mergeCell ref="C22:H22"/>
    <mergeCell ref="I22:K22"/>
    <mergeCell ref="L22:L23"/>
    <mergeCell ref="O3:O4"/>
    <mergeCell ref="B3:B4"/>
    <mergeCell ref="C3:H3"/>
    <mergeCell ref="I3:K3"/>
    <mergeCell ref="L3:L4"/>
    <mergeCell ref="N3:N4"/>
  </mergeCells>
  <conditionalFormatting sqref="H5:H17">
    <cfRule type="cellIs" dxfId="4" priority="4" operator="lessThan">
      <formula>0</formula>
    </cfRule>
  </conditionalFormatting>
  <conditionalFormatting sqref="H19">
    <cfRule type="cellIs" dxfId="3" priority="2" operator="lessThan">
      <formula>0</formula>
    </cfRule>
  </conditionalFormatting>
  <conditionalFormatting sqref="H24:H36">
    <cfRule type="cellIs" dxfId="2" priority="5" operator="lessThan">
      <formula>0</formula>
    </cfRule>
  </conditionalFormatting>
  <conditionalFormatting sqref="H38">
    <cfRule type="cellIs" dxfId="1" priority="1" operator="lessThan">
      <formula>0</formula>
    </cfRule>
  </conditionalFormatting>
  <conditionalFormatting sqref="I17:L17">
    <cfRule type="cellIs" dxfId="0" priority="3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9" orientation="landscape" r:id="rId1"/>
  <colBreaks count="1" manualBreakCount="1">
    <brk id="22" max="30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CK58"/>
  <sheetViews>
    <sheetView view="pageBreakPreview" topLeftCell="BI1" zoomScale="85" zoomScaleNormal="100" zoomScaleSheetLayoutView="85" workbookViewId="0">
      <selection activeCell="BL4" activeCellId="1" sqref="BW4 BL4"/>
    </sheetView>
  </sheetViews>
  <sheetFormatPr defaultColWidth="8.85546875" defaultRowHeight="15" x14ac:dyDescent="0.25"/>
  <cols>
    <col min="1" max="1" width="4.5703125" style="1" customWidth="1"/>
    <col min="2" max="2" width="12.42578125" style="1" bestFit="1" customWidth="1"/>
    <col min="3" max="4" width="10.85546875" style="1" bestFit="1" customWidth="1"/>
    <col min="5" max="6" width="9.7109375" style="1" bestFit="1" customWidth="1"/>
    <col min="7" max="7" width="6.28515625" style="1" bestFit="1" customWidth="1"/>
    <col min="8" max="8" width="10.7109375" style="1" customWidth="1"/>
    <col min="9" max="9" width="7.7109375" style="1" bestFit="1" customWidth="1"/>
    <col min="10" max="10" width="8.7109375" style="1" customWidth="1"/>
    <col min="11" max="11" width="8.42578125" style="1" bestFit="1" customWidth="1"/>
    <col min="12" max="12" width="10.5703125" style="1" customWidth="1"/>
    <col min="13" max="13" width="7" style="1" bestFit="1" customWidth="1"/>
    <col min="14" max="14" width="8" style="1" customWidth="1"/>
    <col min="15" max="15" width="8.7109375" style="1" bestFit="1" customWidth="1"/>
    <col min="16" max="16" width="9.7109375" style="1" bestFit="1" customWidth="1"/>
    <col min="17" max="17" width="12.140625" style="1" bestFit="1" customWidth="1"/>
    <col min="18" max="18" width="8.42578125" style="1" bestFit="1" customWidth="1"/>
    <col min="19" max="19" width="9.85546875" style="1" bestFit="1" customWidth="1"/>
    <col min="20" max="20" width="10.28515625" style="1" bestFit="1" customWidth="1"/>
    <col min="21" max="22" width="6.28515625" style="1" hidden="1" customWidth="1"/>
    <col min="23" max="23" width="12.7109375" style="1" hidden="1" customWidth="1"/>
    <col min="24" max="24" width="13.28515625" style="1" bestFit="1" customWidth="1"/>
    <col min="25" max="25" width="9.28515625" style="1" bestFit="1" customWidth="1"/>
    <col min="26" max="26" width="12.140625" style="1" customWidth="1"/>
    <col min="27" max="27" width="9.7109375" style="1" bestFit="1" customWidth="1"/>
    <col min="28" max="28" width="10.42578125" style="1" bestFit="1" customWidth="1"/>
    <col min="29" max="29" width="4" style="1" customWidth="1"/>
    <col min="30" max="30" width="9.28515625" style="1" bestFit="1" customWidth="1"/>
    <col min="31" max="31" width="10.7109375" style="1" customWidth="1"/>
    <col min="32" max="32" width="11.85546875" style="1" customWidth="1"/>
    <col min="33" max="33" width="9.7109375" style="1" customWidth="1"/>
    <col min="34" max="34" width="10.85546875" style="1" bestFit="1" customWidth="1"/>
    <col min="35" max="35" width="5" style="1" customWidth="1"/>
    <col min="36" max="36" width="11.85546875" style="1" customWidth="1"/>
    <col min="37" max="37" width="10.28515625" style="1" customWidth="1"/>
    <col min="38" max="38" width="11.7109375" style="1" customWidth="1"/>
    <col min="39" max="39" width="18.140625" style="1" customWidth="1"/>
    <col min="40" max="40" width="11.7109375" style="1" customWidth="1"/>
    <col min="41" max="41" width="7.5703125" style="1" customWidth="1"/>
    <col min="42" max="42" width="12.140625" style="1" bestFit="1" customWidth="1"/>
    <col min="43" max="43" width="8.28515625" style="1" customWidth="1"/>
    <col min="44" max="44" width="12.7109375" style="4" customWidth="1"/>
    <col min="45" max="45" width="8.85546875" style="4"/>
    <col min="46" max="46" width="8.85546875" style="4" hidden="1" customWidth="1"/>
    <col min="47" max="47" width="6.28515625" style="1" customWidth="1"/>
    <col min="48" max="48" width="12.42578125" style="1" bestFit="1" customWidth="1"/>
    <col min="49" max="49" width="8.85546875" style="4" customWidth="1"/>
    <col min="50" max="50" width="9.140625" style="4" customWidth="1"/>
    <col min="51" max="51" width="8.85546875" style="4" hidden="1" customWidth="1"/>
    <col min="52" max="52" width="6.7109375" style="1" customWidth="1"/>
    <col min="53" max="53" width="12.42578125" style="1" bestFit="1" customWidth="1"/>
    <col min="54" max="54" width="15.42578125" style="1" customWidth="1"/>
    <col min="55" max="55" width="13.28515625" style="1" customWidth="1"/>
    <col min="56" max="56" width="10.28515625" style="1" bestFit="1" customWidth="1"/>
    <col min="57" max="57" width="8.85546875" style="1"/>
    <col min="58" max="58" width="12.42578125" style="1" bestFit="1" customWidth="1"/>
    <col min="59" max="59" width="10.140625" style="1" bestFit="1" customWidth="1"/>
    <col min="60" max="63" width="9.140625" style="1" bestFit="1" customWidth="1"/>
    <col min="64" max="64" width="9.140625" style="1" customWidth="1"/>
    <col min="65" max="65" width="9.140625" style="1" bestFit="1" customWidth="1"/>
    <col min="66" max="66" width="9.28515625" style="1" bestFit="1" customWidth="1"/>
    <col min="67" max="67" width="10.85546875" style="1" bestFit="1" customWidth="1"/>
    <col min="68" max="68" width="5" style="1" customWidth="1"/>
    <col min="69" max="69" width="12.42578125" style="1" bestFit="1" customWidth="1"/>
    <col min="70" max="70" width="10.140625" style="1" bestFit="1" customWidth="1"/>
    <col min="71" max="71" width="9.140625" style="1" bestFit="1" customWidth="1"/>
    <col min="72" max="72" width="6.5703125" style="1" bestFit="1" customWidth="1"/>
    <col min="73" max="73" width="9" style="1" bestFit="1" customWidth="1"/>
    <col min="74" max="74" width="9.28515625" style="1" bestFit="1" customWidth="1"/>
    <col min="75" max="75" width="10.28515625" style="1" bestFit="1" customWidth="1"/>
    <col min="76" max="77" width="5.28515625" style="1" bestFit="1" customWidth="1"/>
    <col min="78" max="78" width="10.85546875" style="1" customWidth="1"/>
    <col min="79" max="79" width="8.85546875" style="1"/>
    <col min="80" max="80" width="12.42578125" style="1" bestFit="1" customWidth="1"/>
    <col min="81" max="82" width="10.140625" style="1" bestFit="1" customWidth="1"/>
    <col min="83" max="84" width="9.140625" style="1" bestFit="1" customWidth="1"/>
    <col min="85" max="85" width="10.28515625" style="1" bestFit="1" customWidth="1"/>
    <col min="86" max="86" width="10.28515625" style="1" customWidth="1"/>
    <col min="87" max="87" width="9.140625" style="1" bestFit="1" customWidth="1"/>
    <col min="88" max="88" width="9.28515625" style="1" bestFit="1" customWidth="1"/>
    <col min="89" max="89" width="10.85546875" style="1" bestFit="1" customWidth="1"/>
    <col min="90" max="16384" width="8.85546875" style="1"/>
  </cols>
  <sheetData>
    <row r="1" spans="2:89" ht="15.75" thickBot="1" x14ac:dyDescent="0.3">
      <c r="AD1" s="16"/>
      <c r="AE1" s="16"/>
      <c r="AF1" s="16"/>
      <c r="AL1" s="4"/>
    </row>
    <row r="2" spans="2:89" ht="31.9" customHeight="1" thickBot="1" x14ac:dyDescent="0.3">
      <c r="B2" s="71"/>
      <c r="C2" s="671" t="s">
        <v>154</v>
      </c>
      <c r="D2" s="672"/>
      <c r="E2" s="672"/>
      <c r="F2" s="672"/>
      <c r="G2" s="672"/>
      <c r="H2" s="672"/>
      <c r="I2" s="672"/>
      <c r="J2" s="672"/>
      <c r="K2" s="672"/>
      <c r="L2" s="672"/>
      <c r="M2" s="672"/>
      <c r="N2" s="672"/>
      <c r="O2" s="672"/>
      <c r="P2" s="672"/>
      <c r="Q2" s="672"/>
      <c r="R2" s="672"/>
      <c r="S2" s="672"/>
      <c r="T2" s="672"/>
      <c r="U2" s="672"/>
      <c r="V2" s="672"/>
      <c r="W2" s="672"/>
      <c r="X2" s="672"/>
      <c r="Y2" s="673"/>
      <c r="Z2" s="6"/>
      <c r="AA2" s="681" t="s">
        <v>59</v>
      </c>
      <c r="AB2" s="682"/>
      <c r="AD2" s="683" t="s">
        <v>49</v>
      </c>
      <c r="AE2" s="684"/>
      <c r="AF2" s="684"/>
      <c r="AG2" s="684"/>
      <c r="AH2" s="685"/>
      <c r="AJ2" s="689" t="s">
        <v>57</v>
      </c>
      <c r="AK2" s="690"/>
      <c r="AL2" s="690"/>
      <c r="AM2" s="690"/>
      <c r="AN2" s="691"/>
      <c r="AP2" s="680" t="s">
        <v>153</v>
      </c>
      <c r="AQ2" s="680"/>
      <c r="AR2" s="680"/>
      <c r="AS2" s="680"/>
      <c r="AT2" s="680"/>
      <c r="AV2" s="680" t="s">
        <v>153</v>
      </c>
      <c r="AW2" s="680"/>
      <c r="AX2" s="680"/>
      <c r="AY2" s="680"/>
      <c r="BA2" s="680" t="s">
        <v>152</v>
      </c>
      <c r="BB2" s="680"/>
      <c r="BC2" s="680"/>
      <c r="BD2" s="680"/>
      <c r="BF2" s="680" t="s">
        <v>159</v>
      </c>
      <c r="BG2" s="680"/>
      <c r="BH2" s="680"/>
      <c r="BI2" s="680"/>
      <c r="BJ2" s="680"/>
      <c r="BK2" s="680"/>
      <c r="BL2" s="680"/>
      <c r="BM2" s="680"/>
      <c r="BN2" s="680"/>
      <c r="BO2" s="680"/>
      <c r="BQ2" s="680" t="s">
        <v>160</v>
      </c>
      <c r="BR2" s="680"/>
      <c r="BS2" s="680"/>
      <c r="BT2" s="680"/>
      <c r="BU2" s="680"/>
      <c r="BV2" s="680"/>
      <c r="BW2" s="680"/>
      <c r="BX2" s="680"/>
      <c r="BY2" s="680"/>
      <c r="BZ2" s="680"/>
      <c r="CB2" s="680" t="s">
        <v>161</v>
      </c>
      <c r="CC2" s="680"/>
      <c r="CD2" s="680"/>
      <c r="CE2" s="680"/>
      <c r="CF2" s="680"/>
      <c r="CG2" s="680"/>
      <c r="CH2" s="680"/>
      <c r="CI2" s="680"/>
      <c r="CJ2" s="680"/>
      <c r="CK2" s="680"/>
    </row>
    <row r="3" spans="2:89" s="28" customFormat="1" ht="82.9" customHeight="1" thickBot="1" x14ac:dyDescent="0.3">
      <c r="B3" s="72" t="s">
        <v>8</v>
      </c>
      <c r="C3" s="29" t="s">
        <v>14</v>
      </c>
      <c r="D3" s="30" t="s">
        <v>15</v>
      </c>
      <c r="E3" s="30" t="s">
        <v>16</v>
      </c>
      <c r="F3" s="30" t="s">
        <v>17</v>
      </c>
      <c r="G3" s="33" t="s">
        <v>74</v>
      </c>
      <c r="H3" s="33" t="s">
        <v>79</v>
      </c>
      <c r="I3" s="33" t="s">
        <v>108</v>
      </c>
      <c r="J3" s="33" t="s">
        <v>109</v>
      </c>
      <c r="K3" s="33" t="s">
        <v>110</v>
      </c>
      <c r="L3" s="33" t="s">
        <v>163</v>
      </c>
      <c r="M3" s="33" t="s">
        <v>112</v>
      </c>
      <c r="N3" s="33" t="s">
        <v>129</v>
      </c>
      <c r="O3" s="33" t="s">
        <v>130</v>
      </c>
      <c r="P3" s="33" t="s">
        <v>131</v>
      </c>
      <c r="Q3" s="33" t="s">
        <v>132</v>
      </c>
      <c r="R3" s="33" t="s">
        <v>113</v>
      </c>
      <c r="S3" s="33" t="s">
        <v>133</v>
      </c>
      <c r="T3" s="33" t="s">
        <v>134</v>
      </c>
      <c r="U3" s="33" t="str">
        <f>+HERON!B2</f>
        <v xml:space="preserve">ДХТ </v>
      </c>
      <c r="V3" s="33" t="e">
        <f>+HERON!#REF!</f>
        <v>#REF!</v>
      </c>
      <c r="W3" s="33" t="str">
        <f>+'PPC Гърция'!B2</f>
        <v>PPC Гърция</v>
      </c>
      <c r="X3" s="33" t="s">
        <v>142</v>
      </c>
      <c r="Y3" s="31" t="s">
        <v>37</v>
      </c>
      <c r="Z3" s="32" t="s">
        <v>50</v>
      </c>
      <c r="AA3" s="29" t="s">
        <v>51</v>
      </c>
      <c r="AB3" s="31" t="s">
        <v>52</v>
      </c>
      <c r="AD3" s="41" t="str">
        <f>Цени!L2</f>
        <v>Mytilineos</v>
      </c>
      <c r="AE3" s="216" t="str">
        <f>+Общо!AE3</f>
        <v>Булгаргаз</v>
      </c>
      <c r="AF3" s="216" t="str">
        <f>+Цени!P2</f>
        <v>Mytilineos</v>
      </c>
      <c r="AG3" s="42" t="s">
        <v>53</v>
      </c>
      <c r="AH3" s="149" t="s">
        <v>0</v>
      </c>
      <c r="AJ3" s="43" t="s">
        <v>72</v>
      </c>
      <c r="AK3" s="44" t="s">
        <v>162</v>
      </c>
      <c r="AL3" s="45" t="s">
        <v>135</v>
      </c>
      <c r="AM3" s="33" t="s">
        <v>156</v>
      </c>
      <c r="AN3" s="36" t="s">
        <v>3</v>
      </c>
      <c r="AP3" s="264" t="s">
        <v>8</v>
      </c>
      <c r="AQ3" s="264" t="s">
        <v>157</v>
      </c>
      <c r="AR3" s="267" t="s">
        <v>146</v>
      </c>
      <c r="AS3" s="267" t="s">
        <v>158</v>
      </c>
      <c r="AT3" s="267" t="s">
        <v>155</v>
      </c>
      <c r="AV3" s="264" t="s">
        <v>8</v>
      </c>
      <c r="AW3" s="267" t="s">
        <v>146</v>
      </c>
      <c r="AX3" s="267" t="s">
        <v>145</v>
      </c>
      <c r="AY3" s="267" t="s">
        <v>4</v>
      </c>
      <c r="BA3" s="264" t="s">
        <v>8</v>
      </c>
      <c r="BB3" s="266" t="s">
        <v>147</v>
      </c>
      <c r="BC3" s="267" t="s">
        <v>149</v>
      </c>
      <c r="BD3" s="266" t="s">
        <v>148</v>
      </c>
      <c r="BF3" s="264" t="s">
        <v>8</v>
      </c>
      <c r="BG3" s="264" t="s">
        <v>14</v>
      </c>
      <c r="BH3" s="264" t="s">
        <v>15</v>
      </c>
      <c r="BI3" s="264" t="s">
        <v>150</v>
      </c>
      <c r="BJ3" s="264" t="s">
        <v>115</v>
      </c>
      <c r="BK3" s="264" t="s">
        <v>37</v>
      </c>
      <c r="BL3" s="264" t="s">
        <v>74</v>
      </c>
      <c r="BM3" s="266" t="s">
        <v>144</v>
      </c>
      <c r="BN3" s="266" t="s">
        <v>128</v>
      </c>
      <c r="BO3" s="266" t="s">
        <v>151</v>
      </c>
      <c r="BQ3" s="264" t="s">
        <v>8</v>
      </c>
      <c r="BR3" s="264" t="s">
        <v>14</v>
      </c>
      <c r="BS3" s="264" t="s">
        <v>15</v>
      </c>
      <c r="BT3" s="264" t="s">
        <v>150</v>
      </c>
      <c r="BU3" s="264" t="s">
        <v>115</v>
      </c>
      <c r="BV3" s="264" t="s">
        <v>37</v>
      </c>
      <c r="BW3" s="264" t="s">
        <v>74</v>
      </c>
      <c r="BX3" s="266" t="s">
        <v>144</v>
      </c>
      <c r="BY3" s="266" t="s">
        <v>128</v>
      </c>
      <c r="BZ3" s="266" t="s">
        <v>151</v>
      </c>
      <c r="CB3" s="264" t="s">
        <v>8</v>
      </c>
      <c r="CC3" s="264" t="s">
        <v>14</v>
      </c>
      <c r="CD3" s="264" t="s">
        <v>15</v>
      </c>
      <c r="CE3" s="264" t="s">
        <v>150</v>
      </c>
      <c r="CF3" s="264" t="s">
        <v>115</v>
      </c>
      <c r="CG3" s="264" t="s">
        <v>37</v>
      </c>
      <c r="CH3" s="264" t="s">
        <v>74</v>
      </c>
      <c r="CI3" s="266" t="s">
        <v>144</v>
      </c>
      <c r="CJ3" s="266" t="s">
        <v>128</v>
      </c>
      <c r="CK3" s="266" t="s">
        <v>151</v>
      </c>
    </row>
    <row r="4" spans="2:89" x14ac:dyDescent="0.25">
      <c r="B4" s="47">
        <f>+Общо!B4</f>
        <v>45627</v>
      </c>
      <c r="C4" s="269">
        <f>+Общо!C4</f>
        <v>14.417999999999999</v>
      </c>
      <c r="D4" s="270">
        <f>+Общо!D4</f>
        <v>10.657000000000039</v>
      </c>
      <c r="E4" s="270">
        <f>+Общо!E4</f>
        <v>0</v>
      </c>
      <c r="F4" s="270">
        <f>+Общо!F4</f>
        <v>5.7319999999999993</v>
      </c>
      <c r="G4" s="271">
        <f>+Общо!G4</f>
        <v>989.99800000000005</v>
      </c>
      <c r="H4" s="271">
        <f>+Общо!H4</f>
        <v>0</v>
      </c>
      <c r="I4" s="271">
        <f>+Общо!I4</f>
        <v>0</v>
      </c>
      <c r="J4" s="271">
        <f>+Общо!J4</f>
        <v>3.9689999999999999</v>
      </c>
      <c r="K4" s="271">
        <f>+Общо!K4</f>
        <v>26.317</v>
      </c>
      <c r="L4" s="271">
        <f>+Общо!L4</f>
        <v>0</v>
      </c>
      <c r="M4" s="271">
        <f>+Общо!M4</f>
        <v>0.76400000000000001</v>
      </c>
      <c r="N4" s="271">
        <f>+Общо!N4</f>
        <v>0.35499999999999998</v>
      </c>
      <c r="O4" s="271">
        <f>+Общо!O4</f>
        <v>0</v>
      </c>
      <c r="P4" s="271">
        <f>+Общо!P4</f>
        <v>0</v>
      </c>
      <c r="Q4" s="271">
        <f>+Общо!Q4</f>
        <v>5.5819999999999999</v>
      </c>
      <c r="R4" s="271">
        <f>+Общо!R4</f>
        <v>27.553999999999998</v>
      </c>
      <c r="S4" s="271">
        <f>+Общо!S4</f>
        <v>180.58299999999997</v>
      </c>
      <c r="T4" s="271">
        <f>+Общо!T4</f>
        <v>0.20599999999999999</v>
      </c>
      <c r="U4" s="271">
        <f>+Общо!U4</f>
        <v>0</v>
      </c>
      <c r="V4" s="271" t="e">
        <f>+Общо!#REF!</f>
        <v>#REF!</v>
      </c>
      <c r="W4" s="271">
        <f>+Общо!V4</f>
        <v>0</v>
      </c>
      <c r="X4" s="271">
        <f>+Общо!X4</f>
        <v>0</v>
      </c>
      <c r="Y4" s="272">
        <f>+Общо!Y4</f>
        <v>20</v>
      </c>
      <c r="Z4" s="273">
        <f>+Общо!Z4</f>
        <v>0</v>
      </c>
      <c r="AA4" s="269">
        <f>+Общо!AA4</f>
        <v>23.967999999999847</v>
      </c>
      <c r="AB4" s="272">
        <f>+Общо!AB4</f>
        <v>0</v>
      </c>
      <c r="AC4" s="16"/>
      <c r="AD4" s="278">
        <f>+Общо!AD4</f>
        <v>0</v>
      </c>
      <c r="AE4" s="278">
        <f>+Общо!AE4</f>
        <v>14.516</v>
      </c>
      <c r="AF4" s="278">
        <f>+Общо!AH4</f>
        <v>5245.5870000000004</v>
      </c>
      <c r="AG4" s="279">
        <f>+Общо!AJ4</f>
        <v>0</v>
      </c>
      <c r="AH4" s="280">
        <f>+Общо!AK4</f>
        <v>5260.1030000000001</v>
      </c>
      <c r="AI4" s="16"/>
      <c r="AJ4" s="281">
        <f>+Общо!AM4</f>
        <v>44217.464448999977</v>
      </c>
      <c r="AK4" s="282">
        <v>2206.58</v>
      </c>
      <c r="AL4" s="283">
        <f>+Общо!AO4</f>
        <v>40326.564448999976</v>
      </c>
      <c r="AM4" s="284">
        <f>+Общо!AP4</f>
        <v>0</v>
      </c>
      <c r="AN4" s="285">
        <f>+Общо!AQ4</f>
        <v>40326.564448999976</v>
      </c>
      <c r="AO4" s="4"/>
      <c r="AP4" s="265">
        <f>+B4</f>
        <v>45627</v>
      </c>
      <c r="AQ4" s="289">
        <f>+Общо!AT4</f>
        <v>75.89</v>
      </c>
      <c r="AR4" s="289">
        <f>+Общо!AU4</f>
        <v>75.910642120506012</v>
      </c>
      <c r="AS4" s="268">
        <f>+Общо!AV4</f>
        <v>92.461863249999993</v>
      </c>
      <c r="AT4" s="289">
        <v>6.8519412500000101</v>
      </c>
      <c r="AV4" s="265">
        <f>+AP4</f>
        <v>45627</v>
      </c>
      <c r="AW4" s="290">
        <f>+Общо!AZ4</f>
        <v>75.910642120506012</v>
      </c>
      <c r="AX4" s="290">
        <f>+Общо!BA4</f>
        <v>82.941341481336025</v>
      </c>
      <c r="AY4" s="289">
        <v>58.422132158662265</v>
      </c>
      <c r="BA4" s="265">
        <f>+AV4</f>
        <v>45627</v>
      </c>
      <c r="BB4" s="291">
        <f>+Общо!BE4</f>
        <v>499654.92000000062</v>
      </c>
      <c r="BC4" s="289">
        <f>+Общо!BF4</f>
        <v>102.6448870713515</v>
      </c>
      <c r="BD4" s="295">
        <f>+Общо!BG4</f>
        <v>51287022.838045232</v>
      </c>
      <c r="BF4" s="265">
        <f>+BA4</f>
        <v>45627</v>
      </c>
      <c r="BG4" s="293">
        <f>+Общо!BJ4</f>
        <v>9359727.9399999995</v>
      </c>
      <c r="BH4" s="293">
        <f>+Общо!BK4</f>
        <v>2241930.75</v>
      </c>
      <c r="BI4" s="293">
        <f>+Общо!BL4</f>
        <v>638448.84999999974</v>
      </c>
      <c r="BJ4" s="293">
        <f>+Общо!BM4</f>
        <v>391852.94000000018</v>
      </c>
      <c r="BK4" s="293">
        <f>+Общо!BN4</f>
        <v>2184342</v>
      </c>
      <c r="BL4" s="293">
        <f>+Общо!BO4</f>
        <v>1418882.8399999999</v>
      </c>
      <c r="BM4" s="293">
        <f>+Общо!BP4</f>
        <v>213959.69399999999</v>
      </c>
      <c r="BN4" s="293">
        <f>+Общо!BQ4</f>
        <v>0</v>
      </c>
      <c r="BO4" s="294">
        <f>+Общо!BR4</f>
        <v>16449145.013999999</v>
      </c>
      <c r="BQ4" s="265">
        <f>+BF4</f>
        <v>45627</v>
      </c>
      <c r="BR4" s="293">
        <f>+Общо!BU4</f>
        <v>8077371.9400000032</v>
      </c>
      <c r="BS4" s="293">
        <f>+Общо!BV4</f>
        <v>1256881.5400000028</v>
      </c>
      <c r="BT4" s="293">
        <f>+Общо!BW4</f>
        <v>0</v>
      </c>
      <c r="BU4" s="293">
        <f>+Общо!BX4</f>
        <v>0</v>
      </c>
      <c r="BV4" s="293">
        <f>+Общо!BY4</f>
        <v>25079241.090000004</v>
      </c>
      <c r="BW4" s="293">
        <f>+Общо!BZ4</f>
        <v>0</v>
      </c>
      <c r="BX4" s="293">
        <f>+Общо!CA4</f>
        <v>0</v>
      </c>
      <c r="BY4" s="293">
        <f>+Общо!CB4</f>
        <v>3567553.1529600001</v>
      </c>
      <c r="BZ4" s="294">
        <f>+Общо!CC4</f>
        <v>37981047.72296001</v>
      </c>
      <c r="CB4" s="265">
        <f>+BQ4</f>
        <v>45627</v>
      </c>
      <c r="CC4" s="293">
        <f>+Общо!CF4</f>
        <v>17437099.880000003</v>
      </c>
      <c r="CD4" s="293">
        <f>+Общо!CG4</f>
        <v>3498812.2900000028</v>
      </c>
      <c r="CE4" s="293">
        <f>+Общо!CH4</f>
        <v>638448.84999999974</v>
      </c>
      <c r="CF4" s="293">
        <f>+Общо!CI4</f>
        <v>391852.94000000018</v>
      </c>
      <c r="CG4" s="293">
        <f>+Общо!CJ4</f>
        <v>27263583.090000004</v>
      </c>
      <c r="CH4" s="293">
        <f>+Общо!CK4</f>
        <v>1418882.8399999999</v>
      </c>
      <c r="CI4" s="293">
        <f>+Общо!CL4</f>
        <v>213959.69399999999</v>
      </c>
      <c r="CJ4" s="293">
        <f>+Общо!CM4</f>
        <v>3567553.1529600001</v>
      </c>
      <c r="CK4" s="294">
        <f>+Общо!CN4</f>
        <v>54430192.736960016</v>
      </c>
    </row>
    <row r="5" spans="2:89" x14ac:dyDescent="0.25">
      <c r="B5" s="47">
        <f>+B4+1</f>
        <v>45628</v>
      </c>
      <c r="C5" s="269">
        <f>+Общо!C5</f>
        <v>44.905999999999999</v>
      </c>
      <c r="D5" s="270">
        <f>+Общо!D5</f>
        <v>135.44599999999991</v>
      </c>
      <c r="E5" s="270">
        <f>+Общо!E5</f>
        <v>45.034999999999968</v>
      </c>
      <c r="F5" s="270">
        <f>+Общо!F5</f>
        <v>54.276999999999987</v>
      </c>
      <c r="G5" s="271">
        <f>+Общо!G5</f>
        <v>0</v>
      </c>
      <c r="H5" s="271">
        <f>+Общо!H5</f>
        <v>6.0439999999999996</v>
      </c>
      <c r="I5" s="271">
        <f>+Общо!I5</f>
        <v>5.9929237325174824</v>
      </c>
      <c r="J5" s="271">
        <f>+Общо!J5</f>
        <v>24.382000000000001</v>
      </c>
      <c r="K5" s="271">
        <f>+Общо!K5</f>
        <v>27.457999999999998</v>
      </c>
      <c r="L5" s="271">
        <f>+Общо!L5</f>
        <v>0</v>
      </c>
      <c r="M5" s="271">
        <f>+Общо!M5</f>
        <v>0.376</v>
      </c>
      <c r="N5" s="271">
        <f>+Общо!N5</f>
        <v>2.2160000000000002</v>
      </c>
      <c r="O5" s="271">
        <f>+Общо!O5</f>
        <v>0.14000000000000001</v>
      </c>
      <c r="P5" s="271">
        <f>+Общо!P5</f>
        <v>0</v>
      </c>
      <c r="Q5" s="271">
        <f>+Общо!Q5</f>
        <v>18.207999999999998</v>
      </c>
      <c r="R5" s="271">
        <f>+Общо!R5</f>
        <v>25.78</v>
      </c>
      <c r="S5" s="271">
        <f>+Общо!S5</f>
        <v>16.477</v>
      </c>
      <c r="T5" s="271">
        <f>+Общо!T5</f>
        <v>3.3650762674825176</v>
      </c>
      <c r="U5" s="271">
        <f>+Общо!U5</f>
        <v>0</v>
      </c>
      <c r="V5" s="271" t="e">
        <f>+Общо!#REF!</f>
        <v>#REF!</v>
      </c>
      <c r="W5" s="271">
        <f>+Общо!V5</f>
        <v>1500</v>
      </c>
      <c r="X5" s="271">
        <f>+Общо!X5</f>
        <v>0</v>
      </c>
      <c r="Y5" s="272">
        <f>+Общо!Y5</f>
        <v>0</v>
      </c>
      <c r="Z5" s="273">
        <f>+Общо!Z5</f>
        <v>500</v>
      </c>
      <c r="AA5" s="269">
        <f>+Общо!AA5</f>
        <v>0</v>
      </c>
      <c r="AB5" s="272">
        <f>+Общо!AB5</f>
        <v>0</v>
      </c>
      <c r="AD5" s="278">
        <f>+Общо!AD5</f>
        <v>0</v>
      </c>
      <c r="AE5" s="278">
        <f>+Общо!AE5</f>
        <v>14.516</v>
      </c>
      <c r="AF5" s="278">
        <f>+Общо!AH5</f>
        <v>4845.5870000000004</v>
      </c>
      <c r="AG5" s="279">
        <f>+Общо!AJ5</f>
        <v>1500</v>
      </c>
      <c r="AH5" s="280">
        <f>+Общо!AK5</f>
        <v>6360.1030000000001</v>
      </c>
      <c r="AJ5" s="281">
        <f>+Общо!AM5</f>
        <v>44292.578996499949</v>
      </c>
      <c r="AK5" s="282">
        <f>+Общо!AN5</f>
        <v>3890.9</v>
      </c>
      <c r="AL5" s="283">
        <f>+Общо!AO5</f>
        <v>40401.678996499948</v>
      </c>
      <c r="AM5" s="284">
        <f>+Общо!AP5</f>
        <v>0</v>
      </c>
      <c r="AN5" s="285">
        <f>+Общо!AQ5</f>
        <v>40401.678996499948</v>
      </c>
      <c r="AP5" s="265">
        <f>+AP4+1</f>
        <v>45628</v>
      </c>
      <c r="AQ5" s="289">
        <f>+Общо!AT5</f>
        <v>75.89</v>
      </c>
      <c r="AR5" s="289">
        <f>+Общо!AU5</f>
        <v>78.527312584403106</v>
      </c>
      <c r="AS5" s="268">
        <f>+Общо!AV5</f>
        <v>92.461863249999993</v>
      </c>
      <c r="AT5" s="289">
        <v>7.0268275409081866</v>
      </c>
      <c r="AV5" s="265">
        <f>+AV4+1</f>
        <v>45628</v>
      </c>
      <c r="AW5" s="290">
        <f>+Общо!AZ5</f>
        <v>78.527312584403106</v>
      </c>
      <c r="AX5" s="290">
        <f>+Общо!BA5</f>
        <v>85.270236530760613</v>
      </c>
      <c r="AY5" s="289">
        <v>39.334273587491339</v>
      </c>
      <c r="BA5" s="265">
        <f>+BA4+1</f>
        <v>45628</v>
      </c>
      <c r="BB5" s="291">
        <f>+Общо!BE5</f>
        <v>494809.33300000062</v>
      </c>
      <c r="BC5" s="289">
        <f>+Общо!BF5</f>
        <v>102.6448870713515</v>
      </c>
      <c r="BD5" s="295">
        <f>+Общо!BG5</f>
        <v>50789648.107635826</v>
      </c>
      <c r="BF5" s="265">
        <f>+BF4+1</f>
        <v>45628</v>
      </c>
      <c r="BG5" s="293">
        <f>+Общо!BJ5</f>
        <v>9359727.9399999995</v>
      </c>
      <c r="BH5" s="293">
        <f>+Общо!BK5</f>
        <v>2132214.83</v>
      </c>
      <c r="BI5" s="293">
        <f>+Общо!BL5</f>
        <v>638448.84999999974</v>
      </c>
      <c r="BJ5" s="293">
        <f>+Общо!BM5</f>
        <v>391852.94000000018</v>
      </c>
      <c r="BK5" s="293">
        <f>+Общо!BN5</f>
        <v>2184342</v>
      </c>
      <c r="BL5" s="293">
        <f>+Общо!BO5</f>
        <v>1418882.8399999999</v>
      </c>
      <c r="BM5" s="293">
        <f>+Общо!BP5</f>
        <v>165498.18999999997</v>
      </c>
      <c r="BN5" s="293">
        <f>+Общо!BQ5</f>
        <v>0</v>
      </c>
      <c r="BO5" s="294">
        <f>+Общо!BR5</f>
        <v>16290967.589999998</v>
      </c>
      <c r="BQ5" s="265">
        <f>+BQ4+1</f>
        <v>45628</v>
      </c>
      <c r="BR5" s="293">
        <f>+Общо!BU5</f>
        <v>2597045.7600000016</v>
      </c>
      <c r="BS5" s="293">
        <f>+Общо!BV5</f>
        <v>0</v>
      </c>
      <c r="BT5" s="293">
        <f>+Общо!BW5</f>
        <v>0</v>
      </c>
      <c r="BU5" s="293">
        <f>+Общо!BX5</f>
        <v>0</v>
      </c>
      <c r="BV5" s="293">
        <f>+Общо!BY5</f>
        <v>25079241.090000004</v>
      </c>
      <c r="BW5" s="293">
        <f>+Общо!BZ5</f>
        <v>0</v>
      </c>
      <c r="BX5" s="293">
        <f>+Общо!CA5</f>
        <v>0</v>
      </c>
      <c r="BY5" s="293">
        <f>+Общо!CB5</f>
        <v>3567553.1529600001</v>
      </c>
      <c r="BZ5" s="294">
        <f>+Общо!CC5</f>
        <v>31243840.002960004</v>
      </c>
      <c r="CB5" s="265">
        <f>+CB4+1</f>
        <v>45628</v>
      </c>
      <c r="CC5" s="293">
        <f>+Общо!CF5</f>
        <v>11956773.700000001</v>
      </c>
      <c r="CD5" s="293">
        <f>+Общо!CG5</f>
        <v>2132214.83</v>
      </c>
      <c r="CE5" s="293">
        <f>+Общо!CH5</f>
        <v>638448.84999999974</v>
      </c>
      <c r="CF5" s="293">
        <f>+Общо!CI5</f>
        <v>391852.94000000018</v>
      </c>
      <c r="CG5" s="293">
        <f>+Общо!CJ5</f>
        <v>27263583.090000004</v>
      </c>
      <c r="CH5" s="293">
        <f>+Общо!CK5</f>
        <v>1418882.8399999999</v>
      </c>
      <c r="CI5" s="293">
        <f>+Общо!CL5</f>
        <v>165498.18999999997</v>
      </c>
      <c r="CJ5" s="293">
        <f>+Общо!CM5</f>
        <v>3567553.1529600001</v>
      </c>
      <c r="CK5" s="294">
        <f>+Общо!CN5</f>
        <v>47534807.59296</v>
      </c>
    </row>
    <row r="6" spans="2:89" x14ac:dyDescent="0.25">
      <c r="B6" s="47">
        <f t="shared" ref="B6:B32" si="0">+B5+1</f>
        <v>45629</v>
      </c>
      <c r="C6" s="269">
        <f>+Общо!C6</f>
        <v>16.135000000000002</v>
      </c>
      <c r="D6" s="270">
        <f>+Общо!D6</f>
        <v>30.446999999999889</v>
      </c>
      <c r="E6" s="270">
        <f>+Общо!E6</f>
        <v>24.789999999999964</v>
      </c>
      <c r="F6" s="270">
        <f>+Общо!F6</f>
        <v>79.172000000000025</v>
      </c>
      <c r="G6" s="271">
        <f>+Общо!G6</f>
        <v>441.92700000000002</v>
      </c>
      <c r="H6" s="271">
        <f>+Общо!H6</f>
        <v>2.863</v>
      </c>
      <c r="I6" s="271">
        <f>+Общо!I6</f>
        <v>3.6505348258706469</v>
      </c>
      <c r="J6" s="271">
        <f>+Общо!J6</f>
        <v>23.827999999999999</v>
      </c>
      <c r="K6" s="271">
        <f>+Общо!K6</f>
        <v>27.05</v>
      </c>
      <c r="L6" s="271">
        <f>+Общо!L6</f>
        <v>0</v>
      </c>
      <c r="M6" s="271">
        <f>+Общо!M6</f>
        <v>0.36899999999999999</v>
      </c>
      <c r="N6" s="271">
        <f>+Общо!N6</f>
        <v>2.2610000000000001</v>
      </c>
      <c r="O6" s="271">
        <f>+Общо!O6</f>
        <v>3.2370000000000001</v>
      </c>
      <c r="P6" s="271">
        <f>+Общо!P6</f>
        <v>0</v>
      </c>
      <c r="Q6" s="271">
        <f>+Общо!Q6</f>
        <v>15.896000000000001</v>
      </c>
      <c r="R6" s="271">
        <f>+Общо!R6</f>
        <v>26.585999999999999</v>
      </c>
      <c r="S6" s="271">
        <f>+Общо!S6</f>
        <v>0</v>
      </c>
      <c r="T6" s="271">
        <f>+Общо!T6</f>
        <v>2.7894651741293535</v>
      </c>
      <c r="U6" s="271">
        <f>+Общо!U6</f>
        <v>0</v>
      </c>
      <c r="V6" s="271" t="e">
        <f>+Общо!#REF!</f>
        <v>#REF!</v>
      </c>
      <c r="W6" s="271">
        <f>+Общо!V6</f>
        <v>1500</v>
      </c>
      <c r="X6" s="271">
        <f>+Общо!X6</f>
        <v>0</v>
      </c>
      <c r="Y6" s="272">
        <f>+Общо!Y6</f>
        <v>0</v>
      </c>
      <c r="Z6" s="273">
        <f>+Общо!Z6</f>
        <v>200</v>
      </c>
      <c r="AA6" s="269">
        <f>+Общо!AA6</f>
        <v>9.1019999999998618</v>
      </c>
      <c r="AB6" s="272">
        <f>+Общо!AB6</f>
        <v>0</v>
      </c>
      <c r="AD6" s="278">
        <f>+Общо!AD6</f>
        <v>0</v>
      </c>
      <c r="AE6" s="278">
        <f>+Общо!AE6</f>
        <v>14.516</v>
      </c>
      <c r="AF6" s="278">
        <f>+Общо!AH6</f>
        <v>5345.5870000000004</v>
      </c>
      <c r="AG6" s="279">
        <f>+Общо!AJ6</f>
        <v>1000</v>
      </c>
      <c r="AH6" s="280">
        <f>+Общо!AK6</f>
        <v>6360.1030000000001</v>
      </c>
      <c r="AJ6" s="281">
        <f>+Общо!AM6</f>
        <v>48997.591628499969</v>
      </c>
      <c r="AK6" s="282">
        <f>+Общо!AN6</f>
        <v>3890.9</v>
      </c>
      <c r="AL6" s="283">
        <f>+Общо!AO6</f>
        <v>45106.691628499968</v>
      </c>
      <c r="AM6" s="284">
        <f>+Общо!AP6</f>
        <v>0</v>
      </c>
      <c r="AN6" s="285">
        <f>+Общо!AQ6</f>
        <v>45106.691628499968</v>
      </c>
      <c r="AP6" s="265">
        <f t="shared" ref="AP6:AP32" si="1">+AP5+1</f>
        <v>45629</v>
      </c>
      <c r="AQ6" s="289">
        <f>+Общо!AT6</f>
        <v>75.89</v>
      </c>
      <c r="AR6" s="289">
        <f>+Общо!AU6</f>
        <v>77.485662787222154</v>
      </c>
      <c r="AS6" s="268">
        <f>+Общо!AV6</f>
        <v>93.684256999999988</v>
      </c>
      <c r="AT6" s="289">
        <v>5.7935599999999852</v>
      </c>
      <c r="AV6" s="265">
        <f t="shared" ref="AV6:AV32" si="2">+AV5+1</f>
        <v>45629</v>
      </c>
      <c r="AW6" s="290">
        <f>+Общо!AZ6</f>
        <v>77.485662787222154</v>
      </c>
      <c r="AX6" s="290">
        <f>+Общо!BA6</f>
        <v>84.676029128773564</v>
      </c>
      <c r="AY6" s="289">
        <v>2.4723597409362412</v>
      </c>
      <c r="BA6" s="265">
        <f t="shared" ref="BA6:BA32" si="3">+BA5+1</f>
        <v>45629</v>
      </c>
      <c r="BB6" s="291">
        <f>+Общо!BE6</f>
        <v>489463.74600000062</v>
      </c>
      <c r="BC6" s="289">
        <f>+Общо!BF6</f>
        <v>102.6448870713515</v>
      </c>
      <c r="BD6" s="295">
        <f>+Общо!BG6</f>
        <v>50240950.933690742</v>
      </c>
      <c r="BF6" s="265">
        <f t="shared" ref="BF6:BF32" si="4">+BF5+1</f>
        <v>45629</v>
      </c>
      <c r="BG6" s="293">
        <f>+Общо!BJ6</f>
        <v>9359727.9399999995</v>
      </c>
      <c r="BH6" s="293">
        <f>+Общо!BK6</f>
        <v>2132214.83</v>
      </c>
      <c r="BI6" s="293">
        <f>+Общо!BL6</f>
        <v>638448.84999999974</v>
      </c>
      <c r="BJ6" s="293">
        <f>+Общо!BM6</f>
        <v>391852.94000000018</v>
      </c>
      <c r="BK6" s="293">
        <f>+Общо!BN6</f>
        <v>2184342</v>
      </c>
      <c r="BL6" s="293">
        <f>+Общо!BO6</f>
        <v>0</v>
      </c>
      <c r="BM6" s="293">
        <f>+Общо!BP6</f>
        <v>169893.66</v>
      </c>
      <c r="BN6" s="293">
        <f>+Общо!BQ6</f>
        <v>0</v>
      </c>
      <c r="BO6" s="294">
        <f>+Общо!BR6</f>
        <v>14876480.219999999</v>
      </c>
      <c r="BQ6" s="265">
        <f t="shared" ref="BQ6:BQ32" si="5">+BQ5+1</f>
        <v>45629</v>
      </c>
      <c r="BR6" s="293">
        <f>+Общо!BU6</f>
        <v>2597045.7600000016</v>
      </c>
      <c r="BS6" s="293">
        <f>+Общо!BV6</f>
        <v>0</v>
      </c>
      <c r="BT6" s="293">
        <f>+Общо!BW6</f>
        <v>0</v>
      </c>
      <c r="BU6" s="293">
        <f>+Общо!BX6</f>
        <v>0</v>
      </c>
      <c r="BV6" s="293">
        <f>+Общо!BY6</f>
        <v>25079241.090000004</v>
      </c>
      <c r="BW6" s="293">
        <f>+Общо!BZ6</f>
        <v>0</v>
      </c>
      <c r="BX6" s="293">
        <f>+Общо!CA6</f>
        <v>0</v>
      </c>
      <c r="BY6" s="293">
        <f>+Общо!CB6</f>
        <v>3567553.1529600001</v>
      </c>
      <c r="BZ6" s="294">
        <f>+Общо!CC6</f>
        <v>31243840.002960004</v>
      </c>
      <c r="CB6" s="265">
        <f t="shared" ref="CB6:CB32" si="6">+CB5+1</f>
        <v>45629</v>
      </c>
      <c r="CC6" s="293">
        <f>+Общо!CF6</f>
        <v>11956773.700000001</v>
      </c>
      <c r="CD6" s="293">
        <f>+Общо!CG6</f>
        <v>2132214.83</v>
      </c>
      <c r="CE6" s="293">
        <f>+Общо!CH6</f>
        <v>638448.84999999974</v>
      </c>
      <c r="CF6" s="293">
        <f>+Общо!CI6</f>
        <v>391852.94000000018</v>
      </c>
      <c r="CG6" s="293">
        <f>+Общо!CJ6</f>
        <v>27263583.090000004</v>
      </c>
      <c r="CH6" s="293">
        <f>+Общо!CK6</f>
        <v>0</v>
      </c>
      <c r="CI6" s="293">
        <f>+Общо!CL6</f>
        <v>169893.66</v>
      </c>
      <c r="CJ6" s="293">
        <f>+Общо!CM6</f>
        <v>3567553.1529600001</v>
      </c>
      <c r="CK6" s="294">
        <f>+Общо!CN6</f>
        <v>46120320.222960003</v>
      </c>
    </row>
    <row r="7" spans="2:89" x14ac:dyDescent="0.25">
      <c r="B7" s="47">
        <f t="shared" si="0"/>
        <v>45630</v>
      </c>
      <c r="C7" s="269">
        <f>+Общо!C7</f>
        <v>0</v>
      </c>
      <c r="D7" s="270">
        <f>+Общо!D7</f>
        <v>91.610999999999876</v>
      </c>
      <c r="E7" s="270">
        <f>+Общо!E7</f>
        <v>22.031999999999982</v>
      </c>
      <c r="F7" s="270">
        <f>+Общо!F7</f>
        <v>32.598000000000013</v>
      </c>
      <c r="G7" s="271">
        <f>+Общо!G7</f>
        <v>39.225999999999999</v>
      </c>
      <c r="H7" s="271">
        <f>+Общо!H7</f>
        <v>3.0550000000000002</v>
      </c>
      <c r="I7" s="271">
        <f>+Общо!I7</f>
        <v>5.2592504977163603</v>
      </c>
      <c r="J7" s="271">
        <f>+Общо!J7</f>
        <v>24.35</v>
      </c>
      <c r="K7" s="271">
        <f>+Общо!K7</f>
        <v>27.564</v>
      </c>
      <c r="L7" s="271">
        <f>+Общо!L7</f>
        <v>1.0860000000000127</v>
      </c>
      <c r="M7" s="271">
        <f>+Общо!M7</f>
        <v>0.36</v>
      </c>
      <c r="N7" s="271">
        <f>+Общо!N7</f>
        <v>2.2210000000000001</v>
      </c>
      <c r="O7" s="271">
        <f>+Общо!O7</f>
        <v>2.3980000000000001</v>
      </c>
      <c r="P7" s="271">
        <f>+Общо!P7</f>
        <v>0</v>
      </c>
      <c r="Q7" s="271">
        <f>+Общо!Q7</f>
        <v>12.507999999999999</v>
      </c>
      <c r="R7" s="271">
        <f>+Общо!R7</f>
        <v>26.393000000000001</v>
      </c>
      <c r="S7" s="271">
        <f>+Общо!S7</f>
        <v>15.874000000000001</v>
      </c>
      <c r="T7" s="271">
        <f>+Общо!T7</f>
        <v>3.3687495022836398</v>
      </c>
      <c r="U7" s="271">
        <f>+Общо!U7</f>
        <v>0</v>
      </c>
      <c r="V7" s="271" t="e">
        <f>+Общо!#REF!</f>
        <v>#REF!</v>
      </c>
      <c r="W7" s="271">
        <f>+Общо!V7</f>
        <v>1500</v>
      </c>
      <c r="X7" s="271">
        <f>+Общо!X7</f>
        <v>0</v>
      </c>
      <c r="Y7" s="272">
        <f>+Общо!Y7</f>
        <v>0</v>
      </c>
      <c r="Z7" s="273">
        <f>+Общо!Z7</f>
        <v>100</v>
      </c>
      <c r="AA7" s="269">
        <f>+Общо!AA7</f>
        <v>0.19899999999961437</v>
      </c>
      <c r="AB7" s="272">
        <f>+Общо!AB7</f>
        <v>0</v>
      </c>
      <c r="AD7" s="278">
        <f>+Общо!AD7</f>
        <v>0</v>
      </c>
      <c r="AE7" s="278">
        <f>+Общо!AE7</f>
        <v>14.516</v>
      </c>
      <c r="AF7" s="278">
        <f>+Общо!AH7</f>
        <v>4845.5870000000004</v>
      </c>
      <c r="AG7" s="279">
        <f>+Общо!AJ7</f>
        <v>1000</v>
      </c>
      <c r="AH7" s="280">
        <f>+Общо!AK7</f>
        <v>5860.1030000000001</v>
      </c>
      <c r="AJ7" s="281">
        <f>+Общо!AM7</f>
        <v>46292.221632500004</v>
      </c>
      <c r="AK7" s="282">
        <f>+Общо!AN7</f>
        <v>3890.9</v>
      </c>
      <c r="AL7" s="283">
        <f>+Общо!AO7</f>
        <v>42401.321632500003</v>
      </c>
      <c r="AM7" s="284">
        <f>+Общо!AP7</f>
        <v>0</v>
      </c>
      <c r="AN7" s="285">
        <f>+Общо!AQ7</f>
        <v>42401.321632500003</v>
      </c>
      <c r="AP7" s="265">
        <f t="shared" si="1"/>
        <v>45630</v>
      </c>
      <c r="AQ7" s="289">
        <f>+Общо!AT7</f>
        <v>75.89</v>
      </c>
      <c r="AR7" s="289">
        <f>+Общо!AU7</f>
        <v>77.943475797268405</v>
      </c>
      <c r="AS7" s="268">
        <f>+Общо!AV7</f>
        <v>92.217384499999994</v>
      </c>
      <c r="AT7" s="289">
        <v>22.065501784374348</v>
      </c>
      <c r="AV7" s="265">
        <f t="shared" si="2"/>
        <v>45630</v>
      </c>
      <c r="AW7" s="290">
        <f>+Общо!AZ7</f>
        <v>77.943475797268405</v>
      </c>
      <c r="AX7" s="290">
        <f>+Общо!BA7</f>
        <v>85.630627526512768</v>
      </c>
      <c r="AY7" s="289">
        <v>41.507913592399319</v>
      </c>
      <c r="BA7" s="265">
        <f t="shared" si="3"/>
        <v>45630</v>
      </c>
      <c r="BB7" s="291">
        <f>+Общо!BE7</f>
        <v>484618.15900000063</v>
      </c>
      <c r="BC7" s="289">
        <f>+Общо!BF7</f>
        <v>102.6448870713515</v>
      </c>
      <c r="BD7" s="295">
        <f>+Общо!BG7</f>
        <v>49743576.203281336</v>
      </c>
      <c r="BF7" s="265">
        <f t="shared" si="4"/>
        <v>45630</v>
      </c>
      <c r="BG7" s="293">
        <f>+Общо!BJ7</f>
        <v>9359727.9399999995</v>
      </c>
      <c r="BH7" s="293">
        <f>+Общо!BK7</f>
        <v>2132214.83</v>
      </c>
      <c r="BI7" s="293">
        <f>+Общо!BL7</f>
        <v>188448.84999999974</v>
      </c>
      <c r="BJ7" s="293">
        <f>+Общо!BM7</f>
        <v>391852.94000000018</v>
      </c>
      <c r="BK7" s="293">
        <f>+Общо!BN7</f>
        <v>2184342</v>
      </c>
      <c r="BL7" s="293">
        <f>+Общо!BO7</f>
        <v>0</v>
      </c>
      <c r="BM7" s="293">
        <f>+Общо!BP7</f>
        <v>210429.50999999998</v>
      </c>
      <c r="BN7" s="293">
        <f>+Общо!BQ7</f>
        <v>0</v>
      </c>
      <c r="BO7" s="294">
        <f>+Общо!BR7</f>
        <v>14467016.069999998</v>
      </c>
      <c r="BQ7" s="265">
        <f t="shared" si="5"/>
        <v>45630</v>
      </c>
      <c r="BR7" s="293">
        <f>+Общо!BU7</f>
        <v>2597045.7600000016</v>
      </c>
      <c r="BS7" s="293">
        <f>+Общо!BV7</f>
        <v>0</v>
      </c>
      <c r="BT7" s="293">
        <f>+Общо!BW7</f>
        <v>0</v>
      </c>
      <c r="BU7" s="293">
        <f>+Общо!BX7</f>
        <v>0</v>
      </c>
      <c r="BV7" s="293">
        <f>+Общо!BY7</f>
        <v>25079241.090000004</v>
      </c>
      <c r="BW7" s="293">
        <f>+Общо!BZ7</f>
        <v>0</v>
      </c>
      <c r="BX7" s="293">
        <f>+Общо!CA7</f>
        <v>0</v>
      </c>
      <c r="BY7" s="293">
        <f>+Общо!CB7</f>
        <v>3567553.1529600001</v>
      </c>
      <c r="BZ7" s="294">
        <f>+Общо!CC7</f>
        <v>31243840.002960004</v>
      </c>
      <c r="CB7" s="265">
        <f t="shared" si="6"/>
        <v>45630</v>
      </c>
      <c r="CC7" s="293">
        <f>+Общо!CF7</f>
        <v>11956773.700000001</v>
      </c>
      <c r="CD7" s="293">
        <f>+Общо!CG7</f>
        <v>2132214.83</v>
      </c>
      <c r="CE7" s="293">
        <f>+Общо!CH7</f>
        <v>188448.84999999974</v>
      </c>
      <c r="CF7" s="293">
        <f>+Общо!CI7</f>
        <v>391852.94000000018</v>
      </c>
      <c r="CG7" s="293">
        <f>+Общо!CJ7</f>
        <v>27263583.090000004</v>
      </c>
      <c r="CH7" s="293">
        <f>+Общо!CK7</f>
        <v>0</v>
      </c>
      <c r="CI7" s="293">
        <f>+Общо!CL7</f>
        <v>210429.50999999998</v>
      </c>
      <c r="CJ7" s="293">
        <f>+Общо!CM7</f>
        <v>3567553.1529600001</v>
      </c>
      <c r="CK7" s="294">
        <f>+Общо!CN7</f>
        <v>45710856.072960004</v>
      </c>
    </row>
    <row r="8" spans="2:89" x14ac:dyDescent="0.25">
      <c r="B8" s="47">
        <f t="shared" si="0"/>
        <v>45631</v>
      </c>
      <c r="C8" s="269">
        <f>+Общо!C8</f>
        <v>138.29900000000001</v>
      </c>
      <c r="D8" s="270">
        <f>+Общо!D8</f>
        <v>93.548999999999978</v>
      </c>
      <c r="E8" s="270">
        <f>+Общо!E8</f>
        <v>41</v>
      </c>
      <c r="F8" s="270">
        <f>+Общо!F8</f>
        <v>60</v>
      </c>
      <c r="G8" s="271">
        <f>+Общо!G8</f>
        <v>0</v>
      </c>
      <c r="H8" s="271">
        <f>+Общо!H8</f>
        <v>3.0830000000000002</v>
      </c>
      <c r="I8" s="271">
        <f>+Общо!I8</f>
        <v>4.2704244721169458</v>
      </c>
      <c r="J8" s="271">
        <f>+Общо!J8</f>
        <v>23.533000000000001</v>
      </c>
      <c r="K8" s="271">
        <f>+Общо!K8</f>
        <v>29.966000000000001</v>
      </c>
      <c r="L8" s="271">
        <f>+Общо!L8</f>
        <v>3</v>
      </c>
      <c r="M8" s="271">
        <f>+Общо!M8</f>
        <v>0.36599999999999999</v>
      </c>
      <c r="N8" s="271">
        <f>+Общо!N8</f>
        <v>2.2559999999999998</v>
      </c>
      <c r="O8" s="271">
        <f>+Общо!O8</f>
        <v>1.3979999999999999</v>
      </c>
      <c r="P8" s="271">
        <f>+Общо!P8</f>
        <v>0</v>
      </c>
      <c r="Q8" s="271">
        <f>+Общо!Q8</f>
        <v>10.303000000000001</v>
      </c>
      <c r="R8" s="271">
        <f>+Общо!R8</f>
        <v>26.317</v>
      </c>
      <c r="S8" s="271">
        <f>+Общо!S8</f>
        <v>0</v>
      </c>
      <c r="T8" s="271">
        <f>+Общо!T8</f>
        <v>3.1565755278830534</v>
      </c>
      <c r="U8" s="271">
        <f>+Общо!U8</f>
        <v>0</v>
      </c>
      <c r="V8" s="271" t="e">
        <f>+Общо!#REF!</f>
        <v>#REF!</v>
      </c>
      <c r="W8" s="271">
        <f>+Общо!V8</f>
        <v>1500</v>
      </c>
      <c r="X8" s="271">
        <f>+Общо!X8</f>
        <v>0</v>
      </c>
      <c r="Y8" s="272">
        <f>+Общо!Y8</f>
        <v>50</v>
      </c>
      <c r="Z8" s="273">
        <f>+Общо!Z8</f>
        <v>0</v>
      </c>
      <c r="AA8" s="269">
        <f>+Общо!AA8</f>
        <v>19.606000000000677</v>
      </c>
      <c r="AB8" s="272">
        <f>+Общо!AB8</f>
        <v>0</v>
      </c>
      <c r="AD8" s="278">
        <f>+Общо!AD8</f>
        <v>0</v>
      </c>
      <c r="AE8" s="278">
        <f>+Общо!AE8</f>
        <v>14.516</v>
      </c>
      <c r="AF8" s="278">
        <f>+Общо!AH8</f>
        <v>4845.5870000000004</v>
      </c>
      <c r="AG8" s="279">
        <f>+Общо!AJ8</f>
        <v>1100</v>
      </c>
      <c r="AH8" s="280">
        <f>+Общо!AK8</f>
        <v>5960.1030000000001</v>
      </c>
      <c r="AJ8" s="281">
        <f>+Общо!AM8</f>
        <v>46235.683832499897</v>
      </c>
      <c r="AK8" s="282">
        <f>+Общо!AN8</f>
        <v>3890.9</v>
      </c>
      <c r="AL8" s="283">
        <f>+Общо!AO8</f>
        <v>42344.783832499896</v>
      </c>
      <c r="AM8" s="284">
        <f>+Общо!AP8</f>
        <v>0</v>
      </c>
      <c r="AN8" s="285">
        <f>+Общо!AQ8</f>
        <v>42344.783832499896</v>
      </c>
      <c r="AP8" s="265">
        <f t="shared" si="1"/>
        <v>45631</v>
      </c>
      <c r="AQ8" s="289">
        <f>+Общо!AT8</f>
        <v>75.89</v>
      </c>
      <c r="AR8" s="289">
        <f>+Общо!AU8</f>
        <v>78.679981931520302</v>
      </c>
      <c r="AS8" s="268">
        <f>+Общо!AV8</f>
        <v>90.408241750000002</v>
      </c>
      <c r="AT8" s="289">
        <v>79.915220000000005</v>
      </c>
      <c r="AV8" s="265">
        <f t="shared" si="2"/>
        <v>45631</v>
      </c>
      <c r="AW8" s="290">
        <f>+Общо!AZ8</f>
        <v>78.679981931520302</v>
      </c>
      <c r="AX8" s="290">
        <f>+Общо!BA8</f>
        <v>86.191828854299999</v>
      </c>
      <c r="AY8" s="289">
        <v>-48.570105113145814</v>
      </c>
      <c r="BA8" s="265">
        <f t="shared" si="3"/>
        <v>45631</v>
      </c>
      <c r="BB8" s="291">
        <f>+Общо!BE8</f>
        <v>479772.57200000063</v>
      </c>
      <c r="BC8" s="289">
        <f>+Общо!BF8</f>
        <v>102.64488707135152</v>
      </c>
      <c r="BD8" s="295">
        <f>+Общо!BG8</f>
        <v>49246201.472871929</v>
      </c>
      <c r="BF8" s="265">
        <f t="shared" si="4"/>
        <v>45631</v>
      </c>
      <c r="BG8" s="293">
        <f>+Общо!BJ8</f>
        <v>9359727.9399999995</v>
      </c>
      <c r="BH8" s="293">
        <f>+Общо!BK8</f>
        <v>2753236.08</v>
      </c>
      <c r="BI8" s="293">
        <f>+Общо!BL8</f>
        <v>1965909.42</v>
      </c>
      <c r="BJ8" s="293">
        <f>+Общо!BM8</f>
        <v>1014254.12</v>
      </c>
      <c r="BK8" s="293">
        <f>+Общо!BN8</f>
        <v>2184342</v>
      </c>
      <c r="BL8" s="293">
        <f>+Общо!BO8</f>
        <v>2295842.69</v>
      </c>
      <c r="BM8" s="293">
        <f>+Общо!BP8</f>
        <v>172816</v>
      </c>
      <c r="BN8" s="293">
        <f>+Общо!BQ8</f>
        <v>0</v>
      </c>
      <c r="BO8" s="294">
        <f>+Общо!BR8</f>
        <v>19746128.25</v>
      </c>
      <c r="BQ8" s="265">
        <f t="shared" si="5"/>
        <v>45631</v>
      </c>
      <c r="BR8" s="293">
        <f>+Общо!BU8</f>
        <v>2597045.7600000016</v>
      </c>
      <c r="BS8" s="293">
        <f>+Общо!BV8</f>
        <v>2132214.83</v>
      </c>
      <c r="BT8" s="293">
        <f>+Общо!BW8</f>
        <v>188448.84999999963</v>
      </c>
      <c r="BU8" s="293">
        <f>+Общо!BX8</f>
        <v>391852.94000000006</v>
      </c>
      <c r="BV8" s="293">
        <f>+Общо!BY8</f>
        <v>25079241.090000004</v>
      </c>
      <c r="BW8" s="293">
        <f>+Общо!BZ8</f>
        <v>0</v>
      </c>
      <c r="BX8" s="293">
        <f>+Общо!CA8</f>
        <v>0</v>
      </c>
      <c r="BY8" s="293">
        <f>+Общо!CB8</f>
        <v>3567553.1529600001</v>
      </c>
      <c r="BZ8" s="294">
        <f>+Общо!CC8</f>
        <v>33956356.622960009</v>
      </c>
      <c r="CB8" s="265">
        <f t="shared" si="6"/>
        <v>45631</v>
      </c>
      <c r="CC8" s="293">
        <f>+Общо!CF8</f>
        <v>11956773.700000001</v>
      </c>
      <c r="CD8" s="293">
        <f>+Общо!CG8</f>
        <v>4885450.91</v>
      </c>
      <c r="CE8" s="293">
        <f>+Общо!CH8</f>
        <v>2154358.2699999996</v>
      </c>
      <c r="CF8" s="293">
        <f>+Общо!CI8</f>
        <v>1406107.06</v>
      </c>
      <c r="CG8" s="293">
        <f>+Общо!CJ8</f>
        <v>27263583.090000004</v>
      </c>
      <c r="CH8" s="293">
        <f>+Общо!CK8</f>
        <v>2295842.69</v>
      </c>
      <c r="CI8" s="293">
        <f>+Общо!CL8</f>
        <v>172816</v>
      </c>
      <c r="CJ8" s="293">
        <f>+Общо!CM8</f>
        <v>3567553.1529600001</v>
      </c>
      <c r="CK8" s="294">
        <f>+Общо!CN8</f>
        <v>53702484.872960001</v>
      </c>
    </row>
    <row r="9" spans="2:89" x14ac:dyDescent="0.25">
      <c r="B9" s="47">
        <f t="shared" si="0"/>
        <v>45632</v>
      </c>
      <c r="C9" s="269">
        <f>+Общо!C9</f>
        <v>0</v>
      </c>
      <c r="D9" s="270">
        <f>+Общо!D9</f>
        <v>0</v>
      </c>
      <c r="E9" s="270">
        <f>+Общо!E9</f>
        <v>0</v>
      </c>
      <c r="F9" s="270">
        <f>+Общо!F9</f>
        <v>0</v>
      </c>
      <c r="G9" s="271">
        <f>+Общо!G9</f>
        <v>815</v>
      </c>
      <c r="H9" s="271">
        <f>+Общо!H9</f>
        <v>3.077</v>
      </c>
      <c r="I9" s="271">
        <f>+Общо!I9</f>
        <v>0.36913826366559482</v>
      </c>
      <c r="J9" s="271">
        <f>+Общо!J9</f>
        <v>23.497</v>
      </c>
      <c r="K9" s="271">
        <f>+Общо!K9</f>
        <v>36.029000000000003</v>
      </c>
      <c r="L9" s="271">
        <f>+Общо!L9</f>
        <v>0</v>
      </c>
      <c r="M9" s="271">
        <f>+Общо!M9</f>
        <v>0.36499999999999999</v>
      </c>
      <c r="N9" s="271">
        <f>+Общо!N9</f>
        <v>2.2519999999999998</v>
      </c>
      <c r="O9" s="271">
        <f>+Общо!O9</f>
        <v>0</v>
      </c>
      <c r="P9" s="271">
        <f>+Общо!P9</f>
        <v>0</v>
      </c>
      <c r="Q9" s="271">
        <f>+Общо!Q9</f>
        <v>0</v>
      </c>
      <c r="R9" s="271">
        <f>+Общо!R9</f>
        <v>26.123999999999999</v>
      </c>
      <c r="S9" s="271">
        <f>+Общо!S9</f>
        <v>0</v>
      </c>
      <c r="T9" s="271">
        <f>+Общо!T9</f>
        <v>3.3948617363344047</v>
      </c>
      <c r="U9" s="271">
        <f>+Общо!U9</f>
        <v>0</v>
      </c>
      <c r="V9" s="271" t="e">
        <f>+Общо!#REF!</f>
        <v>#REF!</v>
      </c>
      <c r="W9" s="271">
        <f>+Общо!V9</f>
        <v>1500</v>
      </c>
      <c r="X9" s="271">
        <f>+Общо!X9</f>
        <v>0</v>
      </c>
      <c r="Y9" s="272">
        <f>+Общо!Y9</f>
        <v>0</v>
      </c>
      <c r="Z9" s="273">
        <f>+Общо!Z9</f>
        <v>0</v>
      </c>
      <c r="AA9" s="269">
        <f>+Общо!AA9</f>
        <v>0</v>
      </c>
      <c r="AB9" s="272">
        <f>+Общо!AB9</f>
        <v>-5.0000000001091394E-3</v>
      </c>
      <c r="AD9" s="278">
        <f>+Общо!AD9</f>
        <v>0</v>
      </c>
      <c r="AE9" s="278">
        <f>+Общо!AE9</f>
        <v>14.516</v>
      </c>
      <c r="AF9" s="278">
        <f>+Общо!AH9</f>
        <v>4845.5870000000004</v>
      </c>
      <c r="AG9" s="279">
        <f>+Общо!AJ9</f>
        <v>1500</v>
      </c>
      <c r="AH9" s="280">
        <f>+Общо!AK9</f>
        <v>6360.1030000000001</v>
      </c>
      <c r="AJ9" s="281">
        <f>+Общо!AM9</f>
        <v>46604.367203999966</v>
      </c>
      <c r="AK9" s="282">
        <f>+Общо!AN9</f>
        <v>3890.9</v>
      </c>
      <c r="AL9" s="283">
        <f>+Общо!AO9</f>
        <v>42713.467203999964</v>
      </c>
      <c r="AM9" s="284">
        <f>+Общо!AP9</f>
        <v>0</v>
      </c>
      <c r="AN9" s="285">
        <f>+Общо!AQ9</f>
        <v>42713.467203999964</v>
      </c>
      <c r="AP9" s="265">
        <f t="shared" si="1"/>
        <v>45632</v>
      </c>
      <c r="AQ9" s="289">
        <f>+Общо!AT9</f>
        <v>75.89</v>
      </c>
      <c r="AR9" s="289">
        <f>+Общо!AU9</f>
        <v>79.140525027247961</v>
      </c>
      <c r="AS9" s="268">
        <f>+Общо!AV9</f>
        <v>91.337260999999998</v>
      </c>
      <c r="AT9" s="289">
        <v>82.800069249999993</v>
      </c>
      <c r="AV9" s="265">
        <f t="shared" si="2"/>
        <v>45632</v>
      </c>
      <c r="AW9" s="290">
        <f>+Общо!AZ9</f>
        <v>79.140525027247961</v>
      </c>
      <c r="AX9" s="290">
        <f>+Общо!BA9</f>
        <v>85.672390613492723</v>
      </c>
      <c r="AY9" s="289">
        <v>-44.454269350687554</v>
      </c>
      <c r="BA9" s="265">
        <f t="shared" si="3"/>
        <v>45632</v>
      </c>
      <c r="BB9" s="291">
        <f>+Общо!BE9</f>
        <v>474926.98500000063</v>
      </c>
      <c r="BC9" s="289">
        <f>+Общо!BF9</f>
        <v>102.64488707135152</v>
      </c>
      <c r="BD9" s="295">
        <f>+Общо!BG9</f>
        <v>48748826.742462523</v>
      </c>
      <c r="BF9" s="265">
        <f t="shared" si="4"/>
        <v>45632</v>
      </c>
      <c r="BG9" s="293">
        <f>+Общо!BJ9</f>
        <v>9359727.9399999995</v>
      </c>
      <c r="BH9" s="293">
        <f>+Общо!BK9</f>
        <v>2753236.08</v>
      </c>
      <c r="BI9" s="293">
        <f>+Общо!BL9</f>
        <v>1965909.42</v>
      </c>
      <c r="BJ9" s="293">
        <f>+Общо!BM9</f>
        <v>1014254.12</v>
      </c>
      <c r="BK9" s="293">
        <f>+Общо!BN9</f>
        <v>2184342</v>
      </c>
      <c r="BL9" s="293">
        <f>+Общо!BO9</f>
        <v>2295842.69</v>
      </c>
      <c r="BM9" s="293">
        <f>+Общо!BP9</f>
        <v>172816</v>
      </c>
      <c r="BN9" s="293">
        <f>+Общо!BQ9</f>
        <v>0</v>
      </c>
      <c r="BO9" s="294">
        <f>+Общо!BR9</f>
        <v>19746128.25</v>
      </c>
      <c r="BQ9" s="265">
        <f t="shared" si="5"/>
        <v>45632</v>
      </c>
      <c r="BR9" s="293">
        <f>+Общо!BU9</f>
        <v>2597045.7600000016</v>
      </c>
      <c r="BS9" s="293">
        <f>+Общо!BV9</f>
        <v>2132214.83</v>
      </c>
      <c r="BT9" s="293">
        <f>+Общо!BW9</f>
        <v>188448.84999999963</v>
      </c>
      <c r="BU9" s="293">
        <f>+Общо!BX9</f>
        <v>391852.94000000006</v>
      </c>
      <c r="BV9" s="293">
        <f>+Общо!BY9</f>
        <v>25079241.090000004</v>
      </c>
      <c r="BW9" s="293">
        <f>+Общо!BZ9</f>
        <v>0</v>
      </c>
      <c r="BX9" s="293">
        <f>+Общо!CA9</f>
        <v>0</v>
      </c>
      <c r="BY9" s="293">
        <f>+Общо!CB9</f>
        <v>3567553.1529600001</v>
      </c>
      <c r="BZ9" s="294">
        <f>+Общо!CC9</f>
        <v>33956356.622960009</v>
      </c>
      <c r="CB9" s="265">
        <f t="shared" si="6"/>
        <v>45632</v>
      </c>
      <c r="CC9" s="293">
        <f>+Общо!CF9</f>
        <v>11956773.700000001</v>
      </c>
      <c r="CD9" s="293">
        <f>+Общо!CG9</f>
        <v>4885450.91</v>
      </c>
      <c r="CE9" s="293">
        <f>+Общо!CH9</f>
        <v>2154358.2699999996</v>
      </c>
      <c r="CF9" s="293">
        <f>+Общо!CI9</f>
        <v>1406107.06</v>
      </c>
      <c r="CG9" s="293">
        <f>+Общо!CJ9</f>
        <v>27263583.090000004</v>
      </c>
      <c r="CH9" s="293">
        <f>+Общо!CK9</f>
        <v>2295842.69</v>
      </c>
      <c r="CI9" s="293">
        <f>+Общо!CL9</f>
        <v>172816</v>
      </c>
      <c r="CJ9" s="293">
        <f>+Общо!CM9</f>
        <v>3567553.1529600001</v>
      </c>
      <c r="CK9" s="294">
        <f>+Общо!CN9</f>
        <v>53702484.872960001</v>
      </c>
    </row>
    <row r="10" spans="2:89" x14ac:dyDescent="0.25">
      <c r="B10" s="47">
        <f t="shared" si="0"/>
        <v>45633</v>
      </c>
      <c r="C10" s="269">
        <f>+Общо!C10</f>
        <v>0</v>
      </c>
      <c r="D10" s="270">
        <f>+Общо!D10</f>
        <v>0</v>
      </c>
      <c r="E10" s="270">
        <f>+Общо!E10</f>
        <v>0</v>
      </c>
      <c r="F10" s="270">
        <f>+Общо!F10</f>
        <v>0</v>
      </c>
      <c r="G10" s="271">
        <f>+Общо!G10</f>
        <v>185.25399999999999</v>
      </c>
      <c r="H10" s="271">
        <f>+Общо!H10</f>
        <v>0.85599999999999998</v>
      </c>
      <c r="I10" s="271">
        <f>+Общо!I10</f>
        <v>0</v>
      </c>
      <c r="J10" s="271">
        <f>+Общо!J10</f>
        <v>6.3179999999999996</v>
      </c>
      <c r="K10" s="271">
        <f>+Общо!K10</f>
        <v>35.533999999999999</v>
      </c>
      <c r="L10" s="271">
        <f>+Общо!L10</f>
        <v>1.6659999999999968</v>
      </c>
      <c r="M10" s="271">
        <f>+Общо!M10</f>
        <v>0</v>
      </c>
      <c r="N10" s="271">
        <f>+Общо!N10</f>
        <v>0.38500000000000001</v>
      </c>
      <c r="O10" s="271">
        <f>+Общо!O10</f>
        <v>0</v>
      </c>
      <c r="P10" s="271">
        <f>+Общо!P10</f>
        <v>0</v>
      </c>
      <c r="Q10" s="271">
        <f>+Общо!Q10</f>
        <v>0</v>
      </c>
      <c r="R10" s="271">
        <f>+Общо!R10</f>
        <v>28.157</v>
      </c>
      <c r="S10" s="271">
        <f>+Общо!S10</f>
        <v>0</v>
      </c>
      <c r="T10" s="271">
        <f>+Общо!T10</f>
        <v>0.85799999999999998</v>
      </c>
      <c r="U10" s="271">
        <f>+Общо!U10</f>
        <v>0</v>
      </c>
      <c r="V10" s="271" t="e">
        <f>+Общо!#REF!</f>
        <v>#REF!</v>
      </c>
      <c r="W10" s="271">
        <f>+Общо!V10</f>
        <v>500</v>
      </c>
      <c r="X10" s="271">
        <f>+Общо!X10</f>
        <v>0</v>
      </c>
      <c r="Y10" s="272">
        <f>+Общо!Y10</f>
        <v>200</v>
      </c>
      <c r="Z10" s="273">
        <f>+Общо!Z10</f>
        <v>0</v>
      </c>
      <c r="AA10" s="269">
        <f>+Общо!AA10</f>
        <v>1.0749999999998181</v>
      </c>
      <c r="AB10" s="272">
        <f>+Общо!AB10</f>
        <v>0</v>
      </c>
      <c r="AD10" s="278">
        <f>+Общо!AD10</f>
        <v>0</v>
      </c>
      <c r="AE10" s="278">
        <f>+Общо!AE10</f>
        <v>14.516</v>
      </c>
      <c r="AF10" s="278">
        <f>+Общо!AH10</f>
        <v>4345.5870000000004</v>
      </c>
      <c r="AG10" s="279">
        <f>+Общо!AJ10</f>
        <v>550</v>
      </c>
      <c r="AH10" s="280">
        <f>+Общо!AK10</f>
        <v>4910.1030000000001</v>
      </c>
      <c r="AJ10" s="281">
        <f>+Общо!AM10</f>
        <v>43562.684482999983</v>
      </c>
      <c r="AK10" s="282">
        <f>+Общо!AN10</f>
        <v>3890.9</v>
      </c>
      <c r="AL10" s="283">
        <f>+Общо!AO10</f>
        <v>39671.784482999981</v>
      </c>
      <c r="AM10" s="284">
        <f>+Общо!AP10</f>
        <v>0</v>
      </c>
      <c r="AN10" s="285">
        <f>+Общо!AQ10</f>
        <v>39671.784482999981</v>
      </c>
      <c r="AO10" s="4"/>
      <c r="AP10" s="265">
        <f t="shared" si="1"/>
        <v>45633</v>
      </c>
      <c r="AQ10" s="289">
        <f>+Общо!AT10</f>
        <v>75.89</v>
      </c>
      <c r="AR10" s="289">
        <f>+Общо!AU10</f>
        <v>76.423406260520409</v>
      </c>
      <c r="AS10" s="268">
        <f>+Общо!AV10</f>
        <v>92.315176000000008</v>
      </c>
      <c r="AT10" s="289">
        <v>62.410541499999994</v>
      </c>
      <c r="AV10" s="265">
        <f t="shared" si="2"/>
        <v>45633</v>
      </c>
      <c r="AW10" s="290">
        <f>+Общо!AZ10</f>
        <v>76.423406260520409</v>
      </c>
      <c r="AX10" s="290">
        <f>+Общо!BA10</f>
        <v>84.749435178854711</v>
      </c>
      <c r="AY10" s="289">
        <v>-73.535300978565317</v>
      </c>
      <c r="BA10" s="265">
        <f t="shared" si="3"/>
        <v>45633</v>
      </c>
      <c r="BB10" s="291">
        <f>+Общо!BE10</f>
        <v>470581.39800000063</v>
      </c>
      <c r="BC10" s="289">
        <f>+Общо!BF10</f>
        <v>102.64488707135152</v>
      </c>
      <c r="BD10" s="295">
        <f>+Общо!BG10</f>
        <v>48302774.455588788</v>
      </c>
      <c r="BF10" s="265">
        <f t="shared" si="4"/>
        <v>45633</v>
      </c>
      <c r="BG10" s="293">
        <f>+Общо!BJ10</f>
        <v>9359727.9399999995</v>
      </c>
      <c r="BH10" s="293">
        <f>+Общо!BK10</f>
        <v>2753236.08</v>
      </c>
      <c r="BI10" s="293">
        <f>+Общо!BL10</f>
        <v>1965909.42</v>
      </c>
      <c r="BJ10" s="293">
        <f>+Общо!BM10</f>
        <v>1014254.12</v>
      </c>
      <c r="BK10" s="293">
        <f>+Общо!BN10</f>
        <v>2184342</v>
      </c>
      <c r="BL10" s="293">
        <f>+Общо!BO10</f>
        <v>2295842.69</v>
      </c>
      <c r="BM10" s="293">
        <f>+Общо!BP10</f>
        <v>172816</v>
      </c>
      <c r="BN10" s="293">
        <f>+Общо!BQ10</f>
        <v>0</v>
      </c>
      <c r="BO10" s="294">
        <f>+Общо!BR10</f>
        <v>19746128.25</v>
      </c>
      <c r="BQ10" s="265">
        <f t="shared" si="5"/>
        <v>45633</v>
      </c>
      <c r="BR10" s="293">
        <f>+Общо!BU10</f>
        <v>2597045.7600000016</v>
      </c>
      <c r="BS10" s="293">
        <f>+Общо!BV10</f>
        <v>2132214.83</v>
      </c>
      <c r="BT10" s="293">
        <f>+Общо!BW10</f>
        <v>188448.84999999963</v>
      </c>
      <c r="BU10" s="293">
        <f>+Общо!BX10</f>
        <v>391852.94000000006</v>
      </c>
      <c r="BV10" s="293">
        <f>+Общо!BY10</f>
        <v>25079241.090000004</v>
      </c>
      <c r="BW10" s="293">
        <f>+Общо!BZ10</f>
        <v>0</v>
      </c>
      <c r="BX10" s="293">
        <f>+Общо!CA10</f>
        <v>0</v>
      </c>
      <c r="BY10" s="293">
        <f>+Общо!CB10</f>
        <v>3567553.1529600001</v>
      </c>
      <c r="BZ10" s="294">
        <f>+Общо!CC10</f>
        <v>33956356.622960009</v>
      </c>
      <c r="CB10" s="265">
        <f t="shared" si="6"/>
        <v>45633</v>
      </c>
      <c r="CC10" s="293">
        <f>+Общо!CF10</f>
        <v>11956773.700000001</v>
      </c>
      <c r="CD10" s="293">
        <f>+Общо!CG10</f>
        <v>4885450.91</v>
      </c>
      <c r="CE10" s="293">
        <f>+Общо!CH10</f>
        <v>2154358.2699999996</v>
      </c>
      <c r="CF10" s="293">
        <f>+Общо!CI10</f>
        <v>1406107.06</v>
      </c>
      <c r="CG10" s="293">
        <f>+Общо!CJ10</f>
        <v>27263583.090000004</v>
      </c>
      <c r="CH10" s="293">
        <f>+Общо!CK10</f>
        <v>2295842.69</v>
      </c>
      <c r="CI10" s="293">
        <f>+Общо!CL10</f>
        <v>172816</v>
      </c>
      <c r="CJ10" s="293">
        <f>+Общо!CM10</f>
        <v>3567553.1529600001</v>
      </c>
      <c r="CK10" s="294">
        <f>+Общо!CN10</f>
        <v>53702484.872960001</v>
      </c>
    </row>
    <row r="11" spans="2:89" x14ac:dyDescent="0.25">
      <c r="B11" s="47">
        <f t="shared" si="0"/>
        <v>45634</v>
      </c>
      <c r="C11" s="269">
        <f>+Общо!C11</f>
        <v>0</v>
      </c>
      <c r="D11" s="270">
        <f>+Общо!D11</f>
        <v>0</v>
      </c>
      <c r="E11" s="270">
        <f>+Общо!E11</f>
        <v>0</v>
      </c>
      <c r="F11" s="270">
        <f>+Общо!F11</f>
        <v>0</v>
      </c>
      <c r="G11" s="271">
        <f>+Общо!G11</f>
        <v>0</v>
      </c>
      <c r="H11" s="271">
        <f>+Общо!H11</f>
        <v>3.8149999999999999</v>
      </c>
      <c r="I11" s="271">
        <f>+Общо!I11</f>
        <v>0</v>
      </c>
      <c r="J11" s="271">
        <f>+Общо!J11</f>
        <v>3.8039999999999998</v>
      </c>
      <c r="K11" s="271">
        <f>+Общо!K11</f>
        <v>29.379000000000001</v>
      </c>
      <c r="L11" s="271">
        <f>+Общо!L11</f>
        <v>0</v>
      </c>
      <c r="M11" s="271">
        <f>+Общо!M11</f>
        <v>0.33300000000000002</v>
      </c>
      <c r="N11" s="271">
        <f>+Общо!N11</f>
        <v>0.36599999999999999</v>
      </c>
      <c r="O11" s="271">
        <f>+Общо!O11</f>
        <v>0</v>
      </c>
      <c r="P11" s="271">
        <f>+Общо!P11</f>
        <v>0</v>
      </c>
      <c r="Q11" s="271">
        <f>+Общо!Q11</f>
        <v>0</v>
      </c>
      <c r="R11" s="271">
        <f>+Общо!R11</f>
        <v>28.157</v>
      </c>
      <c r="S11" s="271">
        <f>+Общо!S11</f>
        <v>377.66199999999998</v>
      </c>
      <c r="T11" s="271">
        <f>+Общо!T11</f>
        <v>0.35899999999999999</v>
      </c>
      <c r="U11" s="271">
        <f>+Общо!U11</f>
        <v>0</v>
      </c>
      <c r="V11" s="271" t="e">
        <f>+Общо!#REF!</f>
        <v>#REF!</v>
      </c>
      <c r="W11" s="271">
        <f>+Общо!V11</f>
        <v>500</v>
      </c>
      <c r="X11" s="271">
        <f>+Общо!X11</f>
        <v>0</v>
      </c>
      <c r="Y11" s="272">
        <f>+Общо!Y11</f>
        <v>53.228000000000002</v>
      </c>
      <c r="Z11" s="273">
        <f>+Общо!Z11</f>
        <v>0</v>
      </c>
      <c r="AA11" s="269">
        <f>+Общо!AA11</f>
        <v>0</v>
      </c>
      <c r="AB11" s="272">
        <f>+Общо!AB11</f>
        <v>0</v>
      </c>
      <c r="AD11" s="278">
        <f>+Общо!AD11</f>
        <v>0</v>
      </c>
      <c r="AE11" s="278">
        <f>+Общо!AE11</f>
        <v>14.516</v>
      </c>
      <c r="AF11" s="278">
        <f>+Общо!AH11</f>
        <v>4345.5870000000004</v>
      </c>
      <c r="AG11" s="279">
        <f>+Общо!AJ11</f>
        <v>587</v>
      </c>
      <c r="AH11" s="280">
        <f>+Общо!AK11</f>
        <v>4947.1030000000001</v>
      </c>
      <c r="AJ11" s="281">
        <f>+Общо!AM11</f>
        <v>45466.237661499959</v>
      </c>
      <c r="AK11" s="282">
        <f>+Общо!AN11</f>
        <v>3890.9</v>
      </c>
      <c r="AL11" s="283">
        <f>+Общо!AO11</f>
        <v>41575.337661499958</v>
      </c>
      <c r="AM11" s="284">
        <f>+Общо!AP11</f>
        <v>0</v>
      </c>
      <c r="AN11" s="285">
        <f>+Общо!AQ11</f>
        <v>41575.337661499958</v>
      </c>
      <c r="AP11" s="265">
        <f t="shared" si="1"/>
        <v>45634</v>
      </c>
      <c r="AQ11" s="289">
        <f>+Общо!AT11</f>
        <v>75.89</v>
      </c>
      <c r="AR11" s="289">
        <f>+Общо!AU11</f>
        <v>76.531011452561231</v>
      </c>
      <c r="AS11" s="268">
        <f>+Общо!AV11</f>
        <v>89.968180000000004</v>
      </c>
      <c r="AT11" s="289">
        <v>15.819640548977276</v>
      </c>
      <c r="AV11" s="265">
        <f t="shared" si="2"/>
        <v>45634</v>
      </c>
      <c r="AW11" s="290">
        <f>+Общо!AZ11</f>
        <v>76.531011452561231</v>
      </c>
      <c r="AX11" s="290">
        <f>+Общо!BA11</f>
        <v>85.138722939465779</v>
      </c>
      <c r="AY11" s="289">
        <v>5.2364157809575147</v>
      </c>
      <c r="BA11" s="265">
        <f t="shared" si="3"/>
        <v>45634</v>
      </c>
      <c r="BB11" s="291">
        <f>+Общо!BE11</f>
        <v>466235.81100000063</v>
      </c>
      <c r="BC11" s="289">
        <f>+Общо!BF11</f>
        <v>102.64488707135152</v>
      </c>
      <c r="BD11" s="295">
        <f>+Общо!BG11</f>
        <v>47856722.168715052</v>
      </c>
      <c r="BF11" s="265">
        <f t="shared" si="4"/>
        <v>45634</v>
      </c>
      <c r="BG11" s="293">
        <f>+Общо!BJ11</f>
        <v>9359727.9399999995</v>
      </c>
      <c r="BH11" s="293">
        <f>+Общо!BK11</f>
        <v>2753236.08</v>
      </c>
      <c r="BI11" s="293">
        <f>+Общо!BL11</f>
        <v>1965909.42</v>
      </c>
      <c r="BJ11" s="293">
        <f>+Общо!BM11</f>
        <v>1014254.12</v>
      </c>
      <c r="BK11" s="293">
        <f>+Общо!BN11</f>
        <v>2567115.04</v>
      </c>
      <c r="BL11" s="293">
        <f>+Общо!BO11</f>
        <v>2295842.69</v>
      </c>
      <c r="BM11" s="293">
        <f>+Общо!BP11</f>
        <v>312626.3899999999</v>
      </c>
      <c r="BN11" s="293">
        <f>+Общо!BQ11</f>
        <v>0</v>
      </c>
      <c r="BO11" s="294">
        <f>+Общо!BR11</f>
        <v>20268711.68</v>
      </c>
      <c r="BQ11" s="265">
        <f t="shared" si="5"/>
        <v>45634</v>
      </c>
      <c r="BR11" s="293">
        <f>+Общо!BU11</f>
        <v>2597045.7600000016</v>
      </c>
      <c r="BS11" s="293">
        <f>+Общо!BV11</f>
        <v>2132214.83</v>
      </c>
      <c r="BT11" s="293">
        <f>+Общо!BW11</f>
        <v>196792.96999999974</v>
      </c>
      <c r="BU11" s="293">
        <f>+Общо!BX11</f>
        <v>391852.94000000006</v>
      </c>
      <c r="BV11" s="293">
        <f>+Общо!BY11</f>
        <v>27263583.090000004</v>
      </c>
      <c r="BW11" s="293">
        <f>+Общо!BZ11</f>
        <v>0</v>
      </c>
      <c r="BX11" s="293">
        <f>+Общо!CA11</f>
        <v>0</v>
      </c>
      <c r="BY11" s="293">
        <f>+Общо!CB11</f>
        <v>3567553.1529600001</v>
      </c>
      <c r="BZ11" s="294">
        <f>+Общо!CC11</f>
        <v>36149042.742960006</v>
      </c>
      <c r="CB11" s="265">
        <f t="shared" si="6"/>
        <v>45634</v>
      </c>
      <c r="CC11" s="293">
        <f>+Общо!CF11</f>
        <v>11956773.700000001</v>
      </c>
      <c r="CD11" s="293">
        <f>+Общо!CG11</f>
        <v>4885450.91</v>
      </c>
      <c r="CE11" s="293">
        <f>+Общо!CH11</f>
        <v>2162702.3899999997</v>
      </c>
      <c r="CF11" s="293">
        <f>+Общо!CI11</f>
        <v>1406107.06</v>
      </c>
      <c r="CG11" s="293">
        <f>+Общо!CJ11</f>
        <v>29830698.130000003</v>
      </c>
      <c r="CH11" s="293">
        <f>+Общо!CK11</f>
        <v>2295842.69</v>
      </c>
      <c r="CI11" s="293">
        <f>+Общо!CL11</f>
        <v>312626.3899999999</v>
      </c>
      <c r="CJ11" s="293">
        <f>+Общо!CM11</f>
        <v>3567553.1529600001</v>
      </c>
      <c r="CK11" s="294">
        <f>+Общо!CN11</f>
        <v>56417754.422959998</v>
      </c>
    </row>
    <row r="12" spans="2:89" x14ac:dyDescent="0.25">
      <c r="B12" s="47">
        <f t="shared" si="0"/>
        <v>45635</v>
      </c>
      <c r="C12" s="269">
        <f>+Общо!C12</f>
        <v>21.826000000000001</v>
      </c>
      <c r="D12" s="270">
        <f>+Общо!D12</f>
        <v>32.226999999999975</v>
      </c>
      <c r="E12" s="270">
        <f>+Общо!E12</f>
        <v>37.115000000000009</v>
      </c>
      <c r="F12" s="270">
        <f>+Общо!F12</f>
        <v>174.96699999999998</v>
      </c>
      <c r="G12" s="271">
        <f>+Общо!G12</f>
        <v>0</v>
      </c>
      <c r="H12" s="271">
        <f>+Общо!H12</f>
        <v>3.84</v>
      </c>
      <c r="I12" s="271">
        <f>+Общо!I12</f>
        <v>6.2078367629811284</v>
      </c>
      <c r="J12" s="271">
        <f>+Общо!J12</f>
        <v>24.521000000000001</v>
      </c>
      <c r="K12" s="271">
        <f>+Общо!K12</f>
        <v>31.716000000000001</v>
      </c>
      <c r="L12" s="271">
        <f>+Общо!L12</f>
        <v>0</v>
      </c>
      <c r="M12" s="271">
        <f>+Общо!M12</f>
        <v>0.51600000000000001</v>
      </c>
      <c r="N12" s="271">
        <f>+Общо!N12</f>
        <v>2.3119999999999998</v>
      </c>
      <c r="O12" s="271">
        <f>+Общо!O12</f>
        <v>3.2589999999999999</v>
      </c>
      <c r="P12" s="271">
        <f>+Общо!P12</f>
        <v>0</v>
      </c>
      <c r="Q12" s="271">
        <f>+Общо!Q12</f>
        <v>42.622</v>
      </c>
      <c r="R12" s="271">
        <f>+Общо!R12</f>
        <v>25.231000000000002</v>
      </c>
      <c r="S12" s="271">
        <f>+Общо!S12</f>
        <v>0</v>
      </c>
      <c r="T12" s="271">
        <f>+Общо!T12</f>
        <v>3.7431632370188721</v>
      </c>
      <c r="U12" s="271">
        <f>+Общо!U12</f>
        <v>0</v>
      </c>
      <c r="V12" s="271" t="e">
        <f>+Общо!#REF!</f>
        <v>#REF!</v>
      </c>
      <c r="W12" s="271">
        <f>+Общо!V12</f>
        <v>1500</v>
      </c>
      <c r="X12" s="271">
        <f>+Общо!X12</f>
        <v>0</v>
      </c>
      <c r="Y12" s="272">
        <f>+Общо!Y12</f>
        <v>0</v>
      </c>
      <c r="Z12" s="273">
        <f>+Общо!Z12</f>
        <v>0</v>
      </c>
      <c r="AA12" s="269">
        <f>+Общо!AA12</f>
        <v>9.0949470177292824E-13</v>
      </c>
      <c r="AB12" s="272">
        <f>+Общо!AB12</f>
        <v>0</v>
      </c>
      <c r="AD12" s="278">
        <f>+Общо!AD12</f>
        <v>0</v>
      </c>
      <c r="AE12" s="278">
        <f>+Общо!AE12</f>
        <v>14.516</v>
      </c>
      <c r="AF12" s="278">
        <f>+Общо!AH12</f>
        <v>4845.5870000000004</v>
      </c>
      <c r="AG12" s="279">
        <f>+Общо!AJ12</f>
        <v>1000</v>
      </c>
      <c r="AH12" s="280">
        <f>+Общо!AK12</f>
        <v>5860.1030000000001</v>
      </c>
      <c r="AJ12" s="281">
        <f>+Общо!AM12</f>
        <v>46346.072200999894</v>
      </c>
      <c r="AK12" s="282">
        <f>+Общо!AN12</f>
        <v>3890.9</v>
      </c>
      <c r="AL12" s="283">
        <f>+Общо!AO12</f>
        <v>42455.172200999892</v>
      </c>
      <c r="AM12" s="284">
        <f>+Общо!AP12</f>
        <v>0</v>
      </c>
      <c r="AN12" s="285">
        <f>+Общо!AQ12</f>
        <v>42455.172200999892</v>
      </c>
      <c r="AP12" s="265">
        <f t="shared" si="1"/>
        <v>45635</v>
      </c>
      <c r="AQ12" s="289">
        <f>+Общо!AT12</f>
        <v>75.89</v>
      </c>
      <c r="AR12" s="289">
        <f>+Общо!AU12</f>
        <v>77.377786081575707</v>
      </c>
      <c r="AS12" s="268">
        <f>+Общо!AV12</f>
        <v>89.968180000000004</v>
      </c>
      <c r="AT12" s="289">
        <v>63.950856859528159</v>
      </c>
      <c r="AV12" s="265">
        <f t="shared" si="2"/>
        <v>45635</v>
      </c>
      <c r="AW12" s="290">
        <f>+Общо!AZ12</f>
        <v>77.377786081575707</v>
      </c>
      <c r="AX12" s="290">
        <f>+Общо!BA12</f>
        <v>85.005920641667899</v>
      </c>
      <c r="AY12" s="289">
        <v>18.383978129374157</v>
      </c>
      <c r="BA12" s="265">
        <f t="shared" si="3"/>
        <v>45635</v>
      </c>
      <c r="BB12" s="291">
        <f>+Общо!BE12</f>
        <v>461390.22400000063</v>
      </c>
      <c r="BC12" s="289">
        <f>+Общо!BF12</f>
        <v>102.64488707135152</v>
      </c>
      <c r="BD12" s="295">
        <f>+Общо!BG12</f>
        <v>47359347.438305646</v>
      </c>
      <c r="BF12" s="265">
        <f t="shared" si="4"/>
        <v>45635</v>
      </c>
      <c r="BG12" s="293">
        <f>+Общо!BJ12</f>
        <v>13159019.48</v>
      </c>
      <c r="BH12" s="293">
        <f>+Общо!BK12</f>
        <v>2753236.08</v>
      </c>
      <c r="BI12" s="293">
        <f>+Общо!BL12</f>
        <v>1965909.42</v>
      </c>
      <c r="BJ12" s="293">
        <f>+Общо!BM12</f>
        <v>1014254.12</v>
      </c>
      <c r="BK12" s="293">
        <f>+Общо!BN12</f>
        <v>2567115.04</v>
      </c>
      <c r="BL12" s="293">
        <f>+Общо!BO12</f>
        <v>2295842.69</v>
      </c>
      <c r="BM12" s="293">
        <f>+Общо!BP12</f>
        <v>52915.199999999997</v>
      </c>
      <c r="BN12" s="293">
        <f>+Общо!BQ12</f>
        <v>0</v>
      </c>
      <c r="BO12" s="294">
        <f>+Общо!BR12</f>
        <v>23808292.030000001</v>
      </c>
      <c r="BQ12" s="265">
        <f t="shared" si="5"/>
        <v>45635</v>
      </c>
      <c r="BR12" s="293">
        <f>+Общо!BU12</f>
        <v>12644149.52999999</v>
      </c>
      <c r="BS12" s="293">
        <f>+Общо!BV12</f>
        <v>2082002.6400000025</v>
      </c>
      <c r="BT12" s="293">
        <f>+Общо!BW12</f>
        <v>196792.96999999974</v>
      </c>
      <c r="BU12" s="293">
        <f>+Общо!BX12</f>
        <v>391852.94000000006</v>
      </c>
      <c r="BV12" s="293">
        <f>+Общо!BY12</f>
        <v>27263583.090000004</v>
      </c>
      <c r="BW12" s="293">
        <f>+Общо!BZ12</f>
        <v>1501047.7600000002</v>
      </c>
      <c r="BX12" s="293">
        <f>+Общо!CA12</f>
        <v>0</v>
      </c>
      <c r="BY12" s="293">
        <f>+Общо!CB12</f>
        <v>3567553.1529600001</v>
      </c>
      <c r="BZ12" s="294">
        <f>+Общо!CC12</f>
        <v>47646982.082959995</v>
      </c>
      <c r="CB12" s="265">
        <f t="shared" si="6"/>
        <v>45635</v>
      </c>
      <c r="CC12" s="293">
        <f>+Общо!CF12</f>
        <v>25803169.00999999</v>
      </c>
      <c r="CD12" s="293">
        <f>+Общо!CG12</f>
        <v>4835238.7200000025</v>
      </c>
      <c r="CE12" s="293">
        <f>+Общо!CH12</f>
        <v>2162702.3899999997</v>
      </c>
      <c r="CF12" s="293">
        <f>+Общо!CI12</f>
        <v>1406107.06</v>
      </c>
      <c r="CG12" s="293">
        <f>+Общо!CJ12</f>
        <v>29830698.130000003</v>
      </c>
      <c r="CH12" s="293">
        <f>+Общо!CK12</f>
        <v>3796890.45</v>
      </c>
      <c r="CI12" s="293">
        <f>+Общо!CL12</f>
        <v>52915.199999999997</v>
      </c>
      <c r="CJ12" s="293">
        <f>+Общо!CM12</f>
        <v>3567553.1529600001</v>
      </c>
      <c r="CK12" s="294">
        <f>+Общо!CN12</f>
        <v>71455274.112959996</v>
      </c>
    </row>
    <row r="13" spans="2:89" x14ac:dyDescent="0.25">
      <c r="B13" s="47">
        <f t="shared" si="0"/>
        <v>45636</v>
      </c>
      <c r="C13" s="269">
        <f>+Общо!C13</f>
        <v>47.179000000000002</v>
      </c>
      <c r="D13" s="270">
        <f>+Общо!D13</f>
        <v>45.996000000000095</v>
      </c>
      <c r="E13" s="270">
        <f>+Общо!E13</f>
        <v>17.689000000000021</v>
      </c>
      <c r="F13" s="270">
        <f>+Общо!F13</f>
        <v>209.66899999999998</v>
      </c>
      <c r="G13" s="271">
        <f>+Общо!G13</f>
        <v>0</v>
      </c>
      <c r="H13" s="271">
        <f>+Общо!H13</f>
        <v>3.097</v>
      </c>
      <c r="I13" s="271">
        <f>+Общо!I13</f>
        <v>4.0049636286442123</v>
      </c>
      <c r="J13" s="271">
        <f>+Общо!J13</f>
        <v>26.123999999999999</v>
      </c>
      <c r="K13" s="271">
        <f>+Общо!K13</f>
        <v>1.6779999999999999</v>
      </c>
      <c r="L13" s="271">
        <f>+Общо!L13</f>
        <v>3</v>
      </c>
      <c r="M13" s="271">
        <f>+Общо!M13</f>
        <v>0.30099999999999999</v>
      </c>
      <c r="N13" s="271">
        <f>+Общо!N13</f>
        <v>2.2160000000000002</v>
      </c>
      <c r="O13" s="271">
        <f>+Общо!O13</f>
        <v>1.7529999999999999</v>
      </c>
      <c r="P13" s="271">
        <f>+Общо!P13</f>
        <v>0</v>
      </c>
      <c r="Q13" s="271">
        <f>+Общо!Q13</f>
        <v>14.068</v>
      </c>
      <c r="R13" s="271">
        <f>+Общо!R13</f>
        <v>25.177</v>
      </c>
      <c r="S13" s="271">
        <f>+Общо!S13</f>
        <v>4.7539999999999996</v>
      </c>
      <c r="T13" s="271">
        <f>+Общо!T13</f>
        <v>3.0680363713557881</v>
      </c>
      <c r="U13" s="271">
        <f>+Общо!U13</f>
        <v>0</v>
      </c>
      <c r="V13" s="271" t="e">
        <f>+Общо!#REF!</f>
        <v>#REF!</v>
      </c>
      <c r="W13" s="271">
        <f>+Общо!V13</f>
        <v>1500</v>
      </c>
      <c r="X13" s="271">
        <f>+Общо!X13</f>
        <v>0</v>
      </c>
      <c r="Y13" s="272">
        <f>+Общо!Y13</f>
        <v>0</v>
      </c>
      <c r="Z13" s="273">
        <f>+Общо!Z13</f>
        <v>0</v>
      </c>
      <c r="AA13" s="269">
        <f>+Общо!AA13</f>
        <v>0.32899999999972351</v>
      </c>
      <c r="AB13" s="272">
        <f>+Общо!AB13</f>
        <v>0</v>
      </c>
      <c r="AD13" s="278">
        <f>+Общо!AD13</f>
        <v>0</v>
      </c>
      <c r="AE13" s="278">
        <f>+Общо!AE13</f>
        <v>14.516</v>
      </c>
      <c r="AF13" s="278">
        <f>+Общо!AH13</f>
        <v>4345.5870000000004</v>
      </c>
      <c r="AG13" s="279">
        <f>+Общо!AJ13</f>
        <v>1500</v>
      </c>
      <c r="AH13" s="280">
        <f>+Общо!AK13</f>
        <v>5860.1030000000001</v>
      </c>
      <c r="AJ13" s="281">
        <f>+Общо!AM13</f>
        <v>42334.005349999999</v>
      </c>
      <c r="AK13" s="282">
        <f>+Общо!AN13</f>
        <v>3890.9</v>
      </c>
      <c r="AL13" s="283">
        <f>+Общо!AO13</f>
        <v>38443.105349999998</v>
      </c>
      <c r="AM13" s="284">
        <f>+Общо!AP13</f>
        <v>0</v>
      </c>
      <c r="AN13" s="285">
        <f>+Общо!AQ13</f>
        <v>38443.105349999998</v>
      </c>
      <c r="AP13" s="265">
        <f t="shared" si="1"/>
        <v>45636</v>
      </c>
      <c r="AQ13" s="289">
        <f>+Общо!AT13</f>
        <v>75.89</v>
      </c>
      <c r="AR13" s="289">
        <f>+Общо!AU13</f>
        <v>77.877777293334248</v>
      </c>
      <c r="AS13" s="268">
        <f>+Общо!AV13</f>
        <v>86.39879024999999</v>
      </c>
      <c r="AT13" s="289">
        <v>56.552703228758872</v>
      </c>
      <c r="AV13" s="265">
        <f t="shared" si="2"/>
        <v>45636</v>
      </c>
      <c r="AW13" s="290">
        <f>+Общо!AZ13</f>
        <v>77.877777293334248</v>
      </c>
      <c r="AX13" s="290">
        <f>+Общо!BA13</f>
        <v>84.788754917788978</v>
      </c>
      <c r="AY13" s="289">
        <v>13.919558442352184</v>
      </c>
      <c r="BA13" s="265">
        <f t="shared" si="3"/>
        <v>45636</v>
      </c>
      <c r="BB13" s="291">
        <f>+Общо!BE13</f>
        <v>457044.63700000063</v>
      </c>
      <c r="BC13" s="289">
        <f>+Общо!BF13</f>
        <v>102.64488707135152</v>
      </c>
      <c r="BD13" s="295">
        <f>+Общо!BG13</f>
        <v>46913295.151431911</v>
      </c>
      <c r="BF13" s="265">
        <f t="shared" si="4"/>
        <v>45636</v>
      </c>
      <c r="BG13" s="293">
        <f>+Общо!BJ13</f>
        <v>13159019.48</v>
      </c>
      <c r="BH13" s="293">
        <f>+Общо!BK13</f>
        <v>2753236.08</v>
      </c>
      <c r="BI13" s="293">
        <f>+Общо!BL13</f>
        <v>1965909.42</v>
      </c>
      <c r="BJ13" s="293">
        <f>+Общо!BM13</f>
        <v>1014254.12</v>
      </c>
      <c r="BK13" s="293">
        <f>+Общо!BN13</f>
        <v>2567115.04</v>
      </c>
      <c r="BL13" s="293">
        <f>+Общо!BO13</f>
        <v>2295842.69</v>
      </c>
      <c r="BM13" s="293">
        <f>+Общо!BP13</f>
        <v>420656.25</v>
      </c>
      <c r="BN13" s="293">
        <f>+Общо!BQ13</f>
        <v>0</v>
      </c>
      <c r="BO13" s="294">
        <f>+Общо!BR13</f>
        <v>24176033.080000002</v>
      </c>
      <c r="BQ13" s="265">
        <f t="shared" si="5"/>
        <v>45636</v>
      </c>
      <c r="BR13" s="293">
        <f>+Общо!BU13</f>
        <v>12644149.52999999</v>
      </c>
      <c r="BS13" s="293">
        <f>+Общо!BV13</f>
        <v>2082002.6400000025</v>
      </c>
      <c r="BT13" s="293">
        <f>+Общо!BW13</f>
        <v>196792.96999999974</v>
      </c>
      <c r="BU13" s="293">
        <f>+Общо!BX13</f>
        <v>28708.110000000102</v>
      </c>
      <c r="BV13" s="293">
        <f>+Общо!BY13</f>
        <v>27263583.090000004</v>
      </c>
      <c r="BW13" s="293">
        <f>+Общо!BZ13</f>
        <v>1501047.7600000002</v>
      </c>
      <c r="BX13" s="293">
        <f>+Общо!CA13</f>
        <v>0</v>
      </c>
      <c r="BY13" s="293">
        <f>+Общо!CB13</f>
        <v>3567553.1529600001</v>
      </c>
      <c r="BZ13" s="294">
        <f>+Общо!CC13</f>
        <v>47283837.252959996</v>
      </c>
      <c r="CB13" s="265">
        <f t="shared" si="6"/>
        <v>45636</v>
      </c>
      <c r="CC13" s="293">
        <f>+Общо!CF13</f>
        <v>25803169.00999999</v>
      </c>
      <c r="CD13" s="293">
        <f>+Общо!CG13</f>
        <v>4835238.7200000025</v>
      </c>
      <c r="CE13" s="293">
        <f>+Общо!CH13</f>
        <v>2162702.3899999997</v>
      </c>
      <c r="CF13" s="293">
        <f>+Общо!CI13</f>
        <v>1042962.2300000001</v>
      </c>
      <c r="CG13" s="293">
        <f>+Общо!CJ13</f>
        <v>29830698.130000003</v>
      </c>
      <c r="CH13" s="293">
        <f>+Общо!CK13</f>
        <v>3796890.45</v>
      </c>
      <c r="CI13" s="293">
        <f>+Общо!CL13</f>
        <v>420656.25</v>
      </c>
      <c r="CJ13" s="293">
        <f>+Общо!CM13</f>
        <v>3567553.1529600001</v>
      </c>
      <c r="CK13" s="294">
        <f>+Общо!CN13</f>
        <v>71459870.332959995</v>
      </c>
    </row>
    <row r="14" spans="2:89" x14ac:dyDescent="0.25">
      <c r="B14" s="47">
        <f t="shared" si="0"/>
        <v>45637</v>
      </c>
      <c r="C14" s="269">
        <f>+Общо!C14</f>
        <v>94.805000000000007</v>
      </c>
      <c r="D14" s="270">
        <f>+Общо!D14</f>
        <v>117.04099999999994</v>
      </c>
      <c r="E14" s="270">
        <f>+Общо!E14</f>
        <v>23.97399999999999</v>
      </c>
      <c r="F14" s="270">
        <f>+Общо!F14</f>
        <v>97.615000000000009</v>
      </c>
      <c r="G14" s="271">
        <f>+Общо!G14</f>
        <v>0</v>
      </c>
      <c r="H14" s="271">
        <f>+Общо!H14</f>
        <v>2.7</v>
      </c>
      <c r="I14" s="271">
        <f>+Общо!I14</f>
        <v>5.1289007152382107</v>
      </c>
      <c r="J14" s="271">
        <f>+Общо!J14</f>
        <v>24.059000000000001</v>
      </c>
      <c r="K14" s="271">
        <f>+Общо!K14</f>
        <v>0.34399999999999997</v>
      </c>
      <c r="L14" s="271">
        <f>+Общо!L14</f>
        <v>0</v>
      </c>
      <c r="M14" s="271">
        <f>+Общо!M14</f>
        <v>0.33300000000000002</v>
      </c>
      <c r="N14" s="271">
        <f>+Общо!N14</f>
        <v>2.2799999999999998</v>
      </c>
      <c r="O14" s="271">
        <f>+Общо!O14</f>
        <v>2.7530000000000001</v>
      </c>
      <c r="P14" s="271">
        <f>+Общо!P14</f>
        <v>0</v>
      </c>
      <c r="Q14" s="271">
        <f>+Общо!Q14</f>
        <v>9.6259999999999994</v>
      </c>
      <c r="R14" s="271">
        <f>+Общо!R14</f>
        <v>26.274000000000001</v>
      </c>
      <c r="S14" s="271">
        <f>+Общо!S14</f>
        <v>0</v>
      </c>
      <c r="T14" s="271">
        <f>+Общо!T14</f>
        <v>3.1700992847617893</v>
      </c>
      <c r="U14" s="271">
        <f>+Общо!U14</f>
        <v>0</v>
      </c>
      <c r="V14" s="271" t="e">
        <f>+Общо!#REF!</f>
        <v>#REF!</v>
      </c>
      <c r="W14" s="271">
        <f>+Общо!V14</f>
        <v>1500</v>
      </c>
      <c r="X14" s="271">
        <f>+Общо!X14</f>
        <v>0</v>
      </c>
      <c r="Y14" s="272">
        <f>+Общо!Y14</f>
        <v>0</v>
      </c>
      <c r="Z14" s="273">
        <f>+Общо!Z14</f>
        <v>400</v>
      </c>
      <c r="AA14" s="269">
        <f>+Общо!AA14</f>
        <v>0</v>
      </c>
      <c r="AB14" s="272">
        <f>+Общо!AB14</f>
        <v>0</v>
      </c>
      <c r="AD14" s="278">
        <f>+Общо!AD14</f>
        <v>0</v>
      </c>
      <c r="AE14" s="278">
        <f>+Общо!AE14</f>
        <v>14.516</v>
      </c>
      <c r="AF14" s="278">
        <f>+Общо!AH14</f>
        <v>4345.5870000000004</v>
      </c>
      <c r="AG14" s="279">
        <f>+Общо!AJ14</f>
        <v>1900</v>
      </c>
      <c r="AH14" s="280">
        <f>+Общо!AK14</f>
        <v>6260.1030000000001</v>
      </c>
      <c r="AJ14" s="281">
        <f>+Общо!AM14</f>
        <v>42377.855048999969</v>
      </c>
      <c r="AK14" s="282">
        <f>+Общо!AN14</f>
        <v>3890.9</v>
      </c>
      <c r="AL14" s="283">
        <f>+Общо!AO14</f>
        <v>38486.955048999967</v>
      </c>
      <c r="AM14" s="284">
        <f>+Общо!AP14</f>
        <v>0</v>
      </c>
      <c r="AN14" s="285">
        <f>+Общо!AQ14</f>
        <v>38486.955048999967</v>
      </c>
      <c r="AP14" s="265">
        <f t="shared" si="1"/>
        <v>45637</v>
      </c>
      <c r="AQ14" s="289">
        <f>+Общо!AT14</f>
        <v>75.89</v>
      </c>
      <c r="AR14" s="289">
        <f>+Общо!AU14</f>
        <v>77.993412624360957</v>
      </c>
      <c r="AS14" s="268">
        <f>+Общо!AV14</f>
        <v>87.5233925</v>
      </c>
      <c r="AT14" s="289">
        <v>18.389386598987613</v>
      </c>
      <c r="AV14" s="265">
        <f t="shared" si="2"/>
        <v>45637</v>
      </c>
      <c r="AW14" s="290">
        <f>+Общо!AZ14</f>
        <v>77.993412624360957</v>
      </c>
      <c r="AX14" s="290">
        <f>+Общо!BA14</f>
        <v>84.533927791603432</v>
      </c>
      <c r="AY14" s="289">
        <v>49.420107739593647</v>
      </c>
      <c r="BA14" s="265">
        <f t="shared" si="3"/>
        <v>45637</v>
      </c>
      <c r="BB14" s="291">
        <f>+Общо!BE14</f>
        <v>452699.05000000063</v>
      </c>
      <c r="BC14" s="289">
        <f>+Общо!BF14</f>
        <v>102.6448870713515</v>
      </c>
      <c r="BD14" s="295">
        <f>+Общо!BG14</f>
        <v>46467242.864558175</v>
      </c>
      <c r="BF14" s="265">
        <f t="shared" si="4"/>
        <v>45637</v>
      </c>
      <c r="BG14" s="293">
        <f>+Общо!BJ14</f>
        <v>13159019.48</v>
      </c>
      <c r="BH14" s="293">
        <f>+Общо!BK14</f>
        <v>2753236.08</v>
      </c>
      <c r="BI14" s="293">
        <f>+Общо!BL14</f>
        <v>1965909.42</v>
      </c>
      <c r="BJ14" s="293">
        <f>+Общо!BM14</f>
        <v>1014254.12</v>
      </c>
      <c r="BK14" s="293">
        <f>+Общо!BN14</f>
        <v>2567115.04</v>
      </c>
      <c r="BL14" s="293">
        <f>+Общо!BO14</f>
        <v>2295842.69</v>
      </c>
      <c r="BM14" s="293">
        <f>+Общо!BP14</f>
        <v>391634.65944399999</v>
      </c>
      <c r="BN14" s="293">
        <f>+Общо!BQ14</f>
        <v>0</v>
      </c>
      <c r="BO14" s="294">
        <f>+Общо!BR14</f>
        <v>24147011.489444003</v>
      </c>
      <c r="BQ14" s="265">
        <f t="shared" si="5"/>
        <v>45637</v>
      </c>
      <c r="BR14" s="293">
        <f>+Общо!BU14</f>
        <v>12644149.52999999</v>
      </c>
      <c r="BS14" s="293">
        <f>+Общо!BV14</f>
        <v>2082002.6400000025</v>
      </c>
      <c r="BT14" s="293">
        <f>+Общо!BW14</f>
        <v>196792.96999999974</v>
      </c>
      <c r="BU14" s="293">
        <f>+Общо!BX14</f>
        <v>28708.110000000102</v>
      </c>
      <c r="BV14" s="293">
        <f>+Общо!BY14</f>
        <v>27263583.090000004</v>
      </c>
      <c r="BW14" s="293">
        <f>+Общо!BZ14</f>
        <v>1501047.7600000002</v>
      </c>
      <c r="BX14" s="293">
        <f>+Общо!CA14</f>
        <v>0</v>
      </c>
      <c r="BY14" s="293">
        <f>+Общо!CB14</f>
        <v>3567553.1529600001</v>
      </c>
      <c r="BZ14" s="294">
        <f>+Общо!CC14</f>
        <v>47283837.252959996</v>
      </c>
      <c r="CB14" s="265">
        <f t="shared" si="6"/>
        <v>45637</v>
      </c>
      <c r="CC14" s="293">
        <f>+Общо!CF14</f>
        <v>25803169.00999999</v>
      </c>
      <c r="CD14" s="293">
        <f>+Общо!CG14</f>
        <v>4835238.7200000025</v>
      </c>
      <c r="CE14" s="293">
        <f>+Общо!CH14</f>
        <v>2162702.3899999997</v>
      </c>
      <c r="CF14" s="293">
        <f>+Общо!CI14</f>
        <v>1042962.2300000001</v>
      </c>
      <c r="CG14" s="293">
        <f>+Общо!CJ14</f>
        <v>29830698.130000003</v>
      </c>
      <c r="CH14" s="293">
        <f>+Общо!CK14</f>
        <v>3796890.45</v>
      </c>
      <c r="CI14" s="293">
        <f>+Общо!CL14</f>
        <v>391634.65944399999</v>
      </c>
      <c r="CJ14" s="293">
        <f>+Общо!CM14</f>
        <v>3567553.1529600001</v>
      </c>
      <c r="CK14" s="294">
        <f>+Общо!CN14</f>
        <v>71430848.742403999</v>
      </c>
    </row>
    <row r="15" spans="2:89" x14ac:dyDescent="0.25">
      <c r="B15" s="47">
        <f t="shared" si="0"/>
        <v>45638</v>
      </c>
      <c r="C15" s="269">
        <f>+Общо!C15</f>
        <v>62.137999999999998</v>
      </c>
      <c r="D15" s="270">
        <f>+Общо!D15</f>
        <v>90</v>
      </c>
      <c r="E15" s="270">
        <f>+Общо!E15</f>
        <v>55</v>
      </c>
      <c r="F15" s="270">
        <f>+Общо!F15</f>
        <v>75</v>
      </c>
      <c r="G15" s="271">
        <f>+Общо!G15</f>
        <v>0</v>
      </c>
      <c r="H15" s="271">
        <f>+Общо!H15</f>
        <v>3.097</v>
      </c>
      <c r="I15" s="271">
        <f>+Общо!I15</f>
        <v>3.4577862714508578</v>
      </c>
      <c r="J15" s="271">
        <f>+Общо!J15</f>
        <v>25.370999999999999</v>
      </c>
      <c r="K15" s="271">
        <f>+Общо!K15</f>
        <v>0.35499999999999998</v>
      </c>
      <c r="L15" s="271">
        <f>+Общо!L15</f>
        <v>0</v>
      </c>
      <c r="M15" s="271">
        <f>+Общо!M15</f>
        <v>0.33300000000000002</v>
      </c>
      <c r="N15" s="271">
        <f>+Общо!N15</f>
        <v>2.3340000000000001</v>
      </c>
      <c r="O15" s="271">
        <f>+Общо!O15</f>
        <v>0.26900000000000002</v>
      </c>
      <c r="P15" s="271">
        <f>+Общо!P15</f>
        <v>0.63500000000000001</v>
      </c>
      <c r="Q15" s="271">
        <f>+Общо!Q15</f>
        <v>12.788</v>
      </c>
      <c r="R15" s="271">
        <f>+Общо!R15</f>
        <v>26.113</v>
      </c>
      <c r="S15" s="271">
        <f>+Общо!S15</f>
        <v>0</v>
      </c>
      <c r="T15" s="271">
        <f>+Общо!T15</f>
        <v>3.2122137285491421</v>
      </c>
      <c r="U15" s="271">
        <f>+Общо!U15</f>
        <v>0</v>
      </c>
      <c r="V15" s="271" t="e">
        <f>+Общо!#REF!</f>
        <v>#REF!</v>
      </c>
      <c r="W15" s="271">
        <f>+Общо!V15</f>
        <v>1500</v>
      </c>
      <c r="X15" s="271">
        <f>+Общо!X15</f>
        <v>0</v>
      </c>
      <c r="Y15" s="272">
        <f>+Общо!Y15</f>
        <v>50</v>
      </c>
      <c r="Z15" s="273">
        <f>+Общо!Z15</f>
        <v>0</v>
      </c>
      <c r="AA15" s="269">
        <f>+Общо!AA15</f>
        <v>0</v>
      </c>
      <c r="AB15" s="272">
        <f>+Общо!AB15</f>
        <v>0</v>
      </c>
      <c r="AD15" s="278">
        <f>+Общо!AD15</f>
        <v>0</v>
      </c>
      <c r="AE15" s="278">
        <f>+Общо!AE15</f>
        <v>14.516</v>
      </c>
      <c r="AF15" s="278">
        <f>+Общо!AH15</f>
        <v>4345.5870000000004</v>
      </c>
      <c r="AG15" s="279">
        <f>+Общо!AJ15</f>
        <v>1500</v>
      </c>
      <c r="AH15" s="280">
        <f>+Общо!AK15</f>
        <v>5860.1030000000001</v>
      </c>
      <c r="AJ15" s="281">
        <f>+Общо!AM15</f>
        <v>42102.427987999959</v>
      </c>
      <c r="AK15" s="282">
        <f>+Общо!AN15</f>
        <v>3890.9</v>
      </c>
      <c r="AL15" s="283">
        <f>+Общо!AO15</f>
        <v>38211.527987999958</v>
      </c>
      <c r="AM15" s="284">
        <f>+Общо!AP15</f>
        <v>0</v>
      </c>
      <c r="AN15" s="285">
        <f>+Общо!AQ15</f>
        <v>38211.527987999958</v>
      </c>
      <c r="AP15" s="265">
        <f t="shared" si="1"/>
        <v>45638</v>
      </c>
      <c r="AQ15" s="289">
        <f>+Общо!AT15</f>
        <v>75.89</v>
      </c>
      <c r="AR15" s="289">
        <f>+Общо!AU15</f>
        <v>77.763444831942365</v>
      </c>
      <c r="AS15" s="268">
        <f>+Общо!AV15</f>
        <v>87.5233925</v>
      </c>
      <c r="AT15" s="289">
        <v>7.5020082592934045</v>
      </c>
      <c r="AV15" s="265">
        <f t="shared" si="2"/>
        <v>45638</v>
      </c>
      <c r="AW15" s="290">
        <f>+Общо!AZ15</f>
        <v>77.763444831942365</v>
      </c>
      <c r="AX15" s="290">
        <f>+Общо!BA15</f>
        <v>84.699793189641895</v>
      </c>
      <c r="AY15" s="289">
        <v>51.726410308632325</v>
      </c>
      <c r="BA15" s="265">
        <f t="shared" si="3"/>
        <v>45638</v>
      </c>
      <c r="BB15" s="291">
        <f>+Общо!BE15</f>
        <v>448353.46300000063</v>
      </c>
      <c r="BC15" s="289">
        <f>+Общо!BF15</f>
        <v>102.6448870713515</v>
      </c>
      <c r="BD15" s="295">
        <f>+Общо!BG15</f>
        <v>46021190.57768444</v>
      </c>
      <c r="BF15" s="265">
        <f t="shared" si="4"/>
        <v>45638</v>
      </c>
      <c r="BG15" s="293">
        <f>+Общо!BJ15</f>
        <v>13159019.48</v>
      </c>
      <c r="BH15" s="293">
        <f>+Общо!BK15</f>
        <v>2753236.08</v>
      </c>
      <c r="BI15" s="293">
        <f>+Общо!BL15</f>
        <v>1965909.42</v>
      </c>
      <c r="BJ15" s="293">
        <f>+Общо!BM15</f>
        <v>1014254.12</v>
      </c>
      <c r="BK15" s="293">
        <f>+Общо!BN15</f>
        <v>2567115.04</v>
      </c>
      <c r="BL15" s="293">
        <f>+Общо!BO15</f>
        <v>2295842.69</v>
      </c>
      <c r="BM15" s="293">
        <f>+Общо!BP15</f>
        <v>214211.4</v>
      </c>
      <c r="BN15" s="293">
        <f>+Общо!BQ15</f>
        <v>0</v>
      </c>
      <c r="BO15" s="294">
        <f>+Общо!BR15</f>
        <v>23969588.23</v>
      </c>
      <c r="BQ15" s="265">
        <f t="shared" si="5"/>
        <v>45638</v>
      </c>
      <c r="BR15" s="293">
        <f>+Общо!BU15</f>
        <v>12644149.52999999</v>
      </c>
      <c r="BS15" s="293">
        <f>+Общо!BV15</f>
        <v>2082002.6400000025</v>
      </c>
      <c r="BT15" s="293">
        <f>+Общо!BW15</f>
        <v>196792.96999999974</v>
      </c>
      <c r="BU15" s="293">
        <f>+Общо!BX15</f>
        <v>28708.110000000102</v>
      </c>
      <c r="BV15" s="293">
        <f>+Общо!BY15</f>
        <v>27263583.090000004</v>
      </c>
      <c r="BW15" s="293">
        <f>+Общо!BZ15</f>
        <v>1501047.7600000002</v>
      </c>
      <c r="BX15" s="293">
        <f>+Общо!CA15</f>
        <v>0</v>
      </c>
      <c r="BY15" s="293">
        <f>+Общо!CB15</f>
        <v>3567553.1529600001</v>
      </c>
      <c r="BZ15" s="294">
        <f>+Общо!CC15</f>
        <v>47283837.252959996</v>
      </c>
      <c r="CB15" s="265">
        <f t="shared" si="6"/>
        <v>45638</v>
      </c>
      <c r="CC15" s="293">
        <f>+Общо!CF15</f>
        <v>25803169.00999999</v>
      </c>
      <c r="CD15" s="293">
        <f>+Общо!CG15</f>
        <v>4835238.7200000025</v>
      </c>
      <c r="CE15" s="293">
        <f>+Общо!CH15</f>
        <v>2162702.3899999997</v>
      </c>
      <c r="CF15" s="293">
        <f>+Общо!CI15</f>
        <v>1042962.2300000001</v>
      </c>
      <c r="CG15" s="293">
        <f>+Общо!CJ15</f>
        <v>29830698.130000003</v>
      </c>
      <c r="CH15" s="293">
        <f>+Общо!CK15</f>
        <v>3796890.45</v>
      </c>
      <c r="CI15" s="293">
        <f>+Общо!CL15</f>
        <v>214211.4</v>
      </c>
      <c r="CJ15" s="293">
        <f>+Общо!CM15</f>
        <v>3567553.1529600001</v>
      </c>
      <c r="CK15" s="294">
        <f>+Общо!CN15</f>
        <v>71253425.482960001</v>
      </c>
    </row>
    <row r="16" spans="2:89" x14ac:dyDescent="0.25">
      <c r="B16" s="47">
        <f t="shared" si="0"/>
        <v>45639</v>
      </c>
      <c r="C16" s="269">
        <f>+Общо!C16</f>
        <v>137.31899999999999</v>
      </c>
      <c r="D16" s="270">
        <f>+Общо!D16</f>
        <v>100</v>
      </c>
      <c r="E16" s="270">
        <f>+Общо!E16</f>
        <v>45</v>
      </c>
      <c r="F16" s="270">
        <f>+Общо!F16</f>
        <v>56.246000000000009</v>
      </c>
      <c r="G16" s="271">
        <f>+Общо!G16</f>
        <v>0</v>
      </c>
      <c r="H16" s="271">
        <f>+Общо!H16</f>
        <v>3.2269999999999999</v>
      </c>
      <c r="I16" s="271">
        <f>+Общо!I16</f>
        <v>0.43190377804014163</v>
      </c>
      <c r="J16" s="271">
        <f>+Общо!J16</f>
        <v>24.704000000000001</v>
      </c>
      <c r="K16" s="271">
        <f>+Общо!K16</f>
        <v>0.35499999999999998</v>
      </c>
      <c r="L16" s="271">
        <f>+Общо!L16</f>
        <v>0</v>
      </c>
      <c r="M16" s="271">
        <f>+Общо!M16</f>
        <v>0.33300000000000002</v>
      </c>
      <c r="N16" s="271">
        <f>+Общо!N16</f>
        <v>2.2589999999999999</v>
      </c>
      <c r="O16" s="271">
        <f>+Общо!O16</f>
        <v>4.3019999999999996</v>
      </c>
      <c r="P16" s="271">
        <f>+Общо!P16</f>
        <v>1.409</v>
      </c>
      <c r="Q16" s="271">
        <f>+Общо!Q16</f>
        <v>9.3460000000000001</v>
      </c>
      <c r="R16" s="271">
        <f>+Общо!R16</f>
        <v>28.995000000000001</v>
      </c>
      <c r="S16" s="271">
        <f>+Общо!S16</f>
        <v>373.94099999999997</v>
      </c>
      <c r="T16" s="271">
        <f>+Общо!T16</f>
        <v>2.9710962219598582</v>
      </c>
      <c r="U16" s="271">
        <f>+Общо!U16</f>
        <v>0</v>
      </c>
      <c r="V16" s="271" t="e">
        <f>+Общо!#REF!</f>
        <v>#REF!</v>
      </c>
      <c r="W16" s="271">
        <f>+Общо!V16</f>
        <v>1500</v>
      </c>
      <c r="X16" s="271">
        <f>+Общо!X16</f>
        <v>0</v>
      </c>
      <c r="Y16" s="272">
        <f>+Общо!Y16</f>
        <v>0</v>
      </c>
      <c r="Z16" s="273">
        <f>+Общо!Z16</f>
        <v>0</v>
      </c>
      <c r="AA16" s="269">
        <f>+Общо!AA16</f>
        <v>0</v>
      </c>
      <c r="AB16" s="272">
        <f>+Общо!AB16</f>
        <v>-0.73599999999987631</v>
      </c>
      <c r="AD16" s="278">
        <f>+Общо!AD16</f>
        <v>0</v>
      </c>
      <c r="AE16" s="278">
        <f>+Общо!AE16</f>
        <v>14.516</v>
      </c>
      <c r="AF16" s="278">
        <f>+Общо!AH16</f>
        <v>4345.5870000000004</v>
      </c>
      <c r="AG16" s="279">
        <f>+Общо!AJ16</f>
        <v>1880</v>
      </c>
      <c r="AH16" s="280">
        <f>+Общо!AK16</f>
        <v>6240.1030000000001</v>
      </c>
      <c r="AJ16" s="281">
        <f>+Общо!AM16</f>
        <v>44522.926001499931</v>
      </c>
      <c r="AK16" s="282">
        <f>+Общо!AN16</f>
        <v>3890.9</v>
      </c>
      <c r="AL16" s="283">
        <f>+Общо!AO16</f>
        <v>40632.026001499929</v>
      </c>
      <c r="AM16" s="284">
        <f>+Общо!AP16</f>
        <v>0</v>
      </c>
      <c r="AN16" s="285">
        <f>+Общо!AQ16</f>
        <v>40632.026001499929</v>
      </c>
      <c r="AO16" s="4"/>
      <c r="AP16" s="265">
        <f t="shared" si="1"/>
        <v>45639</v>
      </c>
      <c r="AQ16" s="289">
        <f>+Общо!AT16</f>
        <v>75.89</v>
      </c>
      <c r="AR16" s="289">
        <f>+Общо!AU16</f>
        <v>77.840930738639472</v>
      </c>
      <c r="AS16" s="268">
        <f>+Общо!AV16</f>
        <v>83.17167074999999</v>
      </c>
      <c r="AT16" s="289">
        <v>10.407577010744816</v>
      </c>
      <c r="AV16" s="265">
        <f t="shared" si="2"/>
        <v>45639</v>
      </c>
      <c r="AW16" s="290">
        <f>+Общо!AZ16</f>
        <v>77.840930738639472</v>
      </c>
      <c r="AX16" s="290">
        <f>+Общо!BA16</f>
        <v>84.441022723066553</v>
      </c>
      <c r="AY16" s="289">
        <v>51.216717260800607</v>
      </c>
      <c r="BA16" s="265">
        <f t="shared" si="3"/>
        <v>45639</v>
      </c>
      <c r="BB16" s="291">
        <f>+Общо!BE16</f>
        <v>444007.87600000063</v>
      </c>
      <c r="BC16" s="289">
        <f>+Общо!BF16</f>
        <v>102.6448870713515</v>
      </c>
      <c r="BD16" s="295">
        <f>+Общо!BG16</f>
        <v>45575138.290810704</v>
      </c>
      <c r="BF16" s="265">
        <f t="shared" si="4"/>
        <v>45639</v>
      </c>
      <c r="BG16" s="293">
        <f>+Общо!BJ16</f>
        <v>13159019.48</v>
      </c>
      <c r="BH16" s="293">
        <f>+Общо!BK16</f>
        <v>2753236.08</v>
      </c>
      <c r="BI16" s="293">
        <f>+Общо!BL16</f>
        <v>1965909.42</v>
      </c>
      <c r="BJ16" s="293">
        <f>+Общо!BM16</f>
        <v>1014254.12</v>
      </c>
      <c r="BK16" s="293">
        <f>+Общо!BN16</f>
        <v>2567115.04</v>
      </c>
      <c r="BL16" s="293">
        <f>+Общо!BO16</f>
        <v>2295842.69</v>
      </c>
      <c r="BM16" s="293">
        <f>+Общо!BP16</f>
        <v>214211.4</v>
      </c>
      <c r="BN16" s="293">
        <f>+Общо!BQ16</f>
        <v>0</v>
      </c>
      <c r="BO16" s="294">
        <f>+Общо!BR16</f>
        <v>23969588.23</v>
      </c>
      <c r="BQ16" s="265">
        <f t="shared" si="5"/>
        <v>45639</v>
      </c>
      <c r="BR16" s="293">
        <f>+Общо!BU16</f>
        <v>12644149.52999999</v>
      </c>
      <c r="BS16" s="293">
        <f>+Общо!BV16</f>
        <v>2082002.6400000025</v>
      </c>
      <c r="BT16" s="293">
        <f>+Общо!BW16</f>
        <v>196792.96999999974</v>
      </c>
      <c r="BU16" s="293">
        <f>+Общо!BX16</f>
        <v>28708.110000000102</v>
      </c>
      <c r="BV16" s="293">
        <f>+Общо!BY16</f>
        <v>27263583.090000004</v>
      </c>
      <c r="BW16" s="293">
        <f>+Общо!BZ16</f>
        <v>1501047.7600000002</v>
      </c>
      <c r="BX16" s="293">
        <f>+Общо!CA16</f>
        <v>0</v>
      </c>
      <c r="BY16" s="293">
        <f>+Общо!CB16</f>
        <v>3567553.1529600001</v>
      </c>
      <c r="BZ16" s="294">
        <f>+Общо!CC16</f>
        <v>47283837.252959996</v>
      </c>
      <c r="CB16" s="265">
        <f t="shared" si="6"/>
        <v>45639</v>
      </c>
      <c r="CC16" s="293">
        <f>+Общо!CF16</f>
        <v>25803169.00999999</v>
      </c>
      <c r="CD16" s="293">
        <f>+Общо!CG16</f>
        <v>4835238.7200000025</v>
      </c>
      <c r="CE16" s="293">
        <f>+Общо!CH16</f>
        <v>2162702.3899999997</v>
      </c>
      <c r="CF16" s="293">
        <f>+Общо!CI16</f>
        <v>1042962.2300000001</v>
      </c>
      <c r="CG16" s="293">
        <f>+Общо!CJ16</f>
        <v>29830698.130000003</v>
      </c>
      <c r="CH16" s="293">
        <f>+Общо!CK16</f>
        <v>3796890.45</v>
      </c>
      <c r="CI16" s="293">
        <f>+Общо!CL16</f>
        <v>214211.4</v>
      </c>
      <c r="CJ16" s="293">
        <f>+Общо!CM16</f>
        <v>3567553.1529600001</v>
      </c>
      <c r="CK16" s="294">
        <f>+Общо!CN16</f>
        <v>71253425.482960001</v>
      </c>
    </row>
    <row r="17" spans="2:89" x14ac:dyDescent="0.25">
      <c r="B17" s="47">
        <f t="shared" si="0"/>
        <v>45640</v>
      </c>
      <c r="C17" s="269">
        <f>+Общо!C17</f>
        <v>101.581</v>
      </c>
      <c r="D17" s="270">
        <f>+Общо!D17</f>
        <v>40</v>
      </c>
      <c r="E17" s="270">
        <f>+Общо!E17</f>
        <v>78</v>
      </c>
      <c r="F17" s="270">
        <f>+Общо!F17</f>
        <v>75.584000000000003</v>
      </c>
      <c r="G17" s="271">
        <f>+Общо!G17</f>
        <v>32.835000000000001</v>
      </c>
      <c r="H17" s="271">
        <f>+Общо!H17</f>
        <v>2.1509999999999998</v>
      </c>
      <c r="I17" s="271">
        <f>+Общо!I17</f>
        <v>0</v>
      </c>
      <c r="J17" s="271">
        <f>+Общо!J17</f>
        <v>6.55</v>
      </c>
      <c r="K17" s="271">
        <f>+Общо!K17</f>
        <v>0</v>
      </c>
      <c r="L17" s="271">
        <f>+Общо!L17</f>
        <v>0</v>
      </c>
      <c r="M17" s="271">
        <f>+Общо!M17</f>
        <v>0.32300000000000001</v>
      </c>
      <c r="N17" s="271">
        <f>+Общо!N17</f>
        <v>0.38700000000000001</v>
      </c>
      <c r="O17" s="271">
        <f>+Общо!O17</f>
        <v>3.4420000000000002</v>
      </c>
      <c r="P17" s="271">
        <f>+Общо!P17</f>
        <v>0</v>
      </c>
      <c r="Q17" s="271">
        <f>+Общо!Q17</f>
        <v>4.3769999999999998</v>
      </c>
      <c r="R17" s="271">
        <f>+Общо!R17</f>
        <v>28.242999999999999</v>
      </c>
      <c r="S17" s="271">
        <f>+Общо!S17</f>
        <v>0</v>
      </c>
      <c r="T17" s="271">
        <f>+Общо!T17</f>
        <v>0.997</v>
      </c>
      <c r="U17" s="271">
        <f>+Общо!U17</f>
        <v>0</v>
      </c>
      <c r="V17" s="271" t="e">
        <f>+Общо!#REF!</f>
        <v>#REF!</v>
      </c>
      <c r="W17" s="271">
        <f>+Общо!V17</f>
        <v>1500</v>
      </c>
      <c r="X17" s="271">
        <f>+Общо!X17</f>
        <v>0</v>
      </c>
      <c r="Y17" s="272">
        <f>+Общо!Y17</f>
        <v>36</v>
      </c>
      <c r="Z17" s="273">
        <f>+Общо!Z17</f>
        <v>0</v>
      </c>
      <c r="AA17" s="269">
        <f>+Общо!AA17</f>
        <v>0</v>
      </c>
      <c r="AB17" s="272">
        <f>+Общо!AB17</f>
        <v>-0.36700000000018917</v>
      </c>
      <c r="AD17" s="278">
        <f>+Общо!AD17</f>
        <v>0</v>
      </c>
      <c r="AE17" s="278">
        <f>+Общо!AE17</f>
        <v>14.516</v>
      </c>
      <c r="AF17" s="278">
        <f>+Общо!AH17</f>
        <v>4345.5870000000004</v>
      </c>
      <c r="AG17" s="279">
        <f>+Общо!AJ17</f>
        <v>1500</v>
      </c>
      <c r="AH17" s="280">
        <f>+Общо!AK17</f>
        <v>5860.1030000000001</v>
      </c>
      <c r="AJ17" s="281">
        <f>+Общо!AM17</f>
        <v>42232.107109499972</v>
      </c>
      <c r="AK17" s="282">
        <f>+Общо!AN17</f>
        <v>3890.9</v>
      </c>
      <c r="AL17" s="283">
        <f>+Общо!AO17</f>
        <v>38341.20710949997</v>
      </c>
      <c r="AM17" s="284">
        <f>+Общо!AP17</f>
        <v>0</v>
      </c>
      <c r="AN17" s="285">
        <f>+Общо!AQ17</f>
        <v>38341.20710949997</v>
      </c>
      <c r="AP17" s="265">
        <f t="shared" si="1"/>
        <v>45640</v>
      </c>
      <c r="AQ17" s="289">
        <f>+Общо!AT17</f>
        <v>75.89</v>
      </c>
      <c r="AR17" s="289">
        <f>+Общо!AU17</f>
        <v>77.466381766308828</v>
      </c>
      <c r="AS17" s="268">
        <f>+Общо!AV17</f>
        <v>78.673261749999995</v>
      </c>
      <c r="AT17" s="289">
        <v>99.864686000000006</v>
      </c>
      <c r="AV17" s="265">
        <f t="shared" si="2"/>
        <v>45640</v>
      </c>
      <c r="AW17" s="290">
        <f>+Общо!AZ17</f>
        <v>77.466381766308828</v>
      </c>
      <c r="AX17" s="290">
        <f>+Общо!BA17</f>
        <v>84.443599131127698</v>
      </c>
      <c r="AY17" s="289">
        <v>-26.847039572011226</v>
      </c>
      <c r="BA17" s="265">
        <f t="shared" si="3"/>
        <v>45640</v>
      </c>
      <c r="BB17" s="291">
        <f>+Общо!BE17</f>
        <v>439662.28900000063</v>
      </c>
      <c r="BC17" s="289">
        <f>+Общо!BF17</f>
        <v>102.64488707135149</v>
      </c>
      <c r="BD17" s="295">
        <f>+Общо!BG17</f>
        <v>45129086.003936969</v>
      </c>
      <c r="BF17" s="265">
        <f t="shared" si="4"/>
        <v>45640</v>
      </c>
      <c r="BG17" s="293">
        <f>+Общо!BJ17</f>
        <v>13159019.48</v>
      </c>
      <c r="BH17" s="293">
        <f>+Общо!BK17</f>
        <v>2753236.08</v>
      </c>
      <c r="BI17" s="293">
        <f>+Общо!BL17</f>
        <v>1965909.42</v>
      </c>
      <c r="BJ17" s="293">
        <f>+Общо!BM17</f>
        <v>1014254.12</v>
      </c>
      <c r="BK17" s="293">
        <f>+Общо!BN17</f>
        <v>2567115.04</v>
      </c>
      <c r="BL17" s="293">
        <f>+Общо!BO17</f>
        <v>2295842.69</v>
      </c>
      <c r="BM17" s="293">
        <f>+Общо!BP17</f>
        <v>214211.4</v>
      </c>
      <c r="BN17" s="293">
        <f>+Общо!BQ17</f>
        <v>0</v>
      </c>
      <c r="BO17" s="294">
        <f>+Общо!BR17</f>
        <v>23969588.23</v>
      </c>
      <c r="BQ17" s="265">
        <f t="shared" si="5"/>
        <v>45640</v>
      </c>
      <c r="BR17" s="293">
        <f>+Общо!BU17</f>
        <v>12644149.52999999</v>
      </c>
      <c r="BS17" s="293">
        <f>+Общо!BV17</f>
        <v>2082002.6400000025</v>
      </c>
      <c r="BT17" s="293">
        <f>+Общо!BW17</f>
        <v>196792.96999999974</v>
      </c>
      <c r="BU17" s="293">
        <f>+Общо!BX17</f>
        <v>28708.110000000102</v>
      </c>
      <c r="BV17" s="293">
        <f>+Общо!BY17</f>
        <v>27263583.090000004</v>
      </c>
      <c r="BW17" s="293">
        <f>+Общо!BZ17</f>
        <v>1501047.7600000002</v>
      </c>
      <c r="BX17" s="293">
        <f>+Общо!CA17</f>
        <v>0</v>
      </c>
      <c r="BY17" s="293">
        <f>+Общо!CB17</f>
        <v>3567553.1529600001</v>
      </c>
      <c r="BZ17" s="294">
        <f>+Общо!CC17</f>
        <v>47283837.252959996</v>
      </c>
      <c r="CB17" s="265">
        <f t="shared" si="6"/>
        <v>45640</v>
      </c>
      <c r="CC17" s="293">
        <f>+Общо!CF17</f>
        <v>25803169.00999999</v>
      </c>
      <c r="CD17" s="293">
        <f>+Общо!CG17</f>
        <v>4835238.7200000025</v>
      </c>
      <c r="CE17" s="293">
        <f>+Общо!CH17</f>
        <v>2162702.3899999997</v>
      </c>
      <c r="CF17" s="293">
        <f>+Общо!CI17</f>
        <v>1042962.2300000001</v>
      </c>
      <c r="CG17" s="293">
        <f>+Общо!CJ17</f>
        <v>29830698.130000003</v>
      </c>
      <c r="CH17" s="293">
        <f>+Общо!CK17</f>
        <v>3796890.45</v>
      </c>
      <c r="CI17" s="293">
        <f>+Общо!CL17</f>
        <v>214211.4</v>
      </c>
      <c r="CJ17" s="293">
        <f>+Общо!CM17</f>
        <v>3567553.1529600001</v>
      </c>
      <c r="CK17" s="294">
        <f>+Общо!CN17</f>
        <v>71253425.482960001</v>
      </c>
    </row>
    <row r="18" spans="2:89" x14ac:dyDescent="0.25">
      <c r="B18" s="47">
        <f t="shared" si="0"/>
        <v>45641</v>
      </c>
      <c r="C18" s="269">
        <f>+Общо!C18</f>
        <v>63.911000000000001</v>
      </c>
      <c r="D18" s="270">
        <f>+Общо!D18</f>
        <v>40</v>
      </c>
      <c r="E18" s="270">
        <f>+Общо!E18</f>
        <v>82.277000000000044</v>
      </c>
      <c r="F18" s="270">
        <f>+Общо!F18</f>
        <v>100</v>
      </c>
      <c r="G18" s="271">
        <f>+Общо!G18</f>
        <v>32.125</v>
      </c>
      <c r="H18" s="271">
        <f>+Общо!H18</f>
        <v>3.84</v>
      </c>
      <c r="I18" s="271">
        <f>+Общо!I18</f>
        <v>0</v>
      </c>
      <c r="J18" s="271">
        <f>+Общо!J18</f>
        <v>3.8929999999999998</v>
      </c>
      <c r="K18" s="271">
        <f>+Общо!K18</f>
        <v>0</v>
      </c>
      <c r="L18" s="271">
        <f>+Общо!L18</f>
        <v>0</v>
      </c>
      <c r="M18" s="271">
        <f>+Общо!M18</f>
        <v>0.32300000000000001</v>
      </c>
      <c r="N18" s="271">
        <f>+Общо!N18</f>
        <v>0.151</v>
      </c>
      <c r="O18" s="271">
        <f>+Общо!O18</f>
        <v>0</v>
      </c>
      <c r="P18" s="271">
        <f>+Общо!P18</f>
        <v>0</v>
      </c>
      <c r="Q18" s="271">
        <f>+Общо!Q18</f>
        <v>5.2380000000000004</v>
      </c>
      <c r="R18" s="271">
        <f>+Общо!R18</f>
        <v>27.984999999999999</v>
      </c>
      <c r="S18" s="271">
        <f>+Общо!S18</f>
        <v>0</v>
      </c>
      <c r="T18" s="271">
        <f>+Общо!T18</f>
        <v>0.36</v>
      </c>
      <c r="U18" s="271">
        <f>+Общо!U18</f>
        <v>0</v>
      </c>
      <c r="V18" s="271" t="e">
        <f>+Общо!#REF!</f>
        <v>#REF!</v>
      </c>
      <c r="W18" s="271">
        <f>+Общо!V18</f>
        <v>1500</v>
      </c>
      <c r="X18" s="271">
        <f>+Общо!X18</f>
        <v>0</v>
      </c>
      <c r="Y18" s="272">
        <f>+Общо!Y18</f>
        <v>50</v>
      </c>
      <c r="Z18" s="273">
        <f>+Общо!Z18</f>
        <v>0</v>
      </c>
      <c r="AA18" s="269">
        <f>+Общо!AA18</f>
        <v>0</v>
      </c>
      <c r="AB18" s="272">
        <f>+Общо!AB18</f>
        <v>0</v>
      </c>
      <c r="AD18" s="278">
        <f>+Общо!AD18</f>
        <v>0</v>
      </c>
      <c r="AE18" s="278">
        <f>+Общо!AE18</f>
        <v>14.516</v>
      </c>
      <c r="AF18" s="278">
        <f>+Общо!AH18</f>
        <v>4345.5870000000004</v>
      </c>
      <c r="AG18" s="279">
        <f>+Общо!AJ18</f>
        <v>1500</v>
      </c>
      <c r="AH18" s="280">
        <f>+Общо!AK18</f>
        <v>5860.1030000000001</v>
      </c>
      <c r="AJ18" s="281">
        <f>+Общо!AM18</f>
        <v>42229.881325499948</v>
      </c>
      <c r="AK18" s="282">
        <f>+Общо!AN18</f>
        <v>3890.9</v>
      </c>
      <c r="AL18" s="283">
        <f>+Общо!AO18</f>
        <v>38338.981325499946</v>
      </c>
      <c r="AM18" s="284">
        <f>+Общо!AP18</f>
        <v>0</v>
      </c>
      <c r="AN18" s="285">
        <f>+Общо!AQ18</f>
        <v>38338.981325499946</v>
      </c>
      <c r="AP18" s="265">
        <f t="shared" si="1"/>
        <v>45641</v>
      </c>
      <c r="AQ18" s="289">
        <f>+Общо!AT18</f>
        <v>75.89</v>
      </c>
      <c r="AR18" s="289">
        <f>+Общо!AU18</f>
        <v>77.465668495929151</v>
      </c>
      <c r="AS18" s="268">
        <f>+Общо!AV18</f>
        <v>80.091238500000003</v>
      </c>
      <c r="AT18" s="289">
        <v>84.315837500000001</v>
      </c>
      <c r="AV18" s="265">
        <f t="shared" si="2"/>
        <v>45641</v>
      </c>
      <c r="AW18" s="290">
        <f>+Общо!AZ18</f>
        <v>77.465668495929151</v>
      </c>
      <c r="AX18" s="290">
        <f>+Общо!BA18</f>
        <v>84.437279971017574</v>
      </c>
      <c r="AY18" s="289">
        <v>-58.103011056193765</v>
      </c>
      <c r="BA18" s="265">
        <f t="shared" si="3"/>
        <v>45641</v>
      </c>
      <c r="BB18" s="291">
        <f>+Общо!BE18</f>
        <v>435316.70200000063</v>
      </c>
      <c r="BC18" s="289">
        <f>+Общо!BF18</f>
        <v>102.64488707135149</v>
      </c>
      <c r="BD18" s="295">
        <f>+Общо!BG18</f>
        <v>44683033.717063233</v>
      </c>
      <c r="BF18" s="265">
        <f t="shared" si="4"/>
        <v>45641</v>
      </c>
      <c r="BG18" s="293">
        <f>+Общо!BJ18</f>
        <v>13159019.48</v>
      </c>
      <c r="BH18" s="293">
        <f>+Общо!BK18</f>
        <v>2753236.08</v>
      </c>
      <c r="BI18" s="293">
        <f>+Общо!BL18</f>
        <v>1965909.42</v>
      </c>
      <c r="BJ18" s="293">
        <f>+Общо!BM18</f>
        <v>1014254.12</v>
      </c>
      <c r="BK18" s="293">
        <f>+Общо!BN18</f>
        <v>2567115.04</v>
      </c>
      <c r="BL18" s="293">
        <f>+Общо!BO18</f>
        <v>2295842.69</v>
      </c>
      <c r="BM18" s="293">
        <f>+Общо!BP18</f>
        <v>139080</v>
      </c>
      <c r="BN18" s="293">
        <f>+Общо!BQ18</f>
        <v>0</v>
      </c>
      <c r="BO18" s="294">
        <f>+Общо!BR18</f>
        <v>23894456.830000002</v>
      </c>
      <c r="BQ18" s="265">
        <f t="shared" si="5"/>
        <v>45641</v>
      </c>
      <c r="BR18" s="293">
        <f>+Общо!BU18</f>
        <v>12644149.52999999</v>
      </c>
      <c r="BS18" s="293">
        <f>+Общо!BV18</f>
        <v>2082002.6400000025</v>
      </c>
      <c r="BT18" s="293">
        <f>+Общо!BW18</f>
        <v>196792.96999999974</v>
      </c>
      <c r="BU18" s="293">
        <f>+Общо!BX18</f>
        <v>28708.110000000102</v>
      </c>
      <c r="BV18" s="293">
        <f>+Общо!BY18</f>
        <v>27263583.090000004</v>
      </c>
      <c r="BW18" s="293">
        <f>+Общо!BZ18</f>
        <v>1501047.7600000002</v>
      </c>
      <c r="BX18" s="293">
        <f>+Общо!CA18</f>
        <v>0</v>
      </c>
      <c r="BY18" s="293">
        <f>+Общо!CB18</f>
        <v>3567553.1529600001</v>
      </c>
      <c r="BZ18" s="294">
        <f>+Общо!CC18</f>
        <v>47283837.252959996</v>
      </c>
      <c r="CB18" s="265">
        <f t="shared" si="6"/>
        <v>45641</v>
      </c>
      <c r="CC18" s="293">
        <f>+Общо!CF18</f>
        <v>25803169.00999999</v>
      </c>
      <c r="CD18" s="293">
        <f>+Общо!CG18</f>
        <v>4835238.7200000025</v>
      </c>
      <c r="CE18" s="293">
        <f>+Общо!CH18</f>
        <v>2162702.3899999997</v>
      </c>
      <c r="CF18" s="293">
        <f>+Общо!CI18</f>
        <v>1042962.2300000001</v>
      </c>
      <c r="CG18" s="293">
        <f>+Общо!CJ18</f>
        <v>29830698.130000003</v>
      </c>
      <c r="CH18" s="293">
        <f>+Общо!CK18</f>
        <v>3796890.45</v>
      </c>
      <c r="CI18" s="293">
        <f>+Общо!CL18</f>
        <v>139080</v>
      </c>
      <c r="CJ18" s="293">
        <f>+Общо!CM18</f>
        <v>3567553.1529600001</v>
      </c>
      <c r="CK18" s="294">
        <f>+Общо!CN18</f>
        <v>71178294.082959995</v>
      </c>
    </row>
    <row r="19" spans="2:89" x14ac:dyDescent="0.25">
      <c r="B19" s="47">
        <f t="shared" si="0"/>
        <v>45642</v>
      </c>
      <c r="C19" s="269">
        <f>+Общо!C19</f>
        <v>134.16499999999999</v>
      </c>
      <c r="D19" s="270">
        <f>+Общо!D19</f>
        <v>85</v>
      </c>
      <c r="E19" s="270">
        <f>+Общо!E19</f>
        <v>60</v>
      </c>
      <c r="F19" s="270">
        <f>+Общо!F19</f>
        <v>50</v>
      </c>
      <c r="G19" s="271">
        <f>+Общо!G19</f>
        <v>5.782</v>
      </c>
      <c r="H19" s="271">
        <f>+Общо!H19</f>
        <v>4.1079999999999997</v>
      </c>
      <c r="I19" s="271">
        <f>+Общо!I19</f>
        <v>52.354341867197391</v>
      </c>
      <c r="J19" s="271">
        <f>+Общо!J19</f>
        <v>26.317</v>
      </c>
      <c r="K19" s="271">
        <f>+Общо!K19</f>
        <v>0.34399999999999997</v>
      </c>
      <c r="L19" s="271">
        <f>+Общо!L19</f>
        <v>3</v>
      </c>
      <c r="M19" s="271">
        <f>+Общо!M19</f>
        <v>0.32300000000000001</v>
      </c>
      <c r="N19" s="271">
        <f>+Общо!N19</f>
        <v>2.226</v>
      </c>
      <c r="O19" s="271">
        <f>+Общо!O19</f>
        <v>0.28000000000000003</v>
      </c>
      <c r="P19" s="271">
        <f>+Общо!P19</f>
        <v>15.595000000000001</v>
      </c>
      <c r="Q19" s="271">
        <f>+Общо!Q19</f>
        <v>19.047000000000001</v>
      </c>
      <c r="R19" s="271">
        <f>+Общо!R19</f>
        <v>28.189</v>
      </c>
      <c r="S19" s="271">
        <f>+Общо!S19</f>
        <v>0</v>
      </c>
      <c r="T19" s="271">
        <f>+Общо!T19</f>
        <v>3.3726581328026057</v>
      </c>
      <c r="U19" s="271">
        <f>+Общо!U19</f>
        <v>0</v>
      </c>
      <c r="V19" s="271" t="e">
        <f>+Общо!#REF!</f>
        <v>#REF!</v>
      </c>
      <c r="W19" s="271">
        <f>+Общо!V19</f>
        <v>1500</v>
      </c>
      <c r="X19" s="271">
        <f>+Общо!X19</f>
        <v>0</v>
      </c>
      <c r="Y19" s="272">
        <f>+Общо!Y19</f>
        <v>50</v>
      </c>
      <c r="Z19" s="273">
        <f>+Общо!Z19</f>
        <v>0</v>
      </c>
      <c r="AA19" s="269">
        <f>+Общо!AA19</f>
        <v>0</v>
      </c>
      <c r="AB19" s="272">
        <f>+Общо!AB19</f>
        <v>0</v>
      </c>
      <c r="AD19" s="278">
        <f>+Общо!AD19</f>
        <v>0</v>
      </c>
      <c r="AE19" s="278">
        <f>+Общо!AE19</f>
        <v>14.516</v>
      </c>
      <c r="AF19" s="278">
        <f>+Общо!AH19</f>
        <v>4345.5870000000004</v>
      </c>
      <c r="AG19" s="279">
        <f>+Общо!AJ19</f>
        <v>1630</v>
      </c>
      <c r="AH19" s="280">
        <f>+Общо!AK19</f>
        <v>5990.1030000000001</v>
      </c>
      <c r="AJ19" s="281">
        <f>+Общо!AM19</f>
        <v>44252.037418999964</v>
      </c>
      <c r="AK19" s="282">
        <f>+Общо!AN19</f>
        <v>3890.9</v>
      </c>
      <c r="AL19" s="283">
        <f>+Общо!AO19</f>
        <v>40361.137418999962</v>
      </c>
      <c r="AM19" s="284">
        <f>+Общо!AP19</f>
        <v>0</v>
      </c>
      <c r="AN19" s="285">
        <f>+Общо!AQ19</f>
        <v>40361.137418999962</v>
      </c>
      <c r="AP19" s="265">
        <f t="shared" si="1"/>
        <v>45642</v>
      </c>
      <c r="AQ19" s="289">
        <f>+Общо!AT19</f>
        <v>75.89</v>
      </c>
      <c r="AR19" s="289">
        <f>+Общо!AU19</f>
        <v>77.387116106350746</v>
      </c>
      <c r="AS19" s="268">
        <f>+Общо!AV19</f>
        <v>80.091238500000003</v>
      </c>
      <c r="AT19" s="289">
        <v>52.770936762593848</v>
      </c>
      <c r="AV19" s="265">
        <f t="shared" si="2"/>
        <v>45642</v>
      </c>
      <c r="AW19" s="290">
        <f>+Общо!AZ19</f>
        <v>77.387116106350746</v>
      </c>
      <c r="AX19" s="290">
        <f>+Общо!BA19</f>
        <v>84.456051418481451</v>
      </c>
      <c r="AY19" s="289">
        <v>7.8654485905367153</v>
      </c>
      <c r="BA19" s="265">
        <f t="shared" si="3"/>
        <v>45642</v>
      </c>
      <c r="BB19" s="291">
        <f>+Общо!BE19</f>
        <v>430971.11500000063</v>
      </c>
      <c r="BC19" s="289">
        <f>+Общо!BF19</f>
        <v>102.64488707135148</v>
      </c>
      <c r="BD19" s="295">
        <f>+Общо!BG19</f>
        <v>44236981.430189498</v>
      </c>
      <c r="BF19" s="265">
        <f t="shared" si="4"/>
        <v>45642</v>
      </c>
      <c r="BG19" s="293">
        <f>+Общо!BJ19</f>
        <v>13159019.48</v>
      </c>
      <c r="BH19" s="293">
        <f>+Общо!BK19</f>
        <v>2753236.08</v>
      </c>
      <c r="BI19" s="293">
        <f>+Общо!BL19</f>
        <v>1965909.42</v>
      </c>
      <c r="BJ19" s="293">
        <f>+Общо!BM19</f>
        <v>1014254.12</v>
      </c>
      <c r="BK19" s="293">
        <f>+Общо!BN19</f>
        <v>2567115.04</v>
      </c>
      <c r="BL19" s="293">
        <f>+Общо!BO19</f>
        <v>2295842.69</v>
      </c>
      <c r="BM19" s="293">
        <f>+Общо!BP19</f>
        <v>266157.44664400001</v>
      </c>
      <c r="BN19" s="293">
        <f>+Общо!BQ19</f>
        <v>0</v>
      </c>
      <c r="BO19" s="294">
        <f>+Общо!BR19</f>
        <v>24021534.276644003</v>
      </c>
      <c r="BQ19" s="265">
        <f t="shared" si="5"/>
        <v>45642</v>
      </c>
      <c r="BR19" s="293">
        <f>+Общо!BU19</f>
        <v>12644149.52999999</v>
      </c>
      <c r="BS19" s="293">
        <f>+Общо!BV19</f>
        <v>2082002.6400000025</v>
      </c>
      <c r="BT19" s="293">
        <f>+Общо!BW19</f>
        <v>196792.96999999974</v>
      </c>
      <c r="BU19" s="293">
        <f>+Общо!BX19</f>
        <v>28708.110000000102</v>
      </c>
      <c r="BV19" s="293">
        <f>+Общо!BY19</f>
        <v>27522808.350000001</v>
      </c>
      <c r="BW19" s="293">
        <f>+Общо!BZ19</f>
        <v>1501047.7600000002</v>
      </c>
      <c r="BX19" s="293">
        <f>+Общо!CA19</f>
        <v>0</v>
      </c>
      <c r="BY19" s="293">
        <f>+Общо!CB19</f>
        <v>3567553.1529600001</v>
      </c>
      <c r="BZ19" s="294">
        <f>+Общо!CC19</f>
        <v>47543062.512959994</v>
      </c>
      <c r="CB19" s="265">
        <f t="shared" si="6"/>
        <v>45642</v>
      </c>
      <c r="CC19" s="293">
        <f>+Общо!CF19</f>
        <v>25803169.00999999</v>
      </c>
      <c r="CD19" s="293">
        <f>+Общо!CG19</f>
        <v>4835238.7200000025</v>
      </c>
      <c r="CE19" s="293">
        <f>+Общо!CH19</f>
        <v>2162702.3899999997</v>
      </c>
      <c r="CF19" s="293">
        <f>+Общо!CI19</f>
        <v>1042962.2300000001</v>
      </c>
      <c r="CG19" s="293">
        <f>+Общо!CJ19</f>
        <v>30089923.390000001</v>
      </c>
      <c r="CH19" s="293">
        <f>+Общо!CK19</f>
        <v>3796890.45</v>
      </c>
      <c r="CI19" s="293">
        <f>+Общо!CL19</f>
        <v>266157.44664400001</v>
      </c>
      <c r="CJ19" s="293">
        <f>+Общо!CM19</f>
        <v>3567553.1529600001</v>
      </c>
      <c r="CK19" s="294">
        <f>+Общо!CN19</f>
        <v>71564596.789603993</v>
      </c>
    </row>
    <row r="20" spans="2:89" x14ac:dyDescent="0.25">
      <c r="B20" s="47">
        <f t="shared" si="0"/>
        <v>45643</v>
      </c>
      <c r="C20" s="269">
        <f>+Общо!C20</f>
        <v>0</v>
      </c>
      <c r="D20" s="270">
        <f>+Общо!D20</f>
        <v>0</v>
      </c>
      <c r="E20" s="270">
        <f>+Общо!E20</f>
        <v>0</v>
      </c>
      <c r="F20" s="270">
        <f>+Общо!F20</f>
        <v>0</v>
      </c>
      <c r="G20" s="271">
        <f>+Общо!G20</f>
        <v>0</v>
      </c>
      <c r="H20" s="271">
        <f>+Общо!H20</f>
        <v>0</v>
      </c>
      <c r="I20" s="271">
        <f>+Общо!I20</f>
        <v>0</v>
      </c>
      <c r="J20" s="271">
        <f>+Общо!J20</f>
        <v>0</v>
      </c>
      <c r="K20" s="271">
        <f>+Общо!K20</f>
        <v>0</v>
      </c>
      <c r="L20" s="271">
        <f>+Общо!L20</f>
        <v>0</v>
      </c>
      <c r="M20" s="271">
        <f>+Общо!M20</f>
        <v>0</v>
      </c>
      <c r="N20" s="271">
        <f>+Общо!N20</f>
        <v>0</v>
      </c>
      <c r="O20" s="271">
        <f>+Общо!O20</f>
        <v>0</v>
      </c>
      <c r="P20" s="271">
        <f>+Общо!P20</f>
        <v>0</v>
      </c>
      <c r="Q20" s="271">
        <f>+Общо!Q20</f>
        <v>0</v>
      </c>
      <c r="R20" s="271">
        <f>+Общо!R20</f>
        <v>0</v>
      </c>
      <c r="S20" s="271">
        <f>+Общо!S20</f>
        <v>0</v>
      </c>
      <c r="T20" s="271">
        <f>+Общо!T20</f>
        <v>0</v>
      </c>
      <c r="U20" s="271">
        <f>+Общо!U20</f>
        <v>0</v>
      </c>
      <c r="V20" s="271" t="e">
        <f>+Общо!#REF!</f>
        <v>#REF!</v>
      </c>
      <c r="W20" s="271">
        <f>+Общо!V20</f>
        <v>0</v>
      </c>
      <c r="X20" s="271">
        <f>+Общо!X20</f>
        <v>0</v>
      </c>
      <c r="Y20" s="272">
        <f>+Общо!Y20</f>
        <v>0</v>
      </c>
      <c r="Z20" s="273">
        <f>+Общо!Z20</f>
        <v>0</v>
      </c>
      <c r="AA20" s="269">
        <f>+Общо!AA20</f>
        <v>0</v>
      </c>
      <c r="AB20" s="272">
        <f>+Общо!AB20</f>
        <v>0</v>
      </c>
      <c r="AD20" s="278">
        <f>+Общо!AD20</f>
        <v>0</v>
      </c>
      <c r="AE20" s="278">
        <f>+Общо!AE20</f>
        <v>0</v>
      </c>
      <c r="AF20" s="278">
        <f>+Общо!AH20</f>
        <v>0</v>
      </c>
      <c r="AG20" s="279">
        <f>+Общо!AJ20</f>
        <v>0</v>
      </c>
      <c r="AH20" s="280">
        <f>+Общо!AK20</f>
        <v>0</v>
      </c>
      <c r="AJ20" s="281">
        <f>+Общо!AM20</f>
        <v>0</v>
      </c>
      <c r="AK20" s="282">
        <f>+Общо!AN20</f>
        <v>0</v>
      </c>
      <c r="AL20" s="283">
        <f>+Общо!AO20</f>
        <v>0</v>
      </c>
      <c r="AM20" s="284">
        <f>+Общо!AP20</f>
        <v>0</v>
      </c>
      <c r="AN20" s="285">
        <f>+Общо!AQ20</f>
        <v>0</v>
      </c>
      <c r="AP20" s="265">
        <f t="shared" si="1"/>
        <v>45643</v>
      </c>
      <c r="AQ20" s="289">
        <f>+Общо!AT20</f>
        <v>75.89</v>
      </c>
      <c r="AR20" s="289">
        <f>+Общо!AU20</f>
        <v>0</v>
      </c>
      <c r="AS20" s="268">
        <f>+Общо!AV20</f>
        <v>0</v>
      </c>
      <c r="AT20" s="289">
        <v>-8.9097382499999895</v>
      </c>
      <c r="AV20" s="265">
        <f t="shared" si="2"/>
        <v>45643</v>
      </c>
      <c r="AW20" s="290">
        <f>+Общо!AZ20</f>
        <v>0</v>
      </c>
      <c r="AX20" s="290">
        <f>+Общо!BA20</f>
        <v>0</v>
      </c>
      <c r="AY20" s="289">
        <v>78.251800542401213</v>
      </c>
      <c r="BA20" s="265">
        <f t="shared" si="3"/>
        <v>45643</v>
      </c>
      <c r="BB20" s="291">
        <f>+Общо!BE20</f>
        <v>0</v>
      </c>
      <c r="BC20" s="289">
        <f>+Общо!BF20</f>
        <v>0</v>
      </c>
      <c r="BD20" s="295">
        <f>+Общо!BG20</f>
        <v>0</v>
      </c>
      <c r="BF20" s="265">
        <f t="shared" si="4"/>
        <v>45643</v>
      </c>
      <c r="BG20" s="293">
        <f>+Общо!BJ20</f>
        <v>0</v>
      </c>
      <c r="BH20" s="293">
        <f>+Общо!BK20</f>
        <v>0</v>
      </c>
      <c r="BI20" s="293">
        <f>+Общо!BL20</f>
        <v>0</v>
      </c>
      <c r="BJ20" s="293">
        <f>+Общо!BM20</f>
        <v>0</v>
      </c>
      <c r="BK20" s="293">
        <f>+Общо!BN20</f>
        <v>0</v>
      </c>
      <c r="BL20" s="293">
        <f>+Общо!BO20</f>
        <v>0</v>
      </c>
      <c r="BM20" s="293">
        <f>+Общо!BP20</f>
        <v>0</v>
      </c>
      <c r="BN20" s="293">
        <f>+Общо!BQ20</f>
        <v>0</v>
      </c>
      <c r="BO20" s="294">
        <f>+Общо!BR20</f>
        <v>0</v>
      </c>
      <c r="BQ20" s="265">
        <f t="shared" si="5"/>
        <v>45643</v>
      </c>
      <c r="BR20" s="293">
        <f>+Общо!BU20</f>
        <v>0</v>
      </c>
      <c r="BS20" s="293">
        <f>+Общо!BV20</f>
        <v>0</v>
      </c>
      <c r="BT20" s="293">
        <f>+Общо!BW20</f>
        <v>0</v>
      </c>
      <c r="BU20" s="293">
        <f>+Общо!BX20</f>
        <v>0</v>
      </c>
      <c r="BV20" s="293">
        <f>+Общо!BY20</f>
        <v>0</v>
      </c>
      <c r="BW20" s="293">
        <f>+Общо!BZ20</f>
        <v>0</v>
      </c>
      <c r="BX20" s="293">
        <f>+Общо!CA20</f>
        <v>0</v>
      </c>
      <c r="BY20" s="293">
        <f>+Общо!CB20</f>
        <v>0</v>
      </c>
      <c r="BZ20" s="294">
        <f>+Общо!CC20</f>
        <v>0</v>
      </c>
      <c r="CB20" s="265">
        <f t="shared" si="6"/>
        <v>45643</v>
      </c>
      <c r="CC20" s="293">
        <f>+Общо!CF20</f>
        <v>0</v>
      </c>
      <c r="CD20" s="293">
        <f>+Общо!CG20</f>
        <v>0</v>
      </c>
      <c r="CE20" s="293">
        <f>+Общо!CH20</f>
        <v>0</v>
      </c>
      <c r="CF20" s="293">
        <f>+Общо!CI20</f>
        <v>0</v>
      </c>
      <c r="CG20" s="293">
        <f>+Общо!CJ20</f>
        <v>0</v>
      </c>
      <c r="CH20" s="293">
        <f>+Общо!CK20</f>
        <v>0</v>
      </c>
      <c r="CI20" s="293">
        <f>+Общо!CL20</f>
        <v>0</v>
      </c>
      <c r="CJ20" s="293">
        <f>+Общо!CM20</f>
        <v>0</v>
      </c>
      <c r="CK20" s="294">
        <f>+Общо!CN20</f>
        <v>0</v>
      </c>
    </row>
    <row r="21" spans="2:89" x14ac:dyDescent="0.25">
      <c r="B21" s="47">
        <f t="shared" si="0"/>
        <v>45644</v>
      </c>
      <c r="C21" s="269">
        <f>+Общо!C21</f>
        <v>0</v>
      </c>
      <c r="D21" s="270">
        <f>+Общо!D21</f>
        <v>0</v>
      </c>
      <c r="E21" s="270">
        <f>+Общо!E21</f>
        <v>0</v>
      </c>
      <c r="F21" s="270">
        <f>+Общо!F21</f>
        <v>0</v>
      </c>
      <c r="G21" s="271">
        <f>+Общо!G21</f>
        <v>0</v>
      </c>
      <c r="H21" s="271">
        <f>+Общо!H21</f>
        <v>0</v>
      </c>
      <c r="I21" s="271">
        <f>+Общо!I21</f>
        <v>0</v>
      </c>
      <c r="J21" s="271">
        <f>+Общо!J21</f>
        <v>0</v>
      </c>
      <c r="K21" s="271">
        <f>+Общо!K21</f>
        <v>0</v>
      </c>
      <c r="L21" s="271">
        <f>+Общо!L21</f>
        <v>0</v>
      </c>
      <c r="M21" s="271">
        <f>+Общо!M21</f>
        <v>0</v>
      </c>
      <c r="N21" s="271">
        <f>+Общо!N21</f>
        <v>0</v>
      </c>
      <c r="O21" s="271">
        <f>+Общо!O21</f>
        <v>0</v>
      </c>
      <c r="P21" s="271">
        <f>+Общо!P21</f>
        <v>0</v>
      </c>
      <c r="Q21" s="271">
        <f>+Общо!Q21</f>
        <v>0</v>
      </c>
      <c r="R21" s="271">
        <f>+Общо!R21</f>
        <v>0</v>
      </c>
      <c r="S21" s="271">
        <f>+Общо!S21</f>
        <v>0</v>
      </c>
      <c r="T21" s="271">
        <f>+Общо!T21</f>
        <v>0</v>
      </c>
      <c r="U21" s="271">
        <f>+Общо!U21</f>
        <v>0</v>
      </c>
      <c r="V21" s="271" t="e">
        <f>+Общо!#REF!</f>
        <v>#REF!</v>
      </c>
      <c r="W21" s="271">
        <f>+Общо!V21</f>
        <v>0</v>
      </c>
      <c r="X21" s="271">
        <f>+Общо!X21</f>
        <v>0</v>
      </c>
      <c r="Y21" s="272">
        <f>+Общо!Y21</f>
        <v>0</v>
      </c>
      <c r="Z21" s="273">
        <f>+Общо!Z21</f>
        <v>0</v>
      </c>
      <c r="AA21" s="269">
        <f>+Общо!AA21</f>
        <v>0</v>
      </c>
      <c r="AB21" s="272">
        <f>+Общо!AB21</f>
        <v>0</v>
      </c>
      <c r="AD21" s="278">
        <f>+Общо!AD21</f>
        <v>0</v>
      </c>
      <c r="AE21" s="278">
        <f>+Общо!AE21</f>
        <v>0</v>
      </c>
      <c r="AF21" s="278">
        <f>+Общо!AH21</f>
        <v>0</v>
      </c>
      <c r="AG21" s="279">
        <f>+Общо!AJ21</f>
        <v>0</v>
      </c>
      <c r="AH21" s="280">
        <f>+Общо!AK21</f>
        <v>0</v>
      </c>
      <c r="AJ21" s="281">
        <f>+Общо!AM21</f>
        <v>0</v>
      </c>
      <c r="AK21" s="282">
        <f>+Общо!AN21</f>
        <v>0</v>
      </c>
      <c r="AL21" s="283">
        <f>+Общо!AO21</f>
        <v>0</v>
      </c>
      <c r="AM21" s="284">
        <f>+Общо!AP21</f>
        <v>0</v>
      </c>
      <c r="AN21" s="285">
        <f>+Общо!AQ21</f>
        <v>0</v>
      </c>
      <c r="AP21" s="265">
        <f t="shared" si="1"/>
        <v>45644</v>
      </c>
      <c r="AQ21" s="289">
        <f>+Общо!AT21</f>
        <v>75.89</v>
      </c>
      <c r="AR21" s="289">
        <f>+Общо!AU21</f>
        <v>0</v>
      </c>
      <c r="AS21" s="268">
        <f>+Общо!AV21</f>
        <v>0</v>
      </c>
      <c r="AT21" s="289">
        <v>0</v>
      </c>
      <c r="AV21" s="265">
        <f t="shared" si="2"/>
        <v>45644</v>
      </c>
      <c r="AW21" s="289">
        <f>+Общо!AZ21</f>
        <v>0</v>
      </c>
      <c r="AX21" s="289">
        <f>+Общо!BA21</f>
        <v>0</v>
      </c>
      <c r="AY21" s="289">
        <v>0</v>
      </c>
      <c r="BA21" s="265">
        <f t="shared" si="3"/>
        <v>45644</v>
      </c>
      <c r="BB21" s="291">
        <f>+Общо!BE21</f>
        <v>0</v>
      </c>
      <c r="BC21" s="289">
        <f>+Общо!BF21</f>
        <v>0</v>
      </c>
      <c r="BD21" s="295">
        <f>+Общо!BG21</f>
        <v>0</v>
      </c>
      <c r="BF21" s="265">
        <f t="shared" si="4"/>
        <v>45644</v>
      </c>
      <c r="BG21" s="293">
        <f>+Общо!BJ21</f>
        <v>0</v>
      </c>
      <c r="BH21" s="293">
        <f>+Общо!BK21</f>
        <v>0</v>
      </c>
      <c r="BI21" s="293">
        <f>+Общо!BL21</f>
        <v>0</v>
      </c>
      <c r="BJ21" s="293">
        <f>+Общо!BM21</f>
        <v>0</v>
      </c>
      <c r="BK21" s="293">
        <f>+Общо!BN21</f>
        <v>0</v>
      </c>
      <c r="BL21" s="293">
        <f>+Общо!BO21</f>
        <v>0</v>
      </c>
      <c r="BM21" s="293">
        <f>+Общо!BP21</f>
        <v>0</v>
      </c>
      <c r="BN21" s="293">
        <f>+Общо!BQ21</f>
        <v>0</v>
      </c>
      <c r="BO21" s="294">
        <f>+Общо!BR21</f>
        <v>0</v>
      </c>
      <c r="BQ21" s="265">
        <f t="shared" si="5"/>
        <v>45644</v>
      </c>
      <c r="BR21" s="293">
        <f>+Общо!BU21</f>
        <v>0</v>
      </c>
      <c r="BS21" s="293">
        <f>+Общо!BV21</f>
        <v>0</v>
      </c>
      <c r="BT21" s="293">
        <f>+Общо!BW21</f>
        <v>0</v>
      </c>
      <c r="BU21" s="293">
        <f>+Общо!BX21</f>
        <v>0</v>
      </c>
      <c r="BV21" s="293">
        <f>+Общо!BY21</f>
        <v>0</v>
      </c>
      <c r="BW21" s="293">
        <f>+Общо!BZ21</f>
        <v>0</v>
      </c>
      <c r="BX21" s="293">
        <f>+Общо!CA21</f>
        <v>0</v>
      </c>
      <c r="BY21" s="293">
        <f>+Общо!CB21</f>
        <v>0</v>
      </c>
      <c r="BZ21" s="294">
        <f>+Общо!CC21</f>
        <v>0</v>
      </c>
      <c r="CB21" s="265">
        <f t="shared" si="6"/>
        <v>45644</v>
      </c>
      <c r="CC21" s="293">
        <f>+Общо!CF21</f>
        <v>0</v>
      </c>
      <c r="CD21" s="293">
        <f>+Общо!CG21</f>
        <v>0</v>
      </c>
      <c r="CE21" s="293">
        <f>+Общо!CH21</f>
        <v>0</v>
      </c>
      <c r="CF21" s="293">
        <f>+Общо!CI21</f>
        <v>0</v>
      </c>
      <c r="CG21" s="293">
        <f>+Общо!CJ21</f>
        <v>0</v>
      </c>
      <c r="CH21" s="293">
        <f>+Общо!CK21</f>
        <v>0</v>
      </c>
      <c r="CI21" s="293">
        <f>+Общо!CL21</f>
        <v>0</v>
      </c>
      <c r="CJ21" s="293">
        <f>+Общо!CM21</f>
        <v>0</v>
      </c>
      <c r="CK21" s="294">
        <f>+Общо!CN21</f>
        <v>0</v>
      </c>
    </row>
    <row r="22" spans="2:89" x14ac:dyDescent="0.25">
      <c r="B22" s="47">
        <f t="shared" si="0"/>
        <v>45645</v>
      </c>
      <c r="C22" s="269">
        <f>+Общо!C22</f>
        <v>0</v>
      </c>
      <c r="D22" s="270">
        <f>+Общо!D22</f>
        <v>0</v>
      </c>
      <c r="E22" s="270">
        <f>+Общо!E22</f>
        <v>0</v>
      </c>
      <c r="F22" s="270">
        <f>+Общо!F22</f>
        <v>0</v>
      </c>
      <c r="G22" s="271">
        <f>+Общо!G22</f>
        <v>0</v>
      </c>
      <c r="H22" s="271">
        <f>+Общо!H22</f>
        <v>0</v>
      </c>
      <c r="I22" s="271">
        <f>+Общо!I22</f>
        <v>0</v>
      </c>
      <c r="J22" s="271">
        <f>+Общо!J22</f>
        <v>0</v>
      </c>
      <c r="K22" s="271">
        <f>+Общо!K22</f>
        <v>0</v>
      </c>
      <c r="L22" s="271">
        <f>+Общо!L22</f>
        <v>0</v>
      </c>
      <c r="M22" s="271">
        <f>+Общо!M22</f>
        <v>0</v>
      </c>
      <c r="N22" s="271">
        <f>+Общо!N22</f>
        <v>0</v>
      </c>
      <c r="O22" s="271">
        <f>+Общо!O22</f>
        <v>0</v>
      </c>
      <c r="P22" s="271">
        <f>+Общо!P22</f>
        <v>0</v>
      </c>
      <c r="Q22" s="271">
        <f>+Общо!Q22</f>
        <v>0</v>
      </c>
      <c r="R22" s="271">
        <f>+Общо!R22</f>
        <v>0</v>
      </c>
      <c r="S22" s="271">
        <f>+Общо!S22</f>
        <v>0</v>
      </c>
      <c r="T22" s="271">
        <f>+Общо!T22</f>
        <v>0</v>
      </c>
      <c r="U22" s="271">
        <f>+Общо!U22</f>
        <v>0</v>
      </c>
      <c r="V22" s="271" t="e">
        <f>+Общо!#REF!</f>
        <v>#REF!</v>
      </c>
      <c r="W22" s="271">
        <f>+Общо!V22</f>
        <v>0</v>
      </c>
      <c r="X22" s="271">
        <f>+Общо!X22</f>
        <v>0</v>
      </c>
      <c r="Y22" s="272">
        <f>+Общо!Y22</f>
        <v>0</v>
      </c>
      <c r="Z22" s="273">
        <f>+Общо!Z22</f>
        <v>0</v>
      </c>
      <c r="AA22" s="269">
        <f>+Общо!AA22</f>
        <v>0</v>
      </c>
      <c r="AB22" s="272">
        <f>+Общо!AB22</f>
        <v>0</v>
      </c>
      <c r="AD22" s="278">
        <f>+Общо!AD22</f>
        <v>0</v>
      </c>
      <c r="AE22" s="278">
        <f>+Общо!AE22</f>
        <v>0</v>
      </c>
      <c r="AF22" s="278">
        <f>+Общо!AH22</f>
        <v>0</v>
      </c>
      <c r="AG22" s="279">
        <f>+Общо!AJ22</f>
        <v>0</v>
      </c>
      <c r="AH22" s="280">
        <f>+Общо!AK22</f>
        <v>0</v>
      </c>
      <c r="AJ22" s="281">
        <f>+Общо!AM22</f>
        <v>0</v>
      </c>
      <c r="AK22" s="282">
        <f>+Общо!AN22</f>
        <v>0</v>
      </c>
      <c r="AL22" s="283">
        <f>+Общо!AO22</f>
        <v>0</v>
      </c>
      <c r="AM22" s="284">
        <f>+Общо!AP22</f>
        <v>0</v>
      </c>
      <c r="AN22" s="285">
        <f>+Общо!AQ22</f>
        <v>0</v>
      </c>
      <c r="AP22" s="265">
        <f t="shared" si="1"/>
        <v>45645</v>
      </c>
      <c r="AQ22" s="289">
        <f>+Общо!AT22</f>
        <v>75.89</v>
      </c>
      <c r="AR22" s="289">
        <f>+Общо!AU22</f>
        <v>0</v>
      </c>
      <c r="AS22" s="268">
        <f>+Общо!AV22</f>
        <v>0</v>
      </c>
      <c r="AT22" s="289">
        <v>0</v>
      </c>
      <c r="AV22" s="265">
        <f t="shared" si="2"/>
        <v>45645</v>
      </c>
      <c r="AW22" s="289">
        <f>+Общо!AZ22</f>
        <v>0</v>
      </c>
      <c r="AX22" s="289">
        <f>+Общо!BA22</f>
        <v>0</v>
      </c>
      <c r="AY22" s="289">
        <v>0</v>
      </c>
      <c r="BA22" s="265">
        <f t="shared" si="3"/>
        <v>45645</v>
      </c>
      <c r="BB22" s="291">
        <f>+Общо!BE22</f>
        <v>0</v>
      </c>
      <c r="BC22" s="289">
        <f>+Общо!BF22</f>
        <v>0</v>
      </c>
      <c r="BD22" s="295">
        <f>+Общо!BG22</f>
        <v>0</v>
      </c>
      <c r="BF22" s="265">
        <f t="shared" si="4"/>
        <v>45645</v>
      </c>
      <c r="BG22" s="293">
        <f>+Общо!BJ22</f>
        <v>0</v>
      </c>
      <c r="BH22" s="293">
        <f>+Общо!BK22</f>
        <v>0</v>
      </c>
      <c r="BI22" s="293">
        <f>+Общо!BL22</f>
        <v>0</v>
      </c>
      <c r="BJ22" s="293">
        <f>+Общо!BM22</f>
        <v>0</v>
      </c>
      <c r="BK22" s="293">
        <f>+Общо!BN22</f>
        <v>0</v>
      </c>
      <c r="BL22" s="293">
        <f>+Общо!BO22</f>
        <v>0</v>
      </c>
      <c r="BM22" s="293">
        <f>+Общо!BP22</f>
        <v>0</v>
      </c>
      <c r="BN22" s="293">
        <f>+Общо!BQ22</f>
        <v>0</v>
      </c>
      <c r="BO22" s="294">
        <f>+Общо!BR22</f>
        <v>0</v>
      </c>
      <c r="BQ22" s="265">
        <f t="shared" si="5"/>
        <v>45645</v>
      </c>
      <c r="BR22" s="293">
        <f>+Общо!BU22</f>
        <v>0</v>
      </c>
      <c r="BS22" s="293">
        <f>+Общо!BV22</f>
        <v>0</v>
      </c>
      <c r="BT22" s="293">
        <f>+Общо!BW22</f>
        <v>0</v>
      </c>
      <c r="BU22" s="293">
        <f>+Общо!BX22</f>
        <v>0</v>
      </c>
      <c r="BV22" s="293">
        <f>+Общо!BY22</f>
        <v>0</v>
      </c>
      <c r="BW22" s="293">
        <f>+Общо!BZ22</f>
        <v>0</v>
      </c>
      <c r="BX22" s="293">
        <f>+Общо!CA22</f>
        <v>0</v>
      </c>
      <c r="BY22" s="293">
        <f>+Общо!CB22</f>
        <v>0</v>
      </c>
      <c r="BZ22" s="294">
        <f>+Общо!CC22</f>
        <v>0</v>
      </c>
      <c r="CB22" s="265">
        <f t="shared" si="6"/>
        <v>45645</v>
      </c>
      <c r="CC22" s="293">
        <f>+Общо!CF22</f>
        <v>0</v>
      </c>
      <c r="CD22" s="293">
        <f>+Общо!CG22</f>
        <v>0</v>
      </c>
      <c r="CE22" s="293">
        <f>+Общо!CH22</f>
        <v>0</v>
      </c>
      <c r="CF22" s="293">
        <f>+Общо!CI22</f>
        <v>0</v>
      </c>
      <c r="CG22" s="293">
        <f>+Общо!CJ22</f>
        <v>0</v>
      </c>
      <c r="CH22" s="293">
        <f>+Общо!CK22</f>
        <v>0</v>
      </c>
      <c r="CI22" s="293">
        <f>+Общо!CL22</f>
        <v>0</v>
      </c>
      <c r="CJ22" s="293">
        <f>+Общо!CM22</f>
        <v>0</v>
      </c>
      <c r="CK22" s="294">
        <f>+Общо!CN22</f>
        <v>0</v>
      </c>
    </row>
    <row r="23" spans="2:89" x14ac:dyDescent="0.25">
      <c r="B23" s="47">
        <f t="shared" si="0"/>
        <v>45646</v>
      </c>
      <c r="C23" s="269">
        <f>+Общо!C23</f>
        <v>0</v>
      </c>
      <c r="D23" s="270">
        <f>+Общо!D23</f>
        <v>0</v>
      </c>
      <c r="E23" s="270">
        <f>+Общо!E23</f>
        <v>0</v>
      </c>
      <c r="F23" s="270">
        <f>+Общо!F23</f>
        <v>0</v>
      </c>
      <c r="G23" s="271">
        <f>+Общо!G23</f>
        <v>0</v>
      </c>
      <c r="H23" s="271">
        <f>+Общо!H23</f>
        <v>0</v>
      </c>
      <c r="I23" s="271">
        <f>+Общо!I23</f>
        <v>0</v>
      </c>
      <c r="J23" s="271">
        <f>+Общо!J23</f>
        <v>0</v>
      </c>
      <c r="K23" s="271">
        <f>+Общо!K23</f>
        <v>0</v>
      </c>
      <c r="L23" s="271">
        <f>+Общо!L23</f>
        <v>0</v>
      </c>
      <c r="M23" s="271">
        <f>+Общо!M23</f>
        <v>0</v>
      </c>
      <c r="N23" s="271">
        <f>+Общо!N23</f>
        <v>0</v>
      </c>
      <c r="O23" s="271">
        <f>+Общо!O23</f>
        <v>0</v>
      </c>
      <c r="P23" s="271">
        <f>+Общо!P23</f>
        <v>0</v>
      </c>
      <c r="Q23" s="271">
        <f>+Общо!Q23</f>
        <v>0</v>
      </c>
      <c r="R23" s="271">
        <f>+Общо!R23</f>
        <v>0</v>
      </c>
      <c r="S23" s="271">
        <f>+Общо!S23</f>
        <v>0</v>
      </c>
      <c r="T23" s="271">
        <f>+Общо!T23</f>
        <v>0</v>
      </c>
      <c r="U23" s="271">
        <f>+Общо!U23</f>
        <v>0</v>
      </c>
      <c r="V23" s="271" t="e">
        <f>+Общо!#REF!</f>
        <v>#REF!</v>
      </c>
      <c r="W23" s="271">
        <f>+Общо!V23</f>
        <v>0</v>
      </c>
      <c r="X23" s="271">
        <f>+Общо!X23</f>
        <v>0</v>
      </c>
      <c r="Y23" s="272">
        <f>+Общо!Y23</f>
        <v>0</v>
      </c>
      <c r="Z23" s="273">
        <f>+Общо!Z23</f>
        <v>0</v>
      </c>
      <c r="AA23" s="269">
        <f>+Общо!AA23</f>
        <v>0</v>
      </c>
      <c r="AB23" s="272">
        <f>+Общо!AB23</f>
        <v>0</v>
      </c>
      <c r="AD23" s="278">
        <f>+Общо!AD23</f>
        <v>0</v>
      </c>
      <c r="AE23" s="278">
        <f>+Общо!AE23</f>
        <v>0</v>
      </c>
      <c r="AF23" s="278">
        <f>+Общо!AH23</f>
        <v>0</v>
      </c>
      <c r="AG23" s="279">
        <f>+Общо!AJ23</f>
        <v>0</v>
      </c>
      <c r="AH23" s="280">
        <f>+Общо!AK23</f>
        <v>0</v>
      </c>
      <c r="AJ23" s="281">
        <f>+Общо!AM23</f>
        <v>0</v>
      </c>
      <c r="AK23" s="282">
        <f>+Общо!AN23</f>
        <v>0</v>
      </c>
      <c r="AL23" s="283">
        <f>+Общо!AO23</f>
        <v>0</v>
      </c>
      <c r="AM23" s="284">
        <f>+Общо!AP23</f>
        <v>0</v>
      </c>
      <c r="AN23" s="285">
        <f>+Общо!AQ23</f>
        <v>0</v>
      </c>
      <c r="AP23" s="265">
        <f t="shared" si="1"/>
        <v>45646</v>
      </c>
      <c r="AQ23" s="289">
        <f>+Общо!AT23</f>
        <v>75.89</v>
      </c>
      <c r="AR23" s="289">
        <f>+Общо!AU23</f>
        <v>0</v>
      </c>
      <c r="AS23" s="268">
        <f>+Общо!AV23</f>
        <v>0</v>
      </c>
      <c r="AT23" s="289">
        <v>0</v>
      </c>
      <c r="AV23" s="265">
        <f t="shared" si="2"/>
        <v>45646</v>
      </c>
      <c r="AW23" s="289">
        <f>+Общо!AZ23</f>
        <v>0</v>
      </c>
      <c r="AX23" s="289">
        <f>+Общо!BA23</f>
        <v>0</v>
      </c>
      <c r="AY23" s="289">
        <v>0</v>
      </c>
      <c r="BA23" s="265">
        <f t="shared" si="3"/>
        <v>45646</v>
      </c>
      <c r="BB23" s="291">
        <f>+Общо!BE23</f>
        <v>0</v>
      </c>
      <c r="BC23" s="289">
        <f>+Общо!BF23</f>
        <v>0</v>
      </c>
      <c r="BD23" s="295">
        <f>+Общо!BG23</f>
        <v>0</v>
      </c>
      <c r="BF23" s="265">
        <f t="shared" si="4"/>
        <v>45646</v>
      </c>
      <c r="BG23" s="293">
        <f>+Общо!BJ23</f>
        <v>0</v>
      </c>
      <c r="BH23" s="293">
        <f>+Общо!BK23</f>
        <v>0</v>
      </c>
      <c r="BI23" s="293">
        <f>+Общо!BL23</f>
        <v>0</v>
      </c>
      <c r="BJ23" s="293">
        <f>+Общо!BM23</f>
        <v>0</v>
      </c>
      <c r="BK23" s="293">
        <f>+Общо!BN23</f>
        <v>0</v>
      </c>
      <c r="BL23" s="293">
        <f>+Общо!BO23</f>
        <v>0</v>
      </c>
      <c r="BM23" s="293">
        <f>+Общо!BP23</f>
        <v>0</v>
      </c>
      <c r="BN23" s="293">
        <f>+Общо!BQ23</f>
        <v>0</v>
      </c>
      <c r="BO23" s="294">
        <f>+Общо!BR23</f>
        <v>0</v>
      </c>
      <c r="BQ23" s="265">
        <f t="shared" si="5"/>
        <v>45646</v>
      </c>
      <c r="BR23" s="293">
        <f>+Общо!BU23</f>
        <v>0</v>
      </c>
      <c r="BS23" s="293">
        <f>+Общо!BV23</f>
        <v>0</v>
      </c>
      <c r="BT23" s="293">
        <f>+Общо!BW23</f>
        <v>0</v>
      </c>
      <c r="BU23" s="293">
        <f>+Общо!BX23</f>
        <v>0</v>
      </c>
      <c r="BV23" s="293">
        <f>+Общо!BY23</f>
        <v>0</v>
      </c>
      <c r="BW23" s="293">
        <f>+Общо!BZ23</f>
        <v>0</v>
      </c>
      <c r="BX23" s="293">
        <f>+Общо!CA23</f>
        <v>0</v>
      </c>
      <c r="BY23" s="293">
        <f>+Общо!CB23</f>
        <v>0</v>
      </c>
      <c r="BZ23" s="294">
        <f>+Общо!CC23</f>
        <v>0</v>
      </c>
      <c r="CB23" s="265">
        <f t="shared" si="6"/>
        <v>45646</v>
      </c>
      <c r="CC23" s="293">
        <f>+Общо!CF23</f>
        <v>0</v>
      </c>
      <c r="CD23" s="293">
        <f>+Общо!CG23</f>
        <v>0</v>
      </c>
      <c r="CE23" s="293">
        <f>+Общо!CH23</f>
        <v>0</v>
      </c>
      <c r="CF23" s="293">
        <f>+Общо!CI23</f>
        <v>0</v>
      </c>
      <c r="CG23" s="293">
        <f>+Общо!CJ23</f>
        <v>0</v>
      </c>
      <c r="CH23" s="293">
        <f>+Общо!CK23</f>
        <v>0</v>
      </c>
      <c r="CI23" s="293">
        <f>+Общо!CL23</f>
        <v>0</v>
      </c>
      <c r="CJ23" s="293">
        <f>+Общо!CM23</f>
        <v>0</v>
      </c>
      <c r="CK23" s="294">
        <f>+Общо!CN23</f>
        <v>0</v>
      </c>
    </row>
    <row r="24" spans="2:89" x14ac:dyDescent="0.25">
      <c r="B24" s="47">
        <f t="shared" si="0"/>
        <v>45647</v>
      </c>
      <c r="C24" s="269">
        <f>+Общо!C24</f>
        <v>0</v>
      </c>
      <c r="D24" s="270">
        <f>+Общо!D24</f>
        <v>0</v>
      </c>
      <c r="E24" s="270">
        <f>+Общо!E24</f>
        <v>0</v>
      </c>
      <c r="F24" s="270">
        <f>+Общо!F24</f>
        <v>0</v>
      </c>
      <c r="G24" s="271">
        <f>+Общо!G24</f>
        <v>0</v>
      </c>
      <c r="H24" s="271">
        <f>+Общо!H24</f>
        <v>0</v>
      </c>
      <c r="I24" s="271">
        <f>+Общо!I24</f>
        <v>0</v>
      </c>
      <c r="J24" s="271">
        <f>+Общо!J24</f>
        <v>0</v>
      </c>
      <c r="K24" s="271">
        <f>+Общо!K24</f>
        <v>0</v>
      </c>
      <c r="L24" s="271">
        <f>+Общо!L24</f>
        <v>0</v>
      </c>
      <c r="M24" s="271">
        <f>+Общо!M24</f>
        <v>0</v>
      </c>
      <c r="N24" s="271">
        <f>+Общо!N24</f>
        <v>0</v>
      </c>
      <c r="O24" s="271">
        <f>+Общо!O24</f>
        <v>0</v>
      </c>
      <c r="P24" s="271">
        <f>+Общо!P24</f>
        <v>0</v>
      </c>
      <c r="Q24" s="271">
        <f>+Общо!Q24</f>
        <v>0</v>
      </c>
      <c r="R24" s="271">
        <f>+Общо!R24</f>
        <v>0</v>
      </c>
      <c r="S24" s="271">
        <f>+Общо!S24</f>
        <v>0</v>
      </c>
      <c r="T24" s="271">
        <f>+Общо!T24</f>
        <v>0</v>
      </c>
      <c r="U24" s="271">
        <f>+Общо!U24</f>
        <v>0</v>
      </c>
      <c r="V24" s="271" t="e">
        <f>+Общо!#REF!</f>
        <v>#REF!</v>
      </c>
      <c r="W24" s="271">
        <f>+Общо!V24</f>
        <v>0</v>
      </c>
      <c r="X24" s="271">
        <f>+Общо!X24</f>
        <v>0</v>
      </c>
      <c r="Y24" s="272">
        <f>+Общо!Y24</f>
        <v>0</v>
      </c>
      <c r="Z24" s="273">
        <f>+Общо!Z24</f>
        <v>0</v>
      </c>
      <c r="AA24" s="269">
        <f>+Общо!AA24</f>
        <v>0</v>
      </c>
      <c r="AB24" s="272">
        <f>+Общо!AB24</f>
        <v>0</v>
      </c>
      <c r="AD24" s="278">
        <f>+Общо!AD24</f>
        <v>0</v>
      </c>
      <c r="AE24" s="278">
        <f>+Общо!AE24</f>
        <v>0</v>
      </c>
      <c r="AF24" s="278">
        <f>+Общо!AH24</f>
        <v>0</v>
      </c>
      <c r="AG24" s="279">
        <f>+Общо!AJ24</f>
        <v>0</v>
      </c>
      <c r="AH24" s="280">
        <f>+Общо!AK24</f>
        <v>0</v>
      </c>
      <c r="AJ24" s="281">
        <f>+Общо!AM24</f>
        <v>0</v>
      </c>
      <c r="AK24" s="282">
        <f>+Общо!AN24</f>
        <v>0</v>
      </c>
      <c r="AL24" s="283">
        <f>+Общо!AO24</f>
        <v>0</v>
      </c>
      <c r="AM24" s="284">
        <f>+Общо!AP24</f>
        <v>0</v>
      </c>
      <c r="AN24" s="285">
        <f>+Общо!AQ24</f>
        <v>0</v>
      </c>
      <c r="AO24" s="4"/>
      <c r="AP24" s="265">
        <f t="shared" si="1"/>
        <v>45647</v>
      </c>
      <c r="AQ24" s="289">
        <f>+Общо!AT24</f>
        <v>75.89</v>
      </c>
      <c r="AR24" s="289">
        <f>+Общо!AU24</f>
        <v>0</v>
      </c>
      <c r="AS24" s="268">
        <f>+Общо!AV24</f>
        <v>0</v>
      </c>
      <c r="AT24" s="289">
        <v>0</v>
      </c>
      <c r="AV24" s="265">
        <f t="shared" si="2"/>
        <v>45647</v>
      </c>
      <c r="AW24" s="289">
        <f>+Общо!AZ24</f>
        <v>0</v>
      </c>
      <c r="AX24" s="289">
        <f>+Общо!BA24</f>
        <v>0</v>
      </c>
      <c r="AY24" s="289">
        <v>0</v>
      </c>
      <c r="BA24" s="265">
        <f t="shared" si="3"/>
        <v>45647</v>
      </c>
      <c r="BB24" s="291">
        <f>+Общо!BE24</f>
        <v>0</v>
      </c>
      <c r="BC24" s="289">
        <f>+Общо!BF24</f>
        <v>0</v>
      </c>
      <c r="BD24" s="295">
        <f>+Общо!BG24</f>
        <v>0</v>
      </c>
      <c r="BF24" s="265">
        <f t="shared" si="4"/>
        <v>45647</v>
      </c>
      <c r="BG24" s="293">
        <f>+Общо!BJ24</f>
        <v>0</v>
      </c>
      <c r="BH24" s="293">
        <f>+Общо!BK24</f>
        <v>0</v>
      </c>
      <c r="BI24" s="293">
        <f>+Общо!BL24</f>
        <v>0</v>
      </c>
      <c r="BJ24" s="293">
        <f>+Общо!BM24</f>
        <v>0</v>
      </c>
      <c r="BK24" s="293">
        <f>+Общо!BN24</f>
        <v>0</v>
      </c>
      <c r="BL24" s="293">
        <f>+Общо!BO24</f>
        <v>0</v>
      </c>
      <c r="BM24" s="293">
        <f>+Общо!BP24</f>
        <v>0</v>
      </c>
      <c r="BN24" s="293">
        <f>+Общо!BQ24</f>
        <v>0</v>
      </c>
      <c r="BO24" s="294">
        <f>+Общо!BR24</f>
        <v>0</v>
      </c>
      <c r="BQ24" s="265">
        <f t="shared" si="5"/>
        <v>45647</v>
      </c>
      <c r="BR24" s="293">
        <f>+Общо!BU24</f>
        <v>0</v>
      </c>
      <c r="BS24" s="293">
        <f>+Общо!BV24</f>
        <v>0</v>
      </c>
      <c r="BT24" s="293">
        <f>+Общо!BW24</f>
        <v>0</v>
      </c>
      <c r="BU24" s="293">
        <f>+Общо!BX24</f>
        <v>0</v>
      </c>
      <c r="BV24" s="293">
        <f>+Общо!BY24</f>
        <v>0</v>
      </c>
      <c r="BW24" s="293">
        <f>+Общо!BZ24</f>
        <v>0</v>
      </c>
      <c r="BX24" s="293">
        <f>+Общо!CA24</f>
        <v>0</v>
      </c>
      <c r="BY24" s="293">
        <f>+Общо!CB24</f>
        <v>0</v>
      </c>
      <c r="BZ24" s="294">
        <f>+Общо!CC24</f>
        <v>0</v>
      </c>
      <c r="CB24" s="265">
        <f t="shared" si="6"/>
        <v>45647</v>
      </c>
      <c r="CC24" s="293">
        <f>+Общо!CF24</f>
        <v>0</v>
      </c>
      <c r="CD24" s="293">
        <f>+Общо!CG24</f>
        <v>0</v>
      </c>
      <c r="CE24" s="293">
        <f>+Общо!CH24</f>
        <v>0</v>
      </c>
      <c r="CF24" s="293">
        <f>+Общо!CI24</f>
        <v>0</v>
      </c>
      <c r="CG24" s="293">
        <f>+Общо!CJ24</f>
        <v>0</v>
      </c>
      <c r="CH24" s="293">
        <f>+Общо!CK24</f>
        <v>0</v>
      </c>
      <c r="CI24" s="293">
        <f>+Общо!CL24</f>
        <v>0</v>
      </c>
      <c r="CJ24" s="293">
        <f>+Общо!CM24</f>
        <v>0</v>
      </c>
      <c r="CK24" s="294">
        <f>+Общо!CN24</f>
        <v>0</v>
      </c>
    </row>
    <row r="25" spans="2:89" x14ac:dyDescent="0.25">
      <c r="B25" s="47">
        <f t="shared" si="0"/>
        <v>45648</v>
      </c>
      <c r="C25" s="269">
        <f>+Общо!C25</f>
        <v>0</v>
      </c>
      <c r="D25" s="270">
        <f>+Общо!D25</f>
        <v>0</v>
      </c>
      <c r="E25" s="270">
        <f>+Общо!E25</f>
        <v>0</v>
      </c>
      <c r="F25" s="270">
        <f>+Общо!F25</f>
        <v>0</v>
      </c>
      <c r="G25" s="271">
        <f>+Общо!G25</f>
        <v>0</v>
      </c>
      <c r="H25" s="271">
        <f>+Общо!H25</f>
        <v>0</v>
      </c>
      <c r="I25" s="271">
        <f>+Общо!I25</f>
        <v>0</v>
      </c>
      <c r="J25" s="271">
        <f>+Общо!J25</f>
        <v>0</v>
      </c>
      <c r="K25" s="271">
        <f>+Общо!K25</f>
        <v>0</v>
      </c>
      <c r="L25" s="271">
        <f>+Общо!L25</f>
        <v>0</v>
      </c>
      <c r="M25" s="271">
        <f>+Общо!M25</f>
        <v>0</v>
      </c>
      <c r="N25" s="271">
        <f>+Общо!N25</f>
        <v>0</v>
      </c>
      <c r="O25" s="271">
        <f>+Общо!O25</f>
        <v>0</v>
      </c>
      <c r="P25" s="271">
        <f>+Общо!P25</f>
        <v>0</v>
      </c>
      <c r="Q25" s="271">
        <f>+Общо!Q25</f>
        <v>0</v>
      </c>
      <c r="R25" s="271">
        <f>+Общо!R25</f>
        <v>0</v>
      </c>
      <c r="S25" s="271">
        <f>+Общо!S25</f>
        <v>0</v>
      </c>
      <c r="T25" s="271">
        <f>+Общо!T25</f>
        <v>0</v>
      </c>
      <c r="U25" s="271">
        <f>+Общо!U25</f>
        <v>0</v>
      </c>
      <c r="V25" s="271" t="e">
        <f>+Общо!#REF!</f>
        <v>#REF!</v>
      </c>
      <c r="W25" s="271">
        <f>+Общо!V25</f>
        <v>0</v>
      </c>
      <c r="X25" s="271">
        <f>+Общо!X25</f>
        <v>0</v>
      </c>
      <c r="Y25" s="272">
        <f>+Общо!Y25</f>
        <v>0</v>
      </c>
      <c r="Z25" s="273">
        <f>+Общо!Z25</f>
        <v>0</v>
      </c>
      <c r="AA25" s="269">
        <f>+Общо!AA25</f>
        <v>0</v>
      </c>
      <c r="AB25" s="272">
        <f>+Общо!AB25</f>
        <v>0</v>
      </c>
      <c r="AD25" s="278">
        <f>+Общо!AD25</f>
        <v>0</v>
      </c>
      <c r="AE25" s="278">
        <f>+Общо!AE25</f>
        <v>0</v>
      </c>
      <c r="AF25" s="278">
        <f>+Общо!AH25</f>
        <v>0</v>
      </c>
      <c r="AG25" s="279">
        <f>+Общо!AJ25</f>
        <v>0</v>
      </c>
      <c r="AH25" s="280">
        <f>+Общо!AK25</f>
        <v>0</v>
      </c>
      <c r="AJ25" s="281">
        <f>+Общо!AM25</f>
        <v>0</v>
      </c>
      <c r="AK25" s="282">
        <f>+Общо!AN25</f>
        <v>0</v>
      </c>
      <c r="AL25" s="283">
        <f>+Общо!AO25</f>
        <v>0</v>
      </c>
      <c r="AM25" s="284">
        <f>+Общо!AP25</f>
        <v>0</v>
      </c>
      <c r="AN25" s="285">
        <f>+Общо!AQ25</f>
        <v>0</v>
      </c>
      <c r="AP25" s="265">
        <f t="shared" si="1"/>
        <v>45648</v>
      </c>
      <c r="AQ25" s="289">
        <f>+Общо!AT25</f>
        <v>75.89</v>
      </c>
      <c r="AR25" s="289">
        <f>+Общо!AU25</f>
        <v>0</v>
      </c>
      <c r="AS25" s="268">
        <f>+Общо!AV25</f>
        <v>0</v>
      </c>
      <c r="AT25" s="289">
        <v>0</v>
      </c>
      <c r="AV25" s="265">
        <f t="shared" si="2"/>
        <v>45648</v>
      </c>
      <c r="AW25" s="289">
        <f>+Общо!AZ25</f>
        <v>0</v>
      </c>
      <c r="AX25" s="289">
        <f>+Общо!BA25</f>
        <v>0</v>
      </c>
      <c r="AY25" s="289">
        <v>0</v>
      </c>
      <c r="BA25" s="265">
        <f t="shared" si="3"/>
        <v>45648</v>
      </c>
      <c r="BB25" s="291">
        <f>+Общо!BE25</f>
        <v>0</v>
      </c>
      <c r="BC25" s="289">
        <f>+Общо!BF25</f>
        <v>0</v>
      </c>
      <c r="BD25" s="295">
        <f>+Общо!BG25</f>
        <v>0</v>
      </c>
      <c r="BF25" s="265">
        <f t="shared" si="4"/>
        <v>45648</v>
      </c>
      <c r="BG25" s="293">
        <f>+Общо!BJ25</f>
        <v>0</v>
      </c>
      <c r="BH25" s="293">
        <f>+Общо!BK25</f>
        <v>0</v>
      </c>
      <c r="BI25" s="293">
        <f>+Общо!BL25</f>
        <v>0</v>
      </c>
      <c r="BJ25" s="293">
        <f>+Общо!BM25</f>
        <v>0</v>
      </c>
      <c r="BK25" s="293">
        <f>+Общо!BN25</f>
        <v>0</v>
      </c>
      <c r="BL25" s="293">
        <f>+Общо!BO25</f>
        <v>0</v>
      </c>
      <c r="BM25" s="293">
        <f>+Общо!BP25</f>
        <v>0</v>
      </c>
      <c r="BN25" s="293">
        <f>+Общо!BQ25</f>
        <v>0</v>
      </c>
      <c r="BO25" s="294">
        <f>+Общо!BR25</f>
        <v>0</v>
      </c>
      <c r="BQ25" s="265">
        <f t="shared" si="5"/>
        <v>45648</v>
      </c>
      <c r="BR25" s="293">
        <f>+Общо!BU25</f>
        <v>0</v>
      </c>
      <c r="BS25" s="293">
        <f>+Общо!BV25</f>
        <v>0</v>
      </c>
      <c r="BT25" s="293">
        <f>+Общо!BW25</f>
        <v>0</v>
      </c>
      <c r="BU25" s="293">
        <f>+Общо!BX25</f>
        <v>0</v>
      </c>
      <c r="BV25" s="293">
        <f>+Общо!BY25</f>
        <v>0</v>
      </c>
      <c r="BW25" s="293">
        <f>+Общо!BZ25</f>
        <v>0</v>
      </c>
      <c r="BX25" s="293">
        <f>+Общо!CA25</f>
        <v>0</v>
      </c>
      <c r="BY25" s="293">
        <f>+Общо!CB25</f>
        <v>0</v>
      </c>
      <c r="BZ25" s="294">
        <f>+Общо!CC25</f>
        <v>0</v>
      </c>
      <c r="CB25" s="265">
        <f t="shared" si="6"/>
        <v>45648</v>
      </c>
      <c r="CC25" s="293">
        <f>+Общо!CF25</f>
        <v>0</v>
      </c>
      <c r="CD25" s="293">
        <f>+Общо!CG25</f>
        <v>0</v>
      </c>
      <c r="CE25" s="293">
        <f>+Общо!CH25</f>
        <v>0</v>
      </c>
      <c r="CF25" s="293">
        <f>+Общо!CI25</f>
        <v>0</v>
      </c>
      <c r="CG25" s="293">
        <f>+Общо!CJ25</f>
        <v>0</v>
      </c>
      <c r="CH25" s="293">
        <f>+Общо!CK25</f>
        <v>0</v>
      </c>
      <c r="CI25" s="293">
        <f>+Общо!CL25</f>
        <v>0</v>
      </c>
      <c r="CJ25" s="293">
        <f>+Общо!CM25</f>
        <v>0</v>
      </c>
      <c r="CK25" s="294">
        <f>+Общо!CN25</f>
        <v>0</v>
      </c>
    </row>
    <row r="26" spans="2:89" x14ac:dyDescent="0.25">
      <c r="B26" s="47">
        <f t="shared" si="0"/>
        <v>45649</v>
      </c>
      <c r="C26" s="269">
        <f>+Общо!C26</f>
        <v>0</v>
      </c>
      <c r="D26" s="270">
        <f>+Общо!D26</f>
        <v>0</v>
      </c>
      <c r="E26" s="270">
        <f>+Общо!E26</f>
        <v>0</v>
      </c>
      <c r="F26" s="270">
        <f>+Общо!F26</f>
        <v>0</v>
      </c>
      <c r="G26" s="271">
        <f>+Общо!G26</f>
        <v>0</v>
      </c>
      <c r="H26" s="271">
        <f>+Общо!H26</f>
        <v>0</v>
      </c>
      <c r="I26" s="271">
        <f>+Общо!I26</f>
        <v>0</v>
      </c>
      <c r="J26" s="271">
        <f>+Общо!J26</f>
        <v>0</v>
      </c>
      <c r="K26" s="271">
        <f>+Общо!K26</f>
        <v>0</v>
      </c>
      <c r="L26" s="271">
        <f>+Общо!L26</f>
        <v>0</v>
      </c>
      <c r="M26" s="271">
        <f>+Общо!M26</f>
        <v>0</v>
      </c>
      <c r="N26" s="271">
        <f>+Общо!N26</f>
        <v>0</v>
      </c>
      <c r="O26" s="271">
        <f>+Общо!O26</f>
        <v>0</v>
      </c>
      <c r="P26" s="271">
        <f>+Общо!P26</f>
        <v>0</v>
      </c>
      <c r="Q26" s="271">
        <f>+Общо!Q26</f>
        <v>0</v>
      </c>
      <c r="R26" s="271">
        <f>+Общо!R26</f>
        <v>0</v>
      </c>
      <c r="S26" s="271">
        <f>+Общо!S26</f>
        <v>0</v>
      </c>
      <c r="T26" s="271">
        <f>+Общо!T26</f>
        <v>0</v>
      </c>
      <c r="U26" s="271">
        <f>+Общо!U26</f>
        <v>0</v>
      </c>
      <c r="V26" s="271" t="e">
        <f>+Общо!#REF!</f>
        <v>#REF!</v>
      </c>
      <c r="W26" s="271">
        <f>+Общо!V26</f>
        <v>0</v>
      </c>
      <c r="X26" s="271">
        <f>+Общо!X26</f>
        <v>0</v>
      </c>
      <c r="Y26" s="272">
        <f>+Общо!Y26</f>
        <v>0</v>
      </c>
      <c r="Z26" s="273">
        <f>+Общо!Z26</f>
        <v>0</v>
      </c>
      <c r="AA26" s="269">
        <f>+Общо!AA26</f>
        <v>0</v>
      </c>
      <c r="AB26" s="272">
        <f>+Общо!AB26</f>
        <v>0</v>
      </c>
      <c r="AD26" s="278">
        <f>+Общо!AD26</f>
        <v>0</v>
      </c>
      <c r="AE26" s="278">
        <f>+Общо!AE26</f>
        <v>0</v>
      </c>
      <c r="AF26" s="278">
        <f>+Общо!AH26</f>
        <v>0</v>
      </c>
      <c r="AG26" s="279">
        <f>+Общо!AJ26</f>
        <v>0</v>
      </c>
      <c r="AH26" s="280">
        <f>+Общо!AK26</f>
        <v>0</v>
      </c>
      <c r="AJ26" s="281">
        <f>+Общо!AM26</f>
        <v>0</v>
      </c>
      <c r="AK26" s="282">
        <f>+Общо!AN26</f>
        <v>0</v>
      </c>
      <c r="AL26" s="283">
        <f>+Общо!AO26</f>
        <v>0</v>
      </c>
      <c r="AM26" s="284">
        <f>+Общо!AP26</f>
        <v>0</v>
      </c>
      <c r="AN26" s="285">
        <f>+Общо!AQ26</f>
        <v>0</v>
      </c>
      <c r="AO26" s="4"/>
      <c r="AP26" s="265">
        <f t="shared" si="1"/>
        <v>45649</v>
      </c>
      <c r="AQ26" s="289">
        <f>+Общо!AT26</f>
        <v>75.89</v>
      </c>
      <c r="AR26" s="289">
        <f>+Общо!AU26</f>
        <v>0</v>
      </c>
      <c r="AS26" s="268">
        <f>+Общо!AV26</f>
        <v>0</v>
      </c>
      <c r="AT26" s="289">
        <v>0</v>
      </c>
      <c r="AV26" s="265">
        <f t="shared" si="2"/>
        <v>45649</v>
      </c>
      <c r="AW26" s="289">
        <f>+Общо!AZ26</f>
        <v>0</v>
      </c>
      <c r="AX26" s="289">
        <f>+Общо!BA26</f>
        <v>0</v>
      </c>
      <c r="AY26" s="289">
        <v>0</v>
      </c>
      <c r="BA26" s="265">
        <f t="shared" si="3"/>
        <v>45649</v>
      </c>
      <c r="BB26" s="291">
        <f>+Общо!BE26</f>
        <v>0</v>
      </c>
      <c r="BC26" s="289">
        <f>+Общо!BF26</f>
        <v>0</v>
      </c>
      <c r="BD26" s="295">
        <f>+Общо!BG26</f>
        <v>0</v>
      </c>
      <c r="BF26" s="265">
        <f t="shared" si="4"/>
        <v>45649</v>
      </c>
      <c r="BG26" s="293">
        <f>+Общо!BJ26</f>
        <v>0</v>
      </c>
      <c r="BH26" s="293">
        <f>+Общо!BK26</f>
        <v>0</v>
      </c>
      <c r="BI26" s="293">
        <f>+Общо!BL26</f>
        <v>0</v>
      </c>
      <c r="BJ26" s="293">
        <f>+Общо!BM26</f>
        <v>0</v>
      </c>
      <c r="BK26" s="293">
        <f>+Общо!BN26</f>
        <v>0</v>
      </c>
      <c r="BL26" s="293">
        <f>+Общо!BO26</f>
        <v>0</v>
      </c>
      <c r="BM26" s="293">
        <f>+Общо!BP26</f>
        <v>0</v>
      </c>
      <c r="BN26" s="293">
        <f>+Общо!BQ26</f>
        <v>0</v>
      </c>
      <c r="BO26" s="294">
        <f>+Общо!BR26</f>
        <v>0</v>
      </c>
      <c r="BQ26" s="265">
        <f t="shared" si="5"/>
        <v>45649</v>
      </c>
      <c r="BR26" s="293">
        <f>+Общо!BU26</f>
        <v>0</v>
      </c>
      <c r="BS26" s="293">
        <f>+Общо!BV26</f>
        <v>0</v>
      </c>
      <c r="BT26" s="293">
        <f>+Общо!BW26</f>
        <v>0</v>
      </c>
      <c r="BU26" s="293">
        <f>+Общо!BX26</f>
        <v>0</v>
      </c>
      <c r="BV26" s="293">
        <f>+Общо!BY26</f>
        <v>0</v>
      </c>
      <c r="BW26" s="293">
        <f>+Общо!BZ26</f>
        <v>0</v>
      </c>
      <c r="BX26" s="293">
        <f>+Общо!CA26</f>
        <v>0</v>
      </c>
      <c r="BY26" s="293">
        <f>+Общо!CB26</f>
        <v>0</v>
      </c>
      <c r="BZ26" s="294">
        <f>+Общо!CC26</f>
        <v>0</v>
      </c>
      <c r="CB26" s="265">
        <f t="shared" si="6"/>
        <v>45649</v>
      </c>
      <c r="CC26" s="293">
        <f>+Общо!CF26</f>
        <v>0</v>
      </c>
      <c r="CD26" s="293">
        <f>+Общо!CG26</f>
        <v>0</v>
      </c>
      <c r="CE26" s="293">
        <f>+Общо!CH26</f>
        <v>0</v>
      </c>
      <c r="CF26" s="293">
        <f>+Общо!CI26</f>
        <v>0</v>
      </c>
      <c r="CG26" s="293">
        <f>+Общо!CJ26</f>
        <v>0</v>
      </c>
      <c r="CH26" s="293">
        <f>+Общо!CK26</f>
        <v>0</v>
      </c>
      <c r="CI26" s="293">
        <f>+Общо!CL26</f>
        <v>0</v>
      </c>
      <c r="CJ26" s="293">
        <f>+Общо!CM26</f>
        <v>0</v>
      </c>
      <c r="CK26" s="294">
        <f>+Общо!CN26</f>
        <v>0</v>
      </c>
    </row>
    <row r="27" spans="2:89" x14ac:dyDescent="0.25">
      <c r="B27" s="47">
        <f t="shared" si="0"/>
        <v>45650</v>
      </c>
      <c r="C27" s="269">
        <f>+Общо!C27</f>
        <v>0</v>
      </c>
      <c r="D27" s="270">
        <f>+Общо!D27</f>
        <v>0</v>
      </c>
      <c r="E27" s="270">
        <f>+Общо!E27</f>
        <v>0</v>
      </c>
      <c r="F27" s="270">
        <f>+Общо!F27</f>
        <v>0</v>
      </c>
      <c r="G27" s="271">
        <f>+Общо!G27</f>
        <v>0</v>
      </c>
      <c r="H27" s="271">
        <f>+Общо!H27</f>
        <v>0</v>
      </c>
      <c r="I27" s="271">
        <f>+Общо!I27</f>
        <v>0</v>
      </c>
      <c r="J27" s="271">
        <f>+Общо!J27</f>
        <v>0</v>
      </c>
      <c r="K27" s="271">
        <f>+Общо!K27</f>
        <v>0</v>
      </c>
      <c r="L27" s="271">
        <f>+Общо!L27</f>
        <v>0</v>
      </c>
      <c r="M27" s="271">
        <f>+Общо!M27</f>
        <v>0</v>
      </c>
      <c r="N27" s="271">
        <f>+Общо!N27</f>
        <v>0</v>
      </c>
      <c r="O27" s="271">
        <f>+Общо!O27</f>
        <v>0</v>
      </c>
      <c r="P27" s="271">
        <f>+Общо!P27</f>
        <v>0</v>
      </c>
      <c r="Q27" s="271">
        <f>+Общо!Q27</f>
        <v>0</v>
      </c>
      <c r="R27" s="271">
        <f>+Общо!R27</f>
        <v>0</v>
      </c>
      <c r="S27" s="271">
        <f>+Общо!S27</f>
        <v>0</v>
      </c>
      <c r="T27" s="271">
        <f>+Общо!T27</f>
        <v>0</v>
      </c>
      <c r="U27" s="271">
        <f>+Общо!U27</f>
        <v>0</v>
      </c>
      <c r="V27" s="271" t="e">
        <f>+Общо!#REF!</f>
        <v>#REF!</v>
      </c>
      <c r="W27" s="271">
        <f>+Общо!V27</f>
        <v>0</v>
      </c>
      <c r="X27" s="271">
        <f>+Общо!X27</f>
        <v>0</v>
      </c>
      <c r="Y27" s="272">
        <f>+Общо!Y27</f>
        <v>0</v>
      </c>
      <c r="Z27" s="273">
        <f>+Общо!Z27</f>
        <v>0</v>
      </c>
      <c r="AA27" s="269">
        <f>+Общо!AA27</f>
        <v>0</v>
      </c>
      <c r="AB27" s="272">
        <f>+Общо!AB27</f>
        <v>0</v>
      </c>
      <c r="AD27" s="278">
        <f>+Общо!AD27</f>
        <v>0</v>
      </c>
      <c r="AE27" s="278">
        <f>+Общо!AE27</f>
        <v>0</v>
      </c>
      <c r="AF27" s="278">
        <f>+Общо!AH27</f>
        <v>0</v>
      </c>
      <c r="AG27" s="279">
        <f>+Общо!AJ27</f>
        <v>0</v>
      </c>
      <c r="AH27" s="280">
        <f>+Общо!AK27</f>
        <v>0</v>
      </c>
      <c r="AJ27" s="281">
        <f>+Общо!AM27</f>
        <v>0</v>
      </c>
      <c r="AK27" s="282">
        <f>+Общо!AN27</f>
        <v>0</v>
      </c>
      <c r="AL27" s="283">
        <f>+Общо!AO27</f>
        <v>0</v>
      </c>
      <c r="AM27" s="284">
        <f>+Общо!AP27</f>
        <v>0</v>
      </c>
      <c r="AN27" s="285">
        <f>+Общо!AQ27</f>
        <v>0</v>
      </c>
      <c r="AP27" s="265">
        <f t="shared" si="1"/>
        <v>45650</v>
      </c>
      <c r="AQ27" s="289">
        <f>+Общо!AT27</f>
        <v>75.89</v>
      </c>
      <c r="AR27" s="289">
        <f>+Общо!AU27</f>
        <v>0</v>
      </c>
      <c r="AS27" s="268">
        <f>+Общо!AV27</f>
        <v>0</v>
      </c>
      <c r="AT27" s="289">
        <v>0</v>
      </c>
      <c r="AV27" s="265">
        <f t="shared" si="2"/>
        <v>45650</v>
      </c>
      <c r="AW27" s="289">
        <f>+Общо!AZ27</f>
        <v>0</v>
      </c>
      <c r="AX27" s="289">
        <f>+Общо!BA27</f>
        <v>0</v>
      </c>
      <c r="AY27" s="289">
        <v>0</v>
      </c>
      <c r="BA27" s="265">
        <f t="shared" si="3"/>
        <v>45650</v>
      </c>
      <c r="BB27" s="291">
        <f>+Общо!BE27</f>
        <v>0</v>
      </c>
      <c r="BC27" s="289">
        <f>+Общо!BF27</f>
        <v>0</v>
      </c>
      <c r="BD27" s="295">
        <f>+Общо!BG27</f>
        <v>0</v>
      </c>
      <c r="BF27" s="265">
        <f t="shared" si="4"/>
        <v>45650</v>
      </c>
      <c r="BG27" s="293">
        <f>+Общо!BJ27</f>
        <v>0</v>
      </c>
      <c r="BH27" s="293">
        <f>+Общо!BK27</f>
        <v>0</v>
      </c>
      <c r="BI27" s="293">
        <f>+Общо!BL27</f>
        <v>0</v>
      </c>
      <c r="BJ27" s="293">
        <f>+Общо!BM27</f>
        <v>0</v>
      </c>
      <c r="BK27" s="293">
        <f>+Общо!BN27</f>
        <v>0</v>
      </c>
      <c r="BL27" s="293">
        <f>+Общо!BO27</f>
        <v>0</v>
      </c>
      <c r="BM27" s="293">
        <f>+Общо!BP27</f>
        <v>0</v>
      </c>
      <c r="BN27" s="293">
        <f>+Общо!BQ27</f>
        <v>0</v>
      </c>
      <c r="BO27" s="294">
        <f>+Общо!BR27</f>
        <v>0</v>
      </c>
      <c r="BQ27" s="265">
        <f t="shared" si="5"/>
        <v>45650</v>
      </c>
      <c r="BR27" s="293">
        <f>+Общо!BU27</f>
        <v>0</v>
      </c>
      <c r="BS27" s="293">
        <f>+Общо!BV27</f>
        <v>0</v>
      </c>
      <c r="BT27" s="293">
        <f>+Общо!BW27</f>
        <v>0</v>
      </c>
      <c r="BU27" s="293">
        <f>+Общо!BX27</f>
        <v>0</v>
      </c>
      <c r="BV27" s="293">
        <f>+Общо!BY27</f>
        <v>0</v>
      </c>
      <c r="BW27" s="293">
        <f>+Общо!BZ27</f>
        <v>0</v>
      </c>
      <c r="BX27" s="293">
        <f>+Общо!CA27</f>
        <v>0</v>
      </c>
      <c r="BY27" s="293">
        <f>+Общо!CB27</f>
        <v>0</v>
      </c>
      <c r="BZ27" s="294">
        <f>+Общо!CC27</f>
        <v>0</v>
      </c>
      <c r="CB27" s="265">
        <f t="shared" si="6"/>
        <v>45650</v>
      </c>
      <c r="CC27" s="293">
        <f>+Общо!CF27</f>
        <v>0</v>
      </c>
      <c r="CD27" s="293">
        <f>+Общо!CG27</f>
        <v>0</v>
      </c>
      <c r="CE27" s="293">
        <f>+Общо!CH27</f>
        <v>0</v>
      </c>
      <c r="CF27" s="293">
        <f>+Общо!CI27</f>
        <v>0</v>
      </c>
      <c r="CG27" s="293">
        <f>+Общо!CJ27</f>
        <v>0</v>
      </c>
      <c r="CH27" s="293">
        <f>+Общо!CK27</f>
        <v>0</v>
      </c>
      <c r="CI27" s="293">
        <f>+Общо!CL27</f>
        <v>0</v>
      </c>
      <c r="CJ27" s="293">
        <f>+Общо!CM27</f>
        <v>0</v>
      </c>
      <c r="CK27" s="294">
        <f>+Общо!CN27</f>
        <v>0</v>
      </c>
    </row>
    <row r="28" spans="2:89" x14ac:dyDescent="0.25">
      <c r="B28" s="47">
        <f t="shared" si="0"/>
        <v>45651</v>
      </c>
      <c r="C28" s="269">
        <f>+Общо!C28</f>
        <v>0</v>
      </c>
      <c r="D28" s="270">
        <f>+Общо!D28</f>
        <v>0</v>
      </c>
      <c r="E28" s="270">
        <f>+Общо!E28</f>
        <v>0</v>
      </c>
      <c r="F28" s="270">
        <f>+Общо!F28</f>
        <v>0</v>
      </c>
      <c r="G28" s="271">
        <f>+Общо!G28</f>
        <v>0</v>
      </c>
      <c r="H28" s="271">
        <f>+Общо!H28</f>
        <v>0</v>
      </c>
      <c r="I28" s="271">
        <f>+Общо!I28</f>
        <v>0</v>
      </c>
      <c r="J28" s="271">
        <f>+Общо!J28</f>
        <v>0</v>
      </c>
      <c r="K28" s="271">
        <f>+Общо!K28</f>
        <v>0</v>
      </c>
      <c r="L28" s="271">
        <f>+Общо!L28</f>
        <v>0</v>
      </c>
      <c r="M28" s="271">
        <f>+Общо!M28</f>
        <v>0</v>
      </c>
      <c r="N28" s="271">
        <f>+Общо!N28</f>
        <v>0</v>
      </c>
      <c r="O28" s="271">
        <f>+Общо!O28</f>
        <v>0</v>
      </c>
      <c r="P28" s="271">
        <f>+Общо!P28</f>
        <v>0</v>
      </c>
      <c r="Q28" s="271">
        <f>+Общо!Q28</f>
        <v>0</v>
      </c>
      <c r="R28" s="271">
        <f>+Общо!R28</f>
        <v>0</v>
      </c>
      <c r="S28" s="271">
        <f>+Общо!S28</f>
        <v>0</v>
      </c>
      <c r="T28" s="271">
        <f>+Общо!T28</f>
        <v>0</v>
      </c>
      <c r="U28" s="271">
        <f>+Общо!U28</f>
        <v>0</v>
      </c>
      <c r="V28" s="271" t="e">
        <f>+Общо!#REF!</f>
        <v>#REF!</v>
      </c>
      <c r="W28" s="271">
        <f>+Общо!V28</f>
        <v>0</v>
      </c>
      <c r="X28" s="271">
        <f>+Общо!X28</f>
        <v>0</v>
      </c>
      <c r="Y28" s="272">
        <f>+Общо!Y28</f>
        <v>0</v>
      </c>
      <c r="Z28" s="273">
        <f>+Общо!Z28</f>
        <v>0</v>
      </c>
      <c r="AA28" s="269">
        <f>+Общо!AA28</f>
        <v>0</v>
      </c>
      <c r="AB28" s="272">
        <f>+Общо!AB28</f>
        <v>0</v>
      </c>
      <c r="AD28" s="278">
        <f>+Общо!AD28</f>
        <v>0</v>
      </c>
      <c r="AE28" s="278">
        <f>+Общо!AE28</f>
        <v>0</v>
      </c>
      <c r="AF28" s="278">
        <f>+Общо!AH28</f>
        <v>0</v>
      </c>
      <c r="AG28" s="279">
        <f>+Общо!AJ28</f>
        <v>0</v>
      </c>
      <c r="AH28" s="280">
        <f>+Общо!AK28</f>
        <v>0</v>
      </c>
      <c r="AJ28" s="281">
        <f>+Общо!AM28</f>
        <v>0</v>
      </c>
      <c r="AK28" s="282">
        <f>+Общо!AN28</f>
        <v>0</v>
      </c>
      <c r="AL28" s="283">
        <f>+Общо!AO28</f>
        <v>0</v>
      </c>
      <c r="AM28" s="284">
        <f>+Общо!AP28</f>
        <v>0</v>
      </c>
      <c r="AN28" s="285">
        <f>+Общо!AQ28</f>
        <v>0</v>
      </c>
      <c r="AP28" s="265">
        <f t="shared" si="1"/>
        <v>45651</v>
      </c>
      <c r="AQ28" s="289">
        <f>+Общо!AT28</f>
        <v>75.89</v>
      </c>
      <c r="AR28" s="289">
        <f>+Общо!AU28</f>
        <v>0</v>
      </c>
      <c r="AS28" s="268">
        <f>+Общо!AV28</f>
        <v>0</v>
      </c>
      <c r="AT28" s="289">
        <v>0</v>
      </c>
      <c r="AV28" s="265">
        <f t="shared" si="2"/>
        <v>45651</v>
      </c>
      <c r="AW28" s="289">
        <f>+Общо!AZ28</f>
        <v>0</v>
      </c>
      <c r="AX28" s="289">
        <f>+Общо!BA28</f>
        <v>0</v>
      </c>
      <c r="AY28" s="289">
        <v>0</v>
      </c>
      <c r="BA28" s="265">
        <f t="shared" si="3"/>
        <v>45651</v>
      </c>
      <c r="BB28" s="291">
        <f>+Общо!BE28</f>
        <v>0</v>
      </c>
      <c r="BC28" s="289">
        <f>+Общо!BF28</f>
        <v>0</v>
      </c>
      <c r="BD28" s="295">
        <f>+Общо!BG28</f>
        <v>0</v>
      </c>
      <c r="BF28" s="265">
        <f t="shared" si="4"/>
        <v>45651</v>
      </c>
      <c r="BG28" s="293">
        <f>+Общо!BJ28</f>
        <v>0</v>
      </c>
      <c r="BH28" s="293">
        <f>+Общо!BK28</f>
        <v>0</v>
      </c>
      <c r="BI28" s="293">
        <f>+Общо!BL28</f>
        <v>0</v>
      </c>
      <c r="BJ28" s="293">
        <f>+Общо!BM28</f>
        <v>0</v>
      </c>
      <c r="BK28" s="293">
        <f>+Общо!BN28</f>
        <v>0</v>
      </c>
      <c r="BL28" s="293">
        <f>+Общо!BO28</f>
        <v>0</v>
      </c>
      <c r="BM28" s="293">
        <f>+Общо!BP28</f>
        <v>0</v>
      </c>
      <c r="BN28" s="293">
        <f>+Общо!BQ28</f>
        <v>0</v>
      </c>
      <c r="BO28" s="294">
        <f>+Общо!BR28</f>
        <v>0</v>
      </c>
      <c r="BQ28" s="265">
        <f t="shared" si="5"/>
        <v>45651</v>
      </c>
      <c r="BR28" s="293">
        <f>+Общо!BU28</f>
        <v>0</v>
      </c>
      <c r="BS28" s="293">
        <f>+Общо!BV28</f>
        <v>0</v>
      </c>
      <c r="BT28" s="293">
        <f>+Общо!BW28</f>
        <v>0</v>
      </c>
      <c r="BU28" s="293">
        <f>+Общо!BX28</f>
        <v>0</v>
      </c>
      <c r="BV28" s="293">
        <f>+Общо!BY28</f>
        <v>0</v>
      </c>
      <c r="BW28" s="293">
        <f>+Общо!BZ28</f>
        <v>0</v>
      </c>
      <c r="BX28" s="293">
        <f>+Общо!CA28</f>
        <v>0</v>
      </c>
      <c r="BY28" s="293">
        <f>+Общо!CB28</f>
        <v>0</v>
      </c>
      <c r="BZ28" s="294">
        <f>+Общо!CC28</f>
        <v>0</v>
      </c>
      <c r="CB28" s="265">
        <f t="shared" si="6"/>
        <v>45651</v>
      </c>
      <c r="CC28" s="293">
        <f>+Общо!CF28</f>
        <v>0</v>
      </c>
      <c r="CD28" s="293">
        <f>+Общо!CG28</f>
        <v>0</v>
      </c>
      <c r="CE28" s="293">
        <f>+Общо!CH28</f>
        <v>0</v>
      </c>
      <c r="CF28" s="293">
        <f>+Общо!CI28</f>
        <v>0</v>
      </c>
      <c r="CG28" s="293">
        <f>+Общо!CJ28</f>
        <v>0</v>
      </c>
      <c r="CH28" s="293">
        <f>+Общо!CK28</f>
        <v>0</v>
      </c>
      <c r="CI28" s="293">
        <f>+Общо!CL28</f>
        <v>0</v>
      </c>
      <c r="CJ28" s="293">
        <f>+Общо!CM28</f>
        <v>0</v>
      </c>
      <c r="CK28" s="294">
        <f>+Общо!CN28</f>
        <v>0</v>
      </c>
    </row>
    <row r="29" spans="2:89" x14ac:dyDescent="0.25">
      <c r="B29" s="47">
        <f t="shared" si="0"/>
        <v>45652</v>
      </c>
      <c r="C29" s="269">
        <f>+Общо!C29</f>
        <v>0</v>
      </c>
      <c r="D29" s="270">
        <f>+Общо!D29</f>
        <v>0</v>
      </c>
      <c r="E29" s="270">
        <f>+Общо!E29</f>
        <v>0</v>
      </c>
      <c r="F29" s="270">
        <f>+Общо!F29</f>
        <v>0</v>
      </c>
      <c r="G29" s="271">
        <f>+Общо!G29</f>
        <v>0</v>
      </c>
      <c r="H29" s="271">
        <f>+Общо!H29</f>
        <v>0</v>
      </c>
      <c r="I29" s="271">
        <f>+Общо!I29</f>
        <v>0</v>
      </c>
      <c r="J29" s="271">
        <f>+Общо!J29</f>
        <v>0</v>
      </c>
      <c r="K29" s="271">
        <f>+Общо!K29</f>
        <v>0</v>
      </c>
      <c r="L29" s="271">
        <f>+Общо!L29</f>
        <v>0</v>
      </c>
      <c r="M29" s="271">
        <f>+Общо!M29</f>
        <v>0</v>
      </c>
      <c r="N29" s="271">
        <f>+Общо!N29</f>
        <v>0</v>
      </c>
      <c r="O29" s="271">
        <f>+Общо!O29</f>
        <v>0</v>
      </c>
      <c r="P29" s="271">
        <f>+Общо!P29</f>
        <v>0</v>
      </c>
      <c r="Q29" s="271">
        <f>+Общо!Q29</f>
        <v>0</v>
      </c>
      <c r="R29" s="271">
        <f>+Общо!R29</f>
        <v>0</v>
      </c>
      <c r="S29" s="271">
        <f>+Общо!S29</f>
        <v>0</v>
      </c>
      <c r="T29" s="271">
        <f>+Общо!T29</f>
        <v>0</v>
      </c>
      <c r="U29" s="271">
        <f>+Общо!U29</f>
        <v>0</v>
      </c>
      <c r="V29" s="271" t="e">
        <f>+Общо!#REF!</f>
        <v>#REF!</v>
      </c>
      <c r="W29" s="271">
        <f>+Общо!V29</f>
        <v>0</v>
      </c>
      <c r="X29" s="271">
        <f>+Общо!X29</f>
        <v>0</v>
      </c>
      <c r="Y29" s="272">
        <f>+Общо!Y29</f>
        <v>0</v>
      </c>
      <c r="Z29" s="273">
        <f>+Общо!Z29</f>
        <v>0</v>
      </c>
      <c r="AA29" s="269">
        <f>+Общо!AA29</f>
        <v>0</v>
      </c>
      <c r="AB29" s="272">
        <f>+Общо!AB29</f>
        <v>0</v>
      </c>
      <c r="AD29" s="278">
        <f>+Общо!AD29</f>
        <v>0</v>
      </c>
      <c r="AE29" s="278">
        <f>+Общо!AE29</f>
        <v>0</v>
      </c>
      <c r="AF29" s="278">
        <f>+Общо!AH29</f>
        <v>0</v>
      </c>
      <c r="AG29" s="279">
        <f>+Общо!AJ29</f>
        <v>0</v>
      </c>
      <c r="AH29" s="280">
        <f>+Общо!AK29</f>
        <v>0</v>
      </c>
      <c r="AJ29" s="281">
        <f>+Общо!AM29</f>
        <v>0</v>
      </c>
      <c r="AK29" s="282">
        <f>+Общо!AN29</f>
        <v>0</v>
      </c>
      <c r="AL29" s="283">
        <f>+Общо!AO29</f>
        <v>0</v>
      </c>
      <c r="AM29" s="284">
        <f>+Общо!AP29</f>
        <v>0</v>
      </c>
      <c r="AN29" s="285">
        <f>+Общо!AQ29</f>
        <v>0</v>
      </c>
      <c r="AP29" s="265">
        <f t="shared" si="1"/>
        <v>45652</v>
      </c>
      <c r="AQ29" s="289">
        <f>+Общо!AT29</f>
        <v>75.89</v>
      </c>
      <c r="AR29" s="289">
        <f>+Общо!AU29</f>
        <v>0</v>
      </c>
      <c r="AS29" s="268">
        <f>+Общо!AV29</f>
        <v>0</v>
      </c>
      <c r="AT29" s="289">
        <v>0</v>
      </c>
      <c r="AV29" s="265">
        <f t="shared" si="2"/>
        <v>45652</v>
      </c>
      <c r="AW29" s="289">
        <f>+Общо!AZ29</f>
        <v>0</v>
      </c>
      <c r="AX29" s="289">
        <f>+Общо!BA29</f>
        <v>0</v>
      </c>
      <c r="AY29" s="289">
        <v>0</v>
      </c>
      <c r="BA29" s="265">
        <f t="shared" si="3"/>
        <v>45652</v>
      </c>
      <c r="BB29" s="291">
        <f>+Общо!BE29</f>
        <v>0</v>
      </c>
      <c r="BC29" s="289">
        <f>+Общо!BF29</f>
        <v>0</v>
      </c>
      <c r="BD29" s="295">
        <f>+Общо!BG29</f>
        <v>0</v>
      </c>
      <c r="BF29" s="265">
        <f t="shared" si="4"/>
        <v>45652</v>
      </c>
      <c r="BG29" s="293">
        <f>+Общо!BJ29</f>
        <v>0</v>
      </c>
      <c r="BH29" s="293">
        <f>+Общо!BK29</f>
        <v>0</v>
      </c>
      <c r="BI29" s="293">
        <f>+Общо!BL29</f>
        <v>0</v>
      </c>
      <c r="BJ29" s="293">
        <f>+Общо!BM29</f>
        <v>0</v>
      </c>
      <c r="BK29" s="293">
        <f>+Общо!BN29</f>
        <v>0</v>
      </c>
      <c r="BL29" s="293">
        <f>+Общо!BO29</f>
        <v>0</v>
      </c>
      <c r="BM29" s="293">
        <f>+Общо!BP29</f>
        <v>0</v>
      </c>
      <c r="BN29" s="293">
        <f>+Общо!BQ29</f>
        <v>0</v>
      </c>
      <c r="BO29" s="294">
        <f>+Общо!BR29</f>
        <v>0</v>
      </c>
      <c r="BQ29" s="265">
        <f t="shared" si="5"/>
        <v>45652</v>
      </c>
      <c r="BR29" s="293">
        <f>+Общо!BU29</f>
        <v>0</v>
      </c>
      <c r="BS29" s="293">
        <f>+Общо!BV29</f>
        <v>0</v>
      </c>
      <c r="BT29" s="293">
        <f>+Общо!BW29</f>
        <v>0</v>
      </c>
      <c r="BU29" s="293">
        <f>+Общо!BX29</f>
        <v>0</v>
      </c>
      <c r="BV29" s="293">
        <f>+Общо!BY29</f>
        <v>0</v>
      </c>
      <c r="BW29" s="293">
        <f>+Общо!BZ29</f>
        <v>0</v>
      </c>
      <c r="BX29" s="293">
        <f>+Общо!CA29</f>
        <v>0</v>
      </c>
      <c r="BY29" s="293">
        <f>+Общо!CB29</f>
        <v>0</v>
      </c>
      <c r="BZ29" s="294">
        <f>+Общо!CC29</f>
        <v>0</v>
      </c>
      <c r="CB29" s="265">
        <f t="shared" si="6"/>
        <v>45652</v>
      </c>
      <c r="CC29" s="293">
        <f>+Общо!CF29</f>
        <v>0</v>
      </c>
      <c r="CD29" s="293">
        <f>+Общо!CG29</f>
        <v>0</v>
      </c>
      <c r="CE29" s="293">
        <f>+Общо!CH29</f>
        <v>0</v>
      </c>
      <c r="CF29" s="293">
        <f>+Общо!CI29</f>
        <v>0</v>
      </c>
      <c r="CG29" s="293">
        <f>+Общо!CJ29</f>
        <v>0</v>
      </c>
      <c r="CH29" s="293">
        <f>+Общо!CK29</f>
        <v>0</v>
      </c>
      <c r="CI29" s="293">
        <f>+Общо!CL29</f>
        <v>0</v>
      </c>
      <c r="CJ29" s="293">
        <f>+Общо!CM29</f>
        <v>0</v>
      </c>
      <c r="CK29" s="294">
        <f>+Общо!CN29</f>
        <v>0</v>
      </c>
    </row>
    <row r="30" spans="2:89" x14ac:dyDescent="0.25">
      <c r="B30" s="47">
        <f t="shared" si="0"/>
        <v>45653</v>
      </c>
      <c r="C30" s="269">
        <f>+Общо!C30</f>
        <v>0</v>
      </c>
      <c r="D30" s="270">
        <f>+Общо!D30</f>
        <v>0</v>
      </c>
      <c r="E30" s="270">
        <f>+Общо!E30</f>
        <v>0</v>
      </c>
      <c r="F30" s="270">
        <f>+Общо!F30</f>
        <v>0</v>
      </c>
      <c r="G30" s="271">
        <f>+Общо!G30</f>
        <v>0</v>
      </c>
      <c r="H30" s="271">
        <f>+Общо!H30</f>
        <v>0</v>
      </c>
      <c r="I30" s="271">
        <f>+Общо!I30</f>
        <v>0</v>
      </c>
      <c r="J30" s="271">
        <f>+Общо!J30</f>
        <v>0</v>
      </c>
      <c r="K30" s="271">
        <f>+Общо!K30</f>
        <v>0</v>
      </c>
      <c r="L30" s="271">
        <f>+Общо!L30</f>
        <v>0</v>
      </c>
      <c r="M30" s="271">
        <f>+Общо!M30</f>
        <v>0</v>
      </c>
      <c r="N30" s="271">
        <f>+Общо!N30</f>
        <v>0</v>
      </c>
      <c r="O30" s="271">
        <f>+Общо!O30</f>
        <v>0</v>
      </c>
      <c r="P30" s="271">
        <f>+Общо!P30</f>
        <v>0</v>
      </c>
      <c r="Q30" s="271">
        <f>+Общо!Q30</f>
        <v>0</v>
      </c>
      <c r="R30" s="271">
        <f>+Общо!R30</f>
        <v>0</v>
      </c>
      <c r="S30" s="271">
        <f>+Общо!S30</f>
        <v>0</v>
      </c>
      <c r="T30" s="271">
        <f>+Общо!T30</f>
        <v>0</v>
      </c>
      <c r="U30" s="271">
        <f>+Общо!U30</f>
        <v>0</v>
      </c>
      <c r="V30" s="271" t="e">
        <f>+Общо!#REF!</f>
        <v>#REF!</v>
      </c>
      <c r="W30" s="271">
        <f>+Общо!V30</f>
        <v>0</v>
      </c>
      <c r="X30" s="271">
        <f>+Общо!X30</f>
        <v>0</v>
      </c>
      <c r="Y30" s="272">
        <f>+Общо!Y30</f>
        <v>0</v>
      </c>
      <c r="Z30" s="273">
        <f>+Общо!Z30</f>
        <v>0</v>
      </c>
      <c r="AA30" s="269">
        <f>+Общо!AA30</f>
        <v>0</v>
      </c>
      <c r="AB30" s="272">
        <f>+Общо!AB30</f>
        <v>0</v>
      </c>
      <c r="AD30" s="278">
        <f>+Общо!AD30</f>
        <v>0</v>
      </c>
      <c r="AE30" s="278">
        <f>+Общо!AE30</f>
        <v>0</v>
      </c>
      <c r="AF30" s="278">
        <f>+Общо!AH30</f>
        <v>0</v>
      </c>
      <c r="AG30" s="279">
        <f>+Общо!AJ30</f>
        <v>0</v>
      </c>
      <c r="AH30" s="280">
        <f>+Общо!AK30</f>
        <v>0</v>
      </c>
      <c r="AJ30" s="281">
        <f>+Общо!AM30</f>
        <v>0</v>
      </c>
      <c r="AK30" s="282">
        <f>+Общо!AN30</f>
        <v>0</v>
      </c>
      <c r="AL30" s="283">
        <f>+Общо!AO30</f>
        <v>0</v>
      </c>
      <c r="AM30" s="284">
        <f>+Общо!AP30</f>
        <v>0</v>
      </c>
      <c r="AN30" s="285">
        <f>+Общо!AQ30</f>
        <v>0</v>
      </c>
      <c r="AO30" s="4"/>
      <c r="AP30" s="265">
        <f t="shared" si="1"/>
        <v>45653</v>
      </c>
      <c r="AQ30" s="289">
        <f>+Общо!AT30</f>
        <v>75.89</v>
      </c>
      <c r="AR30" s="289">
        <f>+Общо!AU30</f>
        <v>0</v>
      </c>
      <c r="AS30" s="268">
        <f>+Общо!AV30</f>
        <v>0</v>
      </c>
      <c r="AT30" s="289">
        <v>0</v>
      </c>
      <c r="AV30" s="265">
        <f t="shared" si="2"/>
        <v>45653</v>
      </c>
      <c r="AW30" s="289">
        <f>+Общо!AZ30</f>
        <v>0</v>
      </c>
      <c r="AX30" s="289">
        <f>+Общо!BA30</f>
        <v>0</v>
      </c>
      <c r="AY30" s="289">
        <v>0</v>
      </c>
      <c r="BA30" s="265">
        <f t="shared" si="3"/>
        <v>45653</v>
      </c>
      <c r="BB30" s="291">
        <f>+Общо!BE30</f>
        <v>0</v>
      </c>
      <c r="BC30" s="289">
        <f>+Общо!BF30</f>
        <v>0</v>
      </c>
      <c r="BD30" s="295">
        <f>+Общо!BG30</f>
        <v>0</v>
      </c>
      <c r="BF30" s="265">
        <f t="shared" si="4"/>
        <v>45653</v>
      </c>
      <c r="BG30" s="293">
        <f>+Общо!BJ30</f>
        <v>0</v>
      </c>
      <c r="BH30" s="293">
        <f>+Общо!BK30</f>
        <v>0</v>
      </c>
      <c r="BI30" s="293">
        <f>+Общо!BL30</f>
        <v>0</v>
      </c>
      <c r="BJ30" s="293">
        <f>+Общо!BM30</f>
        <v>0</v>
      </c>
      <c r="BK30" s="293">
        <f>+Общо!BN30</f>
        <v>0</v>
      </c>
      <c r="BL30" s="293">
        <f>+Общо!BO30</f>
        <v>0</v>
      </c>
      <c r="BM30" s="293">
        <f>+Общо!BP30</f>
        <v>0</v>
      </c>
      <c r="BN30" s="293">
        <f>+Общо!BQ30</f>
        <v>0</v>
      </c>
      <c r="BO30" s="294">
        <f>+Общо!BR30</f>
        <v>0</v>
      </c>
      <c r="BQ30" s="265">
        <f t="shared" si="5"/>
        <v>45653</v>
      </c>
      <c r="BR30" s="293">
        <f>+Общо!BU30</f>
        <v>0</v>
      </c>
      <c r="BS30" s="293">
        <f>+Общо!BV30</f>
        <v>0</v>
      </c>
      <c r="BT30" s="293">
        <f>+Общо!BW30</f>
        <v>0</v>
      </c>
      <c r="BU30" s="293">
        <f>+Общо!BX30</f>
        <v>0</v>
      </c>
      <c r="BV30" s="293">
        <f>+Общо!BY30</f>
        <v>0</v>
      </c>
      <c r="BW30" s="293">
        <f>+Общо!BZ30</f>
        <v>0</v>
      </c>
      <c r="BX30" s="293">
        <f>+Общо!CA30</f>
        <v>0</v>
      </c>
      <c r="BY30" s="293">
        <f>+Общо!CB30</f>
        <v>0</v>
      </c>
      <c r="BZ30" s="294">
        <f>+Общо!CC30</f>
        <v>0</v>
      </c>
      <c r="CB30" s="265">
        <f t="shared" si="6"/>
        <v>45653</v>
      </c>
      <c r="CC30" s="293">
        <f>+Общо!CF30</f>
        <v>0</v>
      </c>
      <c r="CD30" s="293">
        <f>+Общо!CG30</f>
        <v>0</v>
      </c>
      <c r="CE30" s="293">
        <f>+Общо!CH30</f>
        <v>0</v>
      </c>
      <c r="CF30" s="293">
        <f>+Общо!CI30</f>
        <v>0</v>
      </c>
      <c r="CG30" s="293">
        <f>+Общо!CJ30</f>
        <v>0</v>
      </c>
      <c r="CH30" s="293">
        <f>+Общо!CK30</f>
        <v>0</v>
      </c>
      <c r="CI30" s="293">
        <f>+Общо!CL30</f>
        <v>0</v>
      </c>
      <c r="CJ30" s="293">
        <f>+Общо!CM30</f>
        <v>0</v>
      </c>
      <c r="CK30" s="294">
        <f>+Общо!CN30</f>
        <v>0</v>
      </c>
    </row>
    <row r="31" spans="2:89" x14ac:dyDescent="0.25">
      <c r="B31" s="47">
        <f t="shared" si="0"/>
        <v>45654</v>
      </c>
      <c r="C31" s="269">
        <f>+Общо!C34</f>
        <v>0</v>
      </c>
      <c r="D31" s="270">
        <f>+Общо!D34</f>
        <v>0</v>
      </c>
      <c r="E31" s="270">
        <f>+Общо!E34</f>
        <v>0</v>
      </c>
      <c r="F31" s="270">
        <f>+Общо!F34</f>
        <v>0</v>
      </c>
      <c r="G31" s="271">
        <f>+Общо!G34</f>
        <v>0</v>
      </c>
      <c r="H31" s="271">
        <f>+Общо!H34</f>
        <v>0</v>
      </c>
      <c r="I31" s="271">
        <f>+Общо!I34</f>
        <v>0</v>
      </c>
      <c r="J31" s="271">
        <f>+Общо!J34</f>
        <v>0</v>
      </c>
      <c r="K31" s="271">
        <f>+Общо!K34</f>
        <v>0</v>
      </c>
      <c r="L31" s="271">
        <f>+Общо!L34</f>
        <v>0</v>
      </c>
      <c r="M31" s="271">
        <f>+Общо!M34</f>
        <v>0</v>
      </c>
      <c r="N31" s="271">
        <f>+Общо!N34</f>
        <v>0</v>
      </c>
      <c r="O31" s="271">
        <f>+Общо!O34</f>
        <v>0</v>
      </c>
      <c r="P31" s="271">
        <f>+Общо!P34</f>
        <v>0</v>
      </c>
      <c r="Q31" s="271">
        <f>+Общо!Q34</f>
        <v>0</v>
      </c>
      <c r="R31" s="271">
        <f>+Общо!R34</f>
        <v>0</v>
      </c>
      <c r="S31" s="271">
        <f>+Общо!S34</f>
        <v>0</v>
      </c>
      <c r="T31" s="271">
        <f>+Общо!T34</f>
        <v>0</v>
      </c>
      <c r="U31" s="271">
        <f>+Общо!U34</f>
        <v>0</v>
      </c>
      <c r="V31" s="271" t="e">
        <f>+Общо!#REF!</f>
        <v>#REF!</v>
      </c>
      <c r="W31" s="271">
        <f>+Общо!V34</f>
        <v>0</v>
      </c>
      <c r="X31" s="271">
        <f>+Общо!X34</f>
        <v>0</v>
      </c>
      <c r="Y31" s="272">
        <f>+Общо!Y34</f>
        <v>0</v>
      </c>
      <c r="Z31" s="273">
        <f>+Общо!Z34</f>
        <v>0</v>
      </c>
      <c r="AA31" s="269">
        <f>+Общо!AA34</f>
        <v>0</v>
      </c>
      <c r="AB31" s="272">
        <f>+Общо!AB34</f>
        <v>0</v>
      </c>
      <c r="AD31" s="278">
        <f>+Общо!AD34</f>
        <v>0</v>
      </c>
      <c r="AE31" s="278">
        <f>+Общо!AE34</f>
        <v>0</v>
      </c>
      <c r="AF31" s="278">
        <f>+Общо!AH34</f>
        <v>0</v>
      </c>
      <c r="AG31" s="279">
        <f>+Общо!AJ34</f>
        <v>0</v>
      </c>
      <c r="AH31" s="280">
        <f>+Общо!AK34</f>
        <v>0</v>
      </c>
      <c r="AJ31" s="281">
        <f>+Общо!AM34</f>
        <v>0</v>
      </c>
      <c r="AK31" s="282">
        <f>+Общо!AN34</f>
        <v>0</v>
      </c>
      <c r="AL31" s="283">
        <f>+Общо!AO34</f>
        <v>0</v>
      </c>
      <c r="AM31" s="284">
        <f>+Общо!AP34</f>
        <v>0</v>
      </c>
      <c r="AN31" s="285">
        <f>+Общо!AQ34</f>
        <v>0</v>
      </c>
      <c r="AO31" s="4"/>
      <c r="AP31" s="265">
        <f t="shared" si="1"/>
        <v>45654</v>
      </c>
      <c r="AQ31" s="289">
        <f>+Общо!AT34</f>
        <v>75.89</v>
      </c>
      <c r="AR31" s="289">
        <f>+Общо!AU34</f>
        <v>0</v>
      </c>
      <c r="AS31" s="268">
        <f>+Общо!AV34</f>
        <v>0</v>
      </c>
      <c r="AT31" s="289">
        <v>0</v>
      </c>
      <c r="AV31" s="265">
        <f t="shared" si="2"/>
        <v>45654</v>
      </c>
      <c r="AW31" s="289">
        <f>+Общо!AZ34</f>
        <v>0</v>
      </c>
      <c r="AX31" s="289">
        <f>+Общо!BA34</f>
        <v>0</v>
      </c>
      <c r="AY31" s="289">
        <v>0</v>
      </c>
      <c r="BA31" s="265">
        <f t="shared" si="3"/>
        <v>45654</v>
      </c>
      <c r="BB31" s="291">
        <f>+Общо!BE34</f>
        <v>0</v>
      </c>
      <c r="BC31" s="289">
        <f>+Общо!BF34</f>
        <v>0</v>
      </c>
      <c r="BD31" s="295">
        <f>+Общо!BG34</f>
        <v>0</v>
      </c>
      <c r="BF31" s="265">
        <f t="shared" si="4"/>
        <v>45654</v>
      </c>
      <c r="BG31" s="293">
        <f>+Общо!BJ34</f>
        <v>0</v>
      </c>
      <c r="BH31" s="293">
        <f>+Общо!BK34</f>
        <v>0</v>
      </c>
      <c r="BI31" s="293">
        <f>+Общо!BL34</f>
        <v>0</v>
      </c>
      <c r="BJ31" s="293">
        <f>+Общо!BM34</f>
        <v>0</v>
      </c>
      <c r="BK31" s="293">
        <f>+Общо!BN34</f>
        <v>0</v>
      </c>
      <c r="BL31" s="293">
        <f>+Общо!BO34</f>
        <v>0</v>
      </c>
      <c r="BM31" s="293">
        <f>+Общо!BP34</f>
        <v>0</v>
      </c>
      <c r="BN31" s="293">
        <f>+Общо!BQ34</f>
        <v>0</v>
      </c>
      <c r="BO31" s="294">
        <f>+Общо!BR34</f>
        <v>0</v>
      </c>
      <c r="BQ31" s="265">
        <f t="shared" si="5"/>
        <v>45654</v>
      </c>
      <c r="BR31" s="293">
        <f>+Общо!BU34</f>
        <v>0</v>
      </c>
      <c r="BS31" s="293">
        <f>+Общо!BV34</f>
        <v>0</v>
      </c>
      <c r="BT31" s="293">
        <f>+Общо!BW34</f>
        <v>0</v>
      </c>
      <c r="BU31" s="293">
        <f>+Общо!BX34</f>
        <v>0</v>
      </c>
      <c r="BV31" s="293">
        <f>+Общо!BY34</f>
        <v>0</v>
      </c>
      <c r="BW31" s="293">
        <f>+Общо!BZ34</f>
        <v>0</v>
      </c>
      <c r="BX31" s="293">
        <f>+Общо!CA34</f>
        <v>0</v>
      </c>
      <c r="BY31" s="293">
        <f>+Общо!CB34</f>
        <v>0</v>
      </c>
      <c r="BZ31" s="294">
        <f>+Общо!CC34</f>
        <v>0</v>
      </c>
      <c r="CB31" s="265">
        <f t="shared" si="6"/>
        <v>45654</v>
      </c>
      <c r="CC31" s="293">
        <f>+Общо!CF34</f>
        <v>0</v>
      </c>
      <c r="CD31" s="293">
        <f>+Общо!CG34</f>
        <v>0</v>
      </c>
      <c r="CE31" s="293">
        <f>+Общо!CH34</f>
        <v>0</v>
      </c>
      <c r="CF31" s="293">
        <f>+Общо!CI34</f>
        <v>0</v>
      </c>
      <c r="CG31" s="293">
        <f>+Общо!CJ34</f>
        <v>0</v>
      </c>
      <c r="CH31" s="293">
        <f>+Общо!CK34</f>
        <v>0</v>
      </c>
      <c r="CI31" s="293">
        <f>+Общо!CL34</f>
        <v>0</v>
      </c>
      <c r="CJ31" s="293">
        <f>+Общо!CM34</f>
        <v>0</v>
      </c>
      <c r="CK31" s="294">
        <f>+Общо!CN34</f>
        <v>0</v>
      </c>
    </row>
    <row r="32" spans="2:89" ht="15.75" thickBot="1" x14ac:dyDescent="0.3">
      <c r="B32" s="47">
        <f t="shared" si="0"/>
        <v>45655</v>
      </c>
      <c r="C32" s="269" t="e">
        <f>+Общо!#REF!</f>
        <v>#REF!</v>
      </c>
      <c r="D32" s="270" t="e">
        <f>+Общо!#REF!</f>
        <v>#REF!</v>
      </c>
      <c r="E32" s="270" t="e">
        <f>+Общо!#REF!</f>
        <v>#REF!</v>
      </c>
      <c r="F32" s="270" t="e">
        <f>+Общо!#REF!</f>
        <v>#REF!</v>
      </c>
      <c r="G32" s="271" t="e">
        <f>+Общо!#REF!</f>
        <v>#REF!</v>
      </c>
      <c r="H32" s="271" t="e">
        <f>+Общо!#REF!</f>
        <v>#REF!</v>
      </c>
      <c r="I32" s="271" t="e">
        <f>+Общо!#REF!</f>
        <v>#REF!</v>
      </c>
      <c r="J32" s="271" t="e">
        <f>+Общо!#REF!</f>
        <v>#REF!</v>
      </c>
      <c r="K32" s="271" t="e">
        <f>+Общо!#REF!</f>
        <v>#REF!</v>
      </c>
      <c r="L32" s="271" t="e">
        <f>+Общо!#REF!</f>
        <v>#REF!</v>
      </c>
      <c r="M32" s="271" t="e">
        <f>+Общо!#REF!</f>
        <v>#REF!</v>
      </c>
      <c r="N32" s="271" t="e">
        <f>+Общо!#REF!</f>
        <v>#REF!</v>
      </c>
      <c r="O32" s="271" t="e">
        <f>+Общо!#REF!</f>
        <v>#REF!</v>
      </c>
      <c r="P32" s="271" t="e">
        <f>+Общо!#REF!</f>
        <v>#REF!</v>
      </c>
      <c r="Q32" s="271" t="e">
        <f>+Общо!#REF!</f>
        <v>#REF!</v>
      </c>
      <c r="R32" s="271" t="e">
        <f>+Общо!#REF!</f>
        <v>#REF!</v>
      </c>
      <c r="S32" s="271" t="e">
        <f>+Общо!#REF!</f>
        <v>#REF!</v>
      </c>
      <c r="T32" s="271" t="e">
        <f>+Общо!#REF!</f>
        <v>#REF!</v>
      </c>
      <c r="U32" s="271" t="e">
        <f>+Общо!#REF!</f>
        <v>#REF!</v>
      </c>
      <c r="V32" s="271" t="e">
        <f>+Общо!#REF!</f>
        <v>#REF!</v>
      </c>
      <c r="W32" s="271" t="e">
        <f>+Общо!#REF!</f>
        <v>#REF!</v>
      </c>
      <c r="X32" s="271" t="e">
        <f>+Общо!#REF!</f>
        <v>#REF!</v>
      </c>
      <c r="Y32" s="272" t="e">
        <f>+Общо!#REF!</f>
        <v>#REF!</v>
      </c>
      <c r="Z32" s="273" t="e">
        <f>+Общо!#REF!</f>
        <v>#REF!</v>
      </c>
      <c r="AA32" s="269" t="e">
        <f>+Общо!#REF!</f>
        <v>#REF!</v>
      </c>
      <c r="AB32" s="272" t="e">
        <f>+Общо!#REF!</f>
        <v>#REF!</v>
      </c>
      <c r="AD32" s="278" t="e">
        <f>+Общо!#REF!</f>
        <v>#REF!</v>
      </c>
      <c r="AE32" s="278" t="e">
        <f>+Общо!#REF!</f>
        <v>#REF!</v>
      </c>
      <c r="AF32" s="278" t="e">
        <f>+Общо!#REF!</f>
        <v>#REF!</v>
      </c>
      <c r="AG32" s="279" t="e">
        <f>+Общо!#REF!</f>
        <v>#REF!</v>
      </c>
      <c r="AH32" s="280" t="e">
        <f>+Общо!#REF!</f>
        <v>#REF!</v>
      </c>
      <c r="AJ32" s="281" t="e">
        <f>+Общо!#REF!</f>
        <v>#REF!</v>
      </c>
      <c r="AK32" s="282" t="e">
        <f>+Общо!#REF!</f>
        <v>#REF!</v>
      </c>
      <c r="AL32" s="283" t="e">
        <f>+Общо!#REF!</f>
        <v>#REF!</v>
      </c>
      <c r="AM32" s="284" t="e">
        <f>+Общо!#REF!</f>
        <v>#REF!</v>
      </c>
      <c r="AN32" s="285" t="e">
        <f>+Общо!#REF!</f>
        <v>#REF!</v>
      </c>
      <c r="AO32" s="4"/>
      <c r="AP32" s="265">
        <f t="shared" si="1"/>
        <v>45655</v>
      </c>
      <c r="AQ32" s="289" t="e">
        <f>+Общо!#REF!</f>
        <v>#REF!</v>
      </c>
      <c r="AR32" s="289" t="e">
        <f>+Общо!#REF!</f>
        <v>#REF!</v>
      </c>
      <c r="AS32" s="268" t="e">
        <f>+Общо!#REF!</f>
        <v>#REF!</v>
      </c>
      <c r="AT32" s="289">
        <v>0</v>
      </c>
      <c r="AV32" s="265">
        <f t="shared" si="2"/>
        <v>45655</v>
      </c>
      <c r="AW32" s="289" t="e">
        <f>+Общо!#REF!</f>
        <v>#REF!</v>
      </c>
      <c r="AX32" s="289" t="e">
        <f>+Общо!#REF!</f>
        <v>#REF!</v>
      </c>
      <c r="AY32" s="289">
        <v>0</v>
      </c>
      <c r="BA32" s="265">
        <f t="shared" si="3"/>
        <v>45655</v>
      </c>
      <c r="BB32" s="291" t="e">
        <f>+Общо!#REF!</f>
        <v>#REF!</v>
      </c>
      <c r="BC32" s="289" t="e">
        <f>+Общо!#REF!</f>
        <v>#REF!</v>
      </c>
      <c r="BD32" s="295" t="e">
        <f>+Общо!#REF!</f>
        <v>#REF!</v>
      </c>
      <c r="BF32" s="265">
        <f t="shared" si="4"/>
        <v>45655</v>
      </c>
      <c r="BG32" s="293" t="e">
        <f>+Общо!#REF!</f>
        <v>#REF!</v>
      </c>
      <c r="BH32" s="293" t="e">
        <f>+Общо!#REF!</f>
        <v>#REF!</v>
      </c>
      <c r="BI32" s="293" t="e">
        <f>+Общо!#REF!</f>
        <v>#REF!</v>
      </c>
      <c r="BJ32" s="293" t="e">
        <f>+Общо!#REF!</f>
        <v>#REF!</v>
      </c>
      <c r="BK32" s="293" t="e">
        <f>+Общо!#REF!</f>
        <v>#REF!</v>
      </c>
      <c r="BL32" s="293" t="e">
        <f>+Общо!#REF!</f>
        <v>#REF!</v>
      </c>
      <c r="BM32" s="293" t="e">
        <f>+Общо!#REF!</f>
        <v>#REF!</v>
      </c>
      <c r="BN32" s="293" t="e">
        <f>+Общо!#REF!</f>
        <v>#REF!</v>
      </c>
      <c r="BO32" s="294" t="e">
        <f>+Общо!#REF!</f>
        <v>#REF!</v>
      </c>
      <c r="BQ32" s="265">
        <f t="shared" si="5"/>
        <v>45655</v>
      </c>
      <c r="BR32" s="293" t="e">
        <f>+Общо!#REF!</f>
        <v>#REF!</v>
      </c>
      <c r="BS32" s="293" t="e">
        <f>+Общо!#REF!</f>
        <v>#REF!</v>
      </c>
      <c r="BT32" s="293" t="e">
        <f>+Общо!#REF!</f>
        <v>#REF!</v>
      </c>
      <c r="BU32" s="293" t="e">
        <f>+Общо!#REF!</f>
        <v>#REF!</v>
      </c>
      <c r="BV32" s="293" t="e">
        <f>+Общо!#REF!</f>
        <v>#REF!</v>
      </c>
      <c r="BW32" s="293" t="e">
        <f>+Общо!#REF!</f>
        <v>#REF!</v>
      </c>
      <c r="BX32" s="293" t="e">
        <f>+Общо!#REF!</f>
        <v>#REF!</v>
      </c>
      <c r="BY32" s="293" t="e">
        <f>+Общо!#REF!</f>
        <v>#REF!</v>
      </c>
      <c r="BZ32" s="294" t="e">
        <f>+Общо!#REF!</f>
        <v>#REF!</v>
      </c>
      <c r="CB32" s="265">
        <f t="shared" si="6"/>
        <v>45655</v>
      </c>
      <c r="CC32" s="293" t="e">
        <f>+Общо!#REF!</f>
        <v>#REF!</v>
      </c>
      <c r="CD32" s="293" t="e">
        <f>+Общо!#REF!</f>
        <v>#REF!</v>
      </c>
      <c r="CE32" s="293" t="e">
        <f>+Общо!#REF!</f>
        <v>#REF!</v>
      </c>
      <c r="CF32" s="293" t="e">
        <f>+Общо!#REF!</f>
        <v>#REF!</v>
      </c>
      <c r="CG32" s="293" t="e">
        <f>+Общо!#REF!</f>
        <v>#REF!</v>
      </c>
      <c r="CH32" s="293" t="e">
        <f>+Общо!#REF!</f>
        <v>#REF!</v>
      </c>
      <c r="CI32" s="293" t="e">
        <f>+Общо!#REF!</f>
        <v>#REF!</v>
      </c>
      <c r="CJ32" s="293" t="e">
        <f>+Общо!#REF!</f>
        <v>#REF!</v>
      </c>
      <c r="CK32" s="294" t="e">
        <f>+Общо!#REF!</f>
        <v>#REF!</v>
      </c>
    </row>
    <row r="33" spans="2:40" ht="15.75" thickBot="1" x14ac:dyDescent="0.3">
      <c r="B33" s="71" t="s">
        <v>0</v>
      </c>
      <c r="C33" s="274">
        <f>+Общо!C35</f>
        <v>876.68200000000002</v>
      </c>
      <c r="D33" s="275">
        <f>+Общо!D35</f>
        <v>911.97399999999971</v>
      </c>
      <c r="E33" s="275">
        <f>+Общо!E35</f>
        <v>531.91200000000003</v>
      </c>
      <c r="F33" s="275">
        <f>+Общо!F35</f>
        <v>1070.8599999999999</v>
      </c>
      <c r="G33" s="275">
        <f>+Общо!G35</f>
        <v>2542.1470000000004</v>
      </c>
      <c r="H33" s="276">
        <f>+Общо!H35</f>
        <v>48.853000000000002</v>
      </c>
      <c r="I33" s="276">
        <f>+Общо!I35</f>
        <v>91.12800481543897</v>
      </c>
      <c r="J33" s="276">
        <f>+Общо!J35</f>
        <v>295.21999999999997</v>
      </c>
      <c r="K33" s="276">
        <f>+Общо!K35</f>
        <v>274.089</v>
      </c>
      <c r="L33" s="276">
        <f>+Общо!L35</f>
        <v>11.75200000000001</v>
      </c>
      <c r="M33" s="276">
        <f>+Общо!M35</f>
        <v>5.7180000000000026</v>
      </c>
      <c r="N33" s="276">
        <f>+Общо!N35</f>
        <v>26.477</v>
      </c>
      <c r="O33" s="276">
        <f>+Общо!O35</f>
        <v>23.231000000000002</v>
      </c>
      <c r="P33" s="276">
        <f>+Общо!P35</f>
        <v>17.638999999999999</v>
      </c>
      <c r="Q33" s="276">
        <f>+Общо!Q35</f>
        <v>179.60900000000001</v>
      </c>
      <c r="R33" s="276">
        <f>+Общо!R35</f>
        <v>431.27500000000003</v>
      </c>
      <c r="S33" s="276">
        <f>+Общо!S35</f>
        <v>969.29099999999994</v>
      </c>
      <c r="T33" s="276">
        <f>+Общо!T35</f>
        <v>38.391995184561026</v>
      </c>
      <c r="U33" s="276">
        <f>+Общо!U35</f>
        <v>0</v>
      </c>
      <c r="V33" s="276" t="e">
        <f>+Общо!#REF!</f>
        <v>#REF!</v>
      </c>
      <c r="W33" s="276">
        <f>+Общо!V35</f>
        <v>20500</v>
      </c>
      <c r="X33" s="276">
        <f>+Общо!X35</f>
        <v>0</v>
      </c>
      <c r="Y33" s="276">
        <f>+Общо!Y35</f>
        <v>509.22800000000001</v>
      </c>
      <c r="Z33" s="277">
        <f>+Общо!Z35</f>
        <v>1200</v>
      </c>
      <c r="AA33" s="277">
        <f>+Общо!AA35</f>
        <v>53.171000000031199</v>
      </c>
      <c r="AB33" s="277">
        <f>+Общо!AB35</f>
        <v>0</v>
      </c>
      <c r="AD33" s="274">
        <f>+Общо!AD35</f>
        <v>0</v>
      </c>
      <c r="AE33" s="274">
        <f>+Общо!AE35</f>
        <v>232.25599999999994</v>
      </c>
      <c r="AF33" s="274">
        <f>+Общо!AH35</f>
        <v>73929.392000000007</v>
      </c>
      <c r="AG33" s="275">
        <f>+Общо!AJ35</f>
        <v>19647</v>
      </c>
      <c r="AH33" s="276">
        <f>+Общо!AK35</f>
        <v>93808.64800000003</v>
      </c>
      <c r="AJ33" s="286">
        <f>+Общо!AM35</f>
        <v>712066.14233099925</v>
      </c>
      <c r="AK33" s="286">
        <f>+Общо!AN35</f>
        <v>62254.400000000016</v>
      </c>
      <c r="AL33" s="287">
        <f>+Общо!AO35</f>
        <v>649811.74233099935</v>
      </c>
      <c r="AM33" s="288">
        <f>+Общо!AP35</f>
        <v>0</v>
      </c>
      <c r="AN33" s="287">
        <f>+Общо!AQ35</f>
        <v>649811.74233099935</v>
      </c>
    </row>
    <row r="34" spans="2:40" x14ac:dyDescent="0.25">
      <c r="Z34" s="16"/>
      <c r="AA34" s="16"/>
      <c r="AB34" s="51"/>
      <c r="AK34" s="4"/>
      <c r="AL34" s="4"/>
      <c r="AM34" s="4"/>
      <c r="AN34" s="4"/>
    </row>
    <row r="35" spans="2:40" s="4" customFormat="1" x14ac:dyDescent="0.25"/>
    <row r="36" spans="2:40" s="4" customFormat="1" x14ac:dyDescent="0.25"/>
    <row r="37" spans="2:40" s="4" customFormat="1" x14ac:dyDescent="0.25"/>
    <row r="38" spans="2:40" s="4" customFormat="1" ht="28.9" customHeight="1" x14ac:dyDescent="0.25"/>
    <row r="39" spans="2:40" s="4" customFormat="1" x14ac:dyDescent="0.25"/>
    <row r="40" spans="2:40" s="4" customFormat="1" x14ac:dyDescent="0.25"/>
    <row r="41" spans="2:40" s="4" customFormat="1" x14ac:dyDescent="0.25"/>
    <row r="42" spans="2:40" x14ac:dyDescent="0.25"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40" x14ac:dyDescent="0.25">
      <c r="C43" s="230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40" x14ac:dyDescent="0.25">
      <c r="C44" s="1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40" x14ac:dyDescent="0.25">
      <c r="C45" s="1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40" x14ac:dyDescent="0.25"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2:40" x14ac:dyDescent="0.25"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40" x14ac:dyDescent="0.25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7:18" x14ac:dyDescent="0.25"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7:18" x14ac:dyDescent="0.25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7:18" x14ac:dyDescent="0.25"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7:18" x14ac:dyDescent="0.25"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7:18" x14ac:dyDescent="0.25"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7:18" x14ac:dyDescent="0.25"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7:18" x14ac:dyDescent="0.25"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7:18" x14ac:dyDescent="0.25"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7:18" x14ac:dyDescent="0.25"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7:18" x14ac:dyDescent="0.25"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</sheetData>
  <mergeCells count="10">
    <mergeCell ref="BA2:BD2"/>
    <mergeCell ref="BF2:BO2"/>
    <mergeCell ref="BQ2:BZ2"/>
    <mergeCell ref="CB2:CK2"/>
    <mergeCell ref="C2:Y2"/>
    <mergeCell ref="AA2:AB2"/>
    <mergeCell ref="AD2:AH2"/>
    <mergeCell ref="AJ2:AN2"/>
    <mergeCell ref="AP2:AT2"/>
    <mergeCell ref="AV2:AY2"/>
  </mergeCells>
  <pageMargins left="0.23622047244094491" right="0.23622047244094491" top="0.74803149606299213" bottom="0.74803149606299213" header="0.31496062992125984" footer="0.31496062992125984"/>
  <pageSetup paperSize="9" scale="50" fitToHeight="3" orientation="landscape" r:id="rId1"/>
  <colBreaks count="2" manualBreakCount="2">
    <brk id="28" max="1048575" man="1"/>
    <brk id="56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59999389629810485"/>
  </sheetPr>
  <dimension ref="B1:V35"/>
  <sheetViews>
    <sheetView topLeftCell="A3" zoomScale="70" zoomScaleNormal="70" workbookViewId="0">
      <selection activeCell="E4" sqref="E4:E34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8" width="15.42578125" style="1" bestFit="1" customWidth="1"/>
    <col min="9" max="9" width="13" style="1" customWidth="1"/>
    <col min="10" max="10" width="17.5703125" style="69" customWidth="1"/>
    <col min="11" max="11" width="13.28515625" style="1" customWidth="1"/>
    <col min="12" max="12" width="17.42578125" style="1" customWidth="1"/>
    <col min="13" max="13" width="19.140625" style="1" bestFit="1" customWidth="1"/>
    <col min="14" max="14" width="12.5703125" style="1" bestFit="1" customWidth="1"/>
    <col min="15" max="16384" width="8.85546875" style="1"/>
  </cols>
  <sheetData>
    <row r="1" spans="2:14" ht="58.5" thickBot="1" x14ac:dyDescent="0.3">
      <c r="H1" s="81" t="s">
        <v>101</v>
      </c>
      <c r="I1" s="78"/>
      <c r="J1" s="78"/>
      <c r="L1" s="653" t="s">
        <v>28</v>
      </c>
      <c r="M1" s="653"/>
    </row>
    <row r="2" spans="2:14" ht="15.75" thickBot="1" x14ac:dyDescent="0.3">
      <c r="B2" s="661" t="s">
        <v>130</v>
      </c>
      <c r="C2" s="662"/>
      <c r="D2" s="662"/>
      <c r="E2" s="662"/>
      <c r="F2" s="662"/>
      <c r="G2" s="663"/>
      <c r="H2" s="664" t="s">
        <v>70</v>
      </c>
      <c r="I2" s="652"/>
      <c r="J2" s="665"/>
      <c r="L2" s="2" t="s">
        <v>99</v>
      </c>
      <c r="M2" s="2" t="s">
        <v>80</v>
      </c>
      <c r="N2" s="1" t="s">
        <v>111</v>
      </c>
    </row>
    <row r="3" spans="2:14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26" t="s">
        <v>64</v>
      </c>
      <c r="I3" s="81" t="s">
        <v>104</v>
      </c>
      <c r="J3" s="35" t="s">
        <v>71</v>
      </c>
      <c r="K3" s="69"/>
      <c r="L3" s="109"/>
      <c r="M3" s="109"/>
      <c r="N3" s="109"/>
    </row>
    <row r="4" spans="2:14" x14ac:dyDescent="0.25">
      <c r="B4" s="47">
        <v>45566</v>
      </c>
      <c r="C4" s="22"/>
      <c r="D4" s="22"/>
      <c r="E4" s="22">
        <f>+Плевен!E4</f>
        <v>0</v>
      </c>
      <c r="F4" s="21"/>
      <c r="G4" s="48"/>
      <c r="H4" s="57"/>
      <c r="I4" s="76"/>
      <c r="J4" s="73"/>
      <c r="K4" s="121"/>
    </row>
    <row r="5" spans="2:14" x14ac:dyDescent="0.25">
      <c r="B5" s="47">
        <f>+B4+1</f>
        <v>45567</v>
      </c>
      <c r="C5" s="22"/>
      <c r="D5" s="22"/>
      <c r="E5" s="22">
        <f>+Плевен!E5</f>
        <v>0.14000000000000001</v>
      </c>
      <c r="F5" s="21"/>
      <c r="G5" s="48"/>
      <c r="H5" s="57"/>
      <c r="I5" s="76"/>
      <c r="J5" s="73"/>
      <c r="K5" s="121"/>
    </row>
    <row r="6" spans="2:14" x14ac:dyDescent="0.25">
      <c r="B6" s="47">
        <f t="shared" ref="B6:B33" si="0">+B5+1</f>
        <v>45568</v>
      </c>
      <c r="C6" s="22"/>
      <c r="D6" s="22"/>
      <c r="E6" s="22">
        <f>+Плевен!E6</f>
        <v>3.2370000000000001</v>
      </c>
      <c r="F6" s="21"/>
      <c r="G6" s="48"/>
      <c r="H6" s="57"/>
      <c r="I6" s="76"/>
      <c r="J6" s="73"/>
      <c r="K6" s="121"/>
    </row>
    <row r="7" spans="2:14" x14ac:dyDescent="0.25">
      <c r="B7" s="47">
        <f t="shared" si="0"/>
        <v>45569</v>
      </c>
      <c r="C7" s="22"/>
      <c r="D7" s="22"/>
      <c r="E7" s="22">
        <f>+Плевен!E7</f>
        <v>2.3980000000000001</v>
      </c>
      <c r="F7" s="21"/>
      <c r="G7" s="48"/>
      <c r="H7" s="57"/>
      <c r="I7" s="76"/>
      <c r="J7" s="73"/>
      <c r="K7" s="121"/>
    </row>
    <row r="8" spans="2:14" x14ac:dyDescent="0.25">
      <c r="B8" s="47">
        <f t="shared" si="0"/>
        <v>45570</v>
      </c>
      <c r="C8" s="22"/>
      <c r="D8" s="22"/>
      <c r="E8" s="22">
        <f>+Плевен!E8</f>
        <v>1.3979999999999999</v>
      </c>
      <c r="F8" s="21"/>
      <c r="G8" s="53"/>
      <c r="H8" s="57"/>
      <c r="I8" s="76"/>
      <c r="J8" s="73"/>
      <c r="K8" s="121"/>
    </row>
    <row r="9" spans="2:14" x14ac:dyDescent="0.25">
      <c r="B9" s="47">
        <f t="shared" si="0"/>
        <v>45571</v>
      </c>
      <c r="C9" s="22"/>
      <c r="D9" s="22"/>
      <c r="E9" s="22">
        <f>+Плевен!E9</f>
        <v>0</v>
      </c>
      <c r="F9" s="21"/>
      <c r="G9" s="53"/>
      <c r="H9" s="57"/>
      <c r="I9" s="76"/>
      <c r="J9" s="73"/>
      <c r="K9" s="121"/>
    </row>
    <row r="10" spans="2:14" x14ac:dyDescent="0.25">
      <c r="B10" s="47">
        <f t="shared" si="0"/>
        <v>45572</v>
      </c>
      <c r="C10" s="22"/>
      <c r="D10" s="22"/>
      <c r="E10" s="22">
        <f>+Плевен!E10</f>
        <v>0</v>
      </c>
      <c r="F10" s="21"/>
      <c r="G10" s="54"/>
      <c r="H10" s="57"/>
      <c r="I10" s="76"/>
      <c r="J10" s="73"/>
      <c r="K10" s="121"/>
    </row>
    <row r="11" spans="2:14" x14ac:dyDescent="0.25">
      <c r="B11" s="47">
        <f t="shared" si="0"/>
        <v>45573</v>
      </c>
      <c r="C11" s="22"/>
      <c r="D11" s="22"/>
      <c r="E11" s="22">
        <f>+Плевен!E11</f>
        <v>0</v>
      </c>
      <c r="F11" s="21"/>
      <c r="G11" s="55"/>
      <c r="H11" s="57"/>
      <c r="I11" s="76"/>
      <c r="J11" s="73"/>
      <c r="K11" s="121"/>
    </row>
    <row r="12" spans="2:14" x14ac:dyDescent="0.25">
      <c r="B12" s="47">
        <f t="shared" si="0"/>
        <v>45574</v>
      </c>
      <c r="C12" s="22"/>
      <c r="D12" s="22"/>
      <c r="E12" s="22">
        <f>+Плевен!E12</f>
        <v>3.2589999999999999</v>
      </c>
      <c r="F12" s="21"/>
      <c r="G12" s="54"/>
      <c r="H12" s="57"/>
      <c r="I12" s="76"/>
      <c r="J12" s="73"/>
      <c r="K12" s="121"/>
    </row>
    <row r="13" spans="2:14" x14ac:dyDescent="0.25">
      <c r="B13" s="47">
        <f t="shared" si="0"/>
        <v>45575</v>
      </c>
      <c r="C13" s="22"/>
      <c r="D13" s="22"/>
      <c r="E13" s="22">
        <f>+Плевен!E13</f>
        <v>1.7529999999999999</v>
      </c>
      <c r="F13" s="21"/>
      <c r="G13" s="56"/>
      <c r="H13" s="57"/>
      <c r="I13" s="76"/>
      <c r="J13" s="73"/>
      <c r="K13" s="121"/>
    </row>
    <row r="14" spans="2:14" x14ac:dyDescent="0.25">
      <c r="B14" s="47">
        <f t="shared" si="0"/>
        <v>45576</v>
      </c>
      <c r="C14" s="22"/>
      <c r="D14" s="22"/>
      <c r="E14" s="22">
        <f>+Плевен!E14</f>
        <v>2.7530000000000001</v>
      </c>
      <c r="F14" s="21"/>
      <c r="G14" s="54"/>
      <c r="H14" s="57"/>
      <c r="I14" s="76"/>
      <c r="J14" s="73"/>
      <c r="K14" s="121"/>
    </row>
    <row r="15" spans="2:14" x14ac:dyDescent="0.25">
      <c r="B15" s="47">
        <f t="shared" si="0"/>
        <v>45577</v>
      </c>
      <c r="C15" s="22"/>
      <c r="D15" s="22"/>
      <c r="E15" s="22">
        <f>+Плевен!E15</f>
        <v>0.26900000000000002</v>
      </c>
      <c r="F15" s="21"/>
      <c r="G15" s="54"/>
      <c r="H15" s="57"/>
      <c r="I15" s="76"/>
      <c r="J15" s="73"/>
      <c r="K15" s="121"/>
    </row>
    <row r="16" spans="2:14" x14ac:dyDescent="0.25">
      <c r="B16" s="47">
        <f t="shared" si="0"/>
        <v>45578</v>
      </c>
      <c r="C16" s="22"/>
      <c r="D16" s="22"/>
      <c r="E16" s="22">
        <f>+Плевен!E16</f>
        <v>4.3019999999999996</v>
      </c>
      <c r="F16" s="21"/>
      <c r="G16" s="54"/>
      <c r="H16" s="57"/>
      <c r="I16" s="76"/>
      <c r="J16" s="73"/>
      <c r="K16" s="121"/>
    </row>
    <row r="17" spans="2:22" x14ac:dyDescent="0.25">
      <c r="B17" s="47">
        <f t="shared" si="0"/>
        <v>45579</v>
      </c>
      <c r="C17" s="22"/>
      <c r="D17" s="22"/>
      <c r="E17" s="22">
        <f>+Плевен!E17</f>
        <v>3.4420000000000002</v>
      </c>
      <c r="F17" s="21"/>
      <c r="G17" s="54"/>
      <c r="H17" s="57"/>
      <c r="I17" s="76"/>
      <c r="J17" s="73"/>
      <c r="K17" s="121"/>
    </row>
    <row r="18" spans="2:22" x14ac:dyDescent="0.25">
      <c r="B18" s="47">
        <f t="shared" si="0"/>
        <v>45580</v>
      </c>
      <c r="C18" s="22"/>
      <c r="D18" s="22"/>
      <c r="E18" s="22">
        <f>+Плевен!E18</f>
        <v>0</v>
      </c>
      <c r="F18" s="21"/>
      <c r="G18" s="54"/>
      <c r="H18" s="57"/>
      <c r="I18" s="76"/>
      <c r="J18" s="73"/>
      <c r="K18" s="121"/>
    </row>
    <row r="19" spans="2:22" x14ac:dyDescent="0.25">
      <c r="B19" s="47">
        <f t="shared" si="0"/>
        <v>45581</v>
      </c>
      <c r="C19" s="22"/>
      <c r="D19" s="22"/>
      <c r="E19" s="22">
        <f>+Плевен!E19</f>
        <v>0.28000000000000003</v>
      </c>
      <c r="F19" s="21"/>
      <c r="G19" s="54"/>
      <c r="H19" s="57"/>
      <c r="I19" s="76"/>
      <c r="J19" s="73"/>
      <c r="K19" s="121"/>
    </row>
    <row r="20" spans="2:22" x14ac:dyDescent="0.25">
      <c r="B20" s="47">
        <f t="shared" si="0"/>
        <v>45582</v>
      </c>
      <c r="C20" s="22"/>
      <c r="D20" s="22"/>
      <c r="E20" s="22">
        <f>+Плевен!E20</f>
        <v>0</v>
      </c>
      <c r="F20" s="21"/>
      <c r="G20" s="54"/>
      <c r="H20" s="57"/>
      <c r="I20" s="76"/>
      <c r="J20" s="73"/>
      <c r="K20" s="121"/>
    </row>
    <row r="21" spans="2:22" x14ac:dyDescent="0.25">
      <c r="B21" s="47">
        <f t="shared" si="0"/>
        <v>45583</v>
      </c>
      <c r="C21" s="22"/>
      <c r="D21" s="22"/>
      <c r="E21" s="22">
        <f>+Плевен!E21</f>
        <v>0</v>
      </c>
      <c r="F21" s="21"/>
      <c r="G21" s="54"/>
      <c r="H21" s="57"/>
      <c r="I21" s="76"/>
      <c r="J21" s="73"/>
      <c r="K21" s="121"/>
    </row>
    <row r="22" spans="2:22" x14ac:dyDescent="0.25">
      <c r="B22" s="47">
        <f t="shared" si="0"/>
        <v>45584</v>
      </c>
      <c r="C22" s="22"/>
      <c r="D22" s="22"/>
      <c r="E22" s="22">
        <f>+Плевен!E22</f>
        <v>0</v>
      </c>
      <c r="F22" s="21"/>
      <c r="G22" s="54"/>
      <c r="H22" s="57"/>
      <c r="I22" s="76"/>
      <c r="J22" s="73"/>
      <c r="K22" s="121"/>
    </row>
    <row r="23" spans="2:22" x14ac:dyDescent="0.25">
      <c r="B23" s="47">
        <f t="shared" si="0"/>
        <v>45585</v>
      </c>
      <c r="C23" s="22"/>
      <c r="D23" s="22"/>
      <c r="E23" s="22">
        <f>+Плевен!E23</f>
        <v>0</v>
      </c>
      <c r="F23" s="21"/>
      <c r="G23" s="54"/>
      <c r="H23" s="57"/>
      <c r="I23" s="76"/>
      <c r="J23" s="73"/>
      <c r="K23" s="121"/>
    </row>
    <row r="24" spans="2:22" x14ac:dyDescent="0.25">
      <c r="B24" s="47">
        <f t="shared" si="0"/>
        <v>45586</v>
      </c>
      <c r="C24" s="22"/>
      <c r="D24" s="22"/>
      <c r="E24" s="22">
        <f>+Плевен!E24</f>
        <v>0</v>
      </c>
      <c r="F24" s="21"/>
      <c r="G24" s="54"/>
      <c r="H24" s="57"/>
      <c r="I24" s="76"/>
      <c r="J24" s="73"/>
      <c r="K24" s="121"/>
    </row>
    <row r="25" spans="2:22" x14ac:dyDescent="0.25">
      <c r="B25" s="47">
        <f t="shared" si="0"/>
        <v>45587</v>
      </c>
      <c r="C25" s="22"/>
      <c r="D25" s="22"/>
      <c r="E25" s="22">
        <f>+Плевен!E25</f>
        <v>0</v>
      </c>
      <c r="F25" s="21"/>
      <c r="G25" s="56"/>
      <c r="H25" s="57"/>
      <c r="I25" s="76"/>
      <c r="J25" s="73"/>
      <c r="K25" s="121"/>
    </row>
    <row r="26" spans="2:22" x14ac:dyDescent="0.25">
      <c r="B26" s="47">
        <f t="shared" si="0"/>
        <v>45588</v>
      </c>
      <c r="C26" s="22"/>
      <c r="D26" s="22"/>
      <c r="E26" s="22">
        <f>+Плевен!E26</f>
        <v>0</v>
      </c>
      <c r="F26" s="21"/>
      <c r="G26" s="54"/>
      <c r="H26" s="57"/>
      <c r="I26" s="76"/>
      <c r="J26" s="73"/>
      <c r="K26" s="121"/>
    </row>
    <row r="27" spans="2:22" x14ac:dyDescent="0.25">
      <c r="B27" s="47">
        <f t="shared" si="0"/>
        <v>45589</v>
      </c>
      <c r="C27" s="22"/>
      <c r="D27" s="22"/>
      <c r="E27" s="22">
        <f>+Плевен!E27</f>
        <v>0</v>
      </c>
      <c r="F27" s="21"/>
      <c r="G27" s="54"/>
      <c r="H27" s="57"/>
      <c r="I27" s="76"/>
      <c r="J27" s="73"/>
      <c r="K27" s="121"/>
    </row>
    <row r="28" spans="2:22" x14ac:dyDescent="0.25">
      <c r="B28" s="47">
        <f t="shared" si="0"/>
        <v>45590</v>
      </c>
      <c r="C28" s="22"/>
      <c r="D28" s="22"/>
      <c r="E28" s="22">
        <f>+Плевен!E28</f>
        <v>0</v>
      </c>
      <c r="F28" s="21"/>
      <c r="G28" s="54"/>
      <c r="H28" s="57"/>
      <c r="I28" s="76"/>
      <c r="J28" s="73"/>
      <c r="K28" s="121"/>
    </row>
    <row r="29" spans="2:22" x14ac:dyDescent="0.25">
      <c r="B29" s="47">
        <f t="shared" si="0"/>
        <v>45591</v>
      </c>
      <c r="C29" s="22"/>
      <c r="D29" s="22"/>
      <c r="E29" s="22">
        <f>+Плевен!E29</f>
        <v>0</v>
      </c>
      <c r="F29" s="21"/>
      <c r="G29" s="54"/>
      <c r="H29" s="57"/>
      <c r="I29" s="76"/>
      <c r="J29" s="73"/>
      <c r="K29" s="121"/>
    </row>
    <row r="30" spans="2:22" x14ac:dyDescent="0.25">
      <c r="B30" s="47">
        <f t="shared" si="0"/>
        <v>45592</v>
      </c>
      <c r="C30" s="22"/>
      <c r="D30" s="22"/>
      <c r="E30" s="22">
        <f>+Плевен!E30</f>
        <v>0</v>
      </c>
      <c r="F30" s="21"/>
      <c r="G30" s="54"/>
      <c r="H30" s="57"/>
      <c r="I30" s="76"/>
      <c r="J30" s="73"/>
      <c r="K30" s="121"/>
      <c r="V30" s="1" t="s">
        <v>73</v>
      </c>
    </row>
    <row r="31" spans="2:22" x14ac:dyDescent="0.25">
      <c r="B31" s="47">
        <f t="shared" si="0"/>
        <v>45593</v>
      </c>
      <c r="C31" s="22"/>
      <c r="D31" s="22"/>
      <c r="E31" s="22">
        <f>+Плевен!E31</f>
        <v>0</v>
      </c>
      <c r="F31" s="21"/>
      <c r="G31" s="54"/>
      <c r="H31" s="57"/>
      <c r="I31" s="76"/>
      <c r="J31" s="73"/>
      <c r="K31" s="121"/>
    </row>
    <row r="32" spans="2:22" x14ac:dyDescent="0.25">
      <c r="B32" s="47">
        <f t="shared" si="0"/>
        <v>45594</v>
      </c>
      <c r="C32" s="22"/>
      <c r="D32" s="22"/>
      <c r="E32" s="22">
        <f>+Плевен!E32</f>
        <v>0</v>
      </c>
      <c r="F32" s="21"/>
      <c r="G32" s="54"/>
      <c r="H32" s="57"/>
      <c r="I32" s="76"/>
      <c r="J32" s="73"/>
      <c r="K32" s="121"/>
    </row>
    <row r="33" spans="2:11" x14ac:dyDescent="0.25">
      <c r="B33" s="47">
        <f t="shared" si="0"/>
        <v>45595</v>
      </c>
      <c r="C33" s="22"/>
      <c r="D33" s="22"/>
      <c r="E33" s="22">
        <f>+Плевен!E33</f>
        <v>0</v>
      </c>
      <c r="F33" s="21"/>
      <c r="G33" s="54"/>
      <c r="H33" s="57"/>
      <c r="I33" s="76"/>
      <c r="J33" s="73"/>
      <c r="K33" s="121"/>
    </row>
    <row r="34" spans="2:11" x14ac:dyDescent="0.25">
      <c r="B34" s="47">
        <f>+B33+1</f>
        <v>45596</v>
      </c>
      <c r="C34" s="22"/>
      <c r="D34" s="22"/>
      <c r="E34" s="22">
        <f>+Плевен!E34</f>
        <v>0</v>
      </c>
      <c r="F34" s="7"/>
      <c r="G34" s="54"/>
      <c r="H34" s="57"/>
      <c r="I34" s="76"/>
      <c r="J34" s="73"/>
      <c r="K34" s="121"/>
    </row>
    <row r="35" spans="2:11" x14ac:dyDescent="0.25">
      <c r="E35" s="16">
        <f>SUM(E4:E34)</f>
        <v>23.231000000000002</v>
      </c>
      <c r="F35" s="16"/>
      <c r="G35" s="18">
        <f>SUM(G4:G34)</f>
        <v>0</v>
      </c>
      <c r="H35" s="18">
        <f>SUM(H4:H34)</f>
        <v>0</v>
      </c>
      <c r="I35" s="18">
        <f>SUM(I4:I34)</f>
        <v>0</v>
      </c>
      <c r="K35" s="18"/>
    </row>
  </sheetData>
  <mergeCells count="3">
    <mergeCell ref="L1:M1"/>
    <mergeCell ref="B2:G2"/>
    <mergeCell ref="H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Z41"/>
  <sheetViews>
    <sheetView topLeftCell="C1" zoomScale="70" zoomScaleNormal="70" workbookViewId="0">
      <selection activeCell="O20" sqref="O20"/>
    </sheetView>
  </sheetViews>
  <sheetFormatPr defaultColWidth="8.85546875" defaultRowHeight="15" x14ac:dyDescent="0.25"/>
  <cols>
    <col min="1" max="1" width="8.85546875" style="1"/>
    <col min="2" max="2" width="12.42578125" style="1" bestFit="1" customWidth="1"/>
    <col min="3" max="3" width="10.85546875" style="1" customWidth="1"/>
    <col min="4" max="4" width="15.85546875" style="1" customWidth="1"/>
    <col min="5" max="5" width="13.5703125" style="1" customWidth="1"/>
    <col min="6" max="6" width="11" style="1" customWidth="1"/>
    <col min="7" max="7" width="12.7109375" style="1" customWidth="1"/>
    <col min="8" max="8" width="13.28515625" style="1" bestFit="1" customWidth="1"/>
    <col min="9" max="9" width="10" style="1" customWidth="1"/>
    <col min="10" max="10" width="11.42578125" style="1" bestFit="1" customWidth="1"/>
    <col min="11" max="11" width="11.28515625" style="150" bestFit="1" customWidth="1"/>
    <col min="12" max="12" width="10.140625" style="1" bestFit="1" customWidth="1"/>
    <col min="13" max="13" width="15.140625" style="1" bestFit="1" customWidth="1"/>
    <col min="14" max="14" width="15.42578125" style="1" bestFit="1" customWidth="1"/>
    <col min="15" max="15" width="15.42578125" style="1" customWidth="1"/>
    <col min="16" max="16" width="13" style="1" customWidth="1"/>
    <col min="17" max="18" width="17.5703125" style="69" customWidth="1"/>
    <col min="19" max="19" width="11.140625" style="120" customWidth="1"/>
    <col min="20" max="20" width="14.5703125" style="1" customWidth="1"/>
    <col min="21" max="21" width="19.140625" style="1" customWidth="1"/>
    <col min="22" max="22" width="10.140625" style="225" bestFit="1" customWidth="1"/>
    <col min="23" max="24" width="8.85546875" style="1"/>
    <col min="25" max="26" width="8.85546875" style="249"/>
    <col min="27" max="16384" width="8.85546875" style="1"/>
  </cols>
  <sheetData>
    <row r="1" spans="1:26" ht="15.75" thickBot="1" x14ac:dyDescent="0.3">
      <c r="A1" s="1" t="s">
        <v>81</v>
      </c>
      <c r="J1" s="16"/>
      <c r="N1" s="77"/>
      <c r="O1" s="77"/>
      <c r="P1" s="78"/>
      <c r="Q1" s="78"/>
      <c r="R1" s="13"/>
      <c r="T1" s="653" t="s">
        <v>28</v>
      </c>
      <c r="U1" s="653"/>
    </row>
    <row r="2" spans="1:26" ht="31.15" customHeight="1" x14ac:dyDescent="0.25">
      <c r="B2" s="649" t="s">
        <v>14</v>
      </c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1"/>
      <c r="N2" s="652" t="s">
        <v>83</v>
      </c>
      <c r="O2" s="652"/>
      <c r="P2" s="652"/>
      <c r="Q2" s="652"/>
      <c r="R2" s="13"/>
      <c r="T2" s="2" t="s">
        <v>99</v>
      </c>
      <c r="U2" s="2" t="s">
        <v>111</v>
      </c>
      <c r="V2" s="2" t="s">
        <v>80</v>
      </c>
    </row>
    <row r="3" spans="1:26" s="218" customFormat="1" ht="39.6" customHeight="1" thickBot="1" x14ac:dyDescent="0.3">
      <c r="B3" s="219" t="s">
        <v>8</v>
      </c>
      <c r="C3" s="220" t="s">
        <v>21</v>
      </c>
      <c r="D3" s="221" t="s">
        <v>22</v>
      </c>
      <c r="E3" s="221" t="s">
        <v>23</v>
      </c>
      <c r="F3" s="221" t="s">
        <v>24</v>
      </c>
      <c r="G3" s="221" t="s">
        <v>25</v>
      </c>
      <c r="H3" s="221" t="s">
        <v>18</v>
      </c>
      <c r="I3" s="221" t="s">
        <v>20</v>
      </c>
      <c r="J3" s="221" t="s">
        <v>26</v>
      </c>
      <c r="K3" s="222" t="s">
        <v>6</v>
      </c>
      <c r="L3" s="221" t="s">
        <v>128</v>
      </c>
      <c r="M3" s="223" t="s">
        <v>55</v>
      </c>
      <c r="N3" s="119" t="s">
        <v>136</v>
      </c>
      <c r="O3" s="119" t="s">
        <v>137</v>
      </c>
      <c r="P3" s="77" t="s">
        <v>102</v>
      </c>
      <c r="Q3" s="77" t="s">
        <v>82</v>
      </c>
      <c r="R3" s="77" t="s">
        <v>103</v>
      </c>
      <c r="S3" s="224"/>
      <c r="T3" s="244"/>
      <c r="U3" s="244"/>
      <c r="V3" s="244">
        <v>155</v>
      </c>
      <c r="Y3" s="250"/>
      <c r="Z3" s="250"/>
    </row>
    <row r="4" spans="1:26" x14ac:dyDescent="0.25">
      <c r="B4" s="47">
        <v>45627</v>
      </c>
      <c r="C4" s="178">
        <v>4450</v>
      </c>
      <c r="D4" s="178">
        <v>4456.9260000000004</v>
      </c>
      <c r="E4" s="14">
        <v>0</v>
      </c>
      <c r="F4" s="14">
        <v>0</v>
      </c>
      <c r="G4" s="14">
        <v>5.5819999999999999</v>
      </c>
      <c r="H4" s="5">
        <f>D4-E4-F4-G4-K4-L4</f>
        <v>4436.9260000000004</v>
      </c>
      <c r="I4" s="15">
        <v>4500</v>
      </c>
      <c r="J4" s="15">
        <v>10</v>
      </c>
      <c r="K4" s="151">
        <v>14.417999999999999</v>
      </c>
      <c r="L4" s="15">
        <v>0</v>
      </c>
      <c r="M4" s="118">
        <v>0</v>
      </c>
      <c r="N4" s="75"/>
      <c r="O4" s="75"/>
      <c r="P4" s="171">
        <f>+N4*'Цени капацитети'!$F$45+O4*'Цени капацитети'!$F$59</f>
        <v>0</v>
      </c>
      <c r="Q4" s="171">
        <f>+N4*'Цени капацитети'!$E$45+O4*'Цени капацитети'!$E$59</f>
        <v>0</v>
      </c>
      <c r="R4" s="171">
        <f>Плевен!Q4+$T$3*'Цени капацитети'!$E$4+Плевен!$U$3*'Цени капацитети'!$E$8+$V$3*'Цени капацитети'!$E$21</f>
        <v>393.85499999999996</v>
      </c>
      <c r="S4" s="120">
        <f>+R4+Бургас!O4+'Враца 1'!N4+'Враца 2'!N4+Перник!N4+Русе!M4+'Велико Търново'!J4+Димитровград!J4+ЛКМК!L4+Булмаш!L4</f>
        <v>6595.7571899999994</v>
      </c>
      <c r="T4" s="4"/>
    </row>
    <row r="5" spans="1:26" x14ac:dyDescent="0.25">
      <c r="B5" s="47">
        <f>+B4+1</f>
        <v>45628</v>
      </c>
      <c r="C5" s="178">
        <v>4450</v>
      </c>
      <c r="D5" s="15">
        <v>4575.7690000000002</v>
      </c>
      <c r="E5" s="14">
        <v>0.14000000000000001</v>
      </c>
      <c r="F5" s="14">
        <v>0</v>
      </c>
      <c r="G5" s="14">
        <v>18.207999999999998</v>
      </c>
      <c r="H5" s="5">
        <f t="shared" ref="H5:H30" si="0">D5-E5-F5-G5-K5-L5</f>
        <v>4512.5150000000003</v>
      </c>
      <c r="I5" s="15">
        <v>4500</v>
      </c>
      <c r="J5" s="15">
        <v>100</v>
      </c>
      <c r="K5" s="151">
        <v>44.905999999999999</v>
      </c>
      <c r="L5" s="15">
        <v>0</v>
      </c>
      <c r="M5" s="118">
        <v>0</v>
      </c>
      <c r="N5" s="75"/>
      <c r="O5" s="75"/>
      <c r="P5" s="171">
        <f>+N5*'Цени капацитети'!$F$45+O5*'Цени капацитети'!$F$59</f>
        <v>0</v>
      </c>
      <c r="Q5" s="171">
        <f>+N5*'Цени капацитети'!$E$45+O5*'Цени капацитети'!$E$59</f>
        <v>0</v>
      </c>
      <c r="R5" s="171">
        <f>Плевен!Q5+$T$3*'Цени капацитети'!$E$4+Плевен!$U$3*'Цени капацитети'!$E$8+$V$3*'Цени капацитети'!$E$21</f>
        <v>393.85499999999996</v>
      </c>
      <c r="S5" s="120">
        <f>+R5+Бургас!O5+'Враца 1'!N5+'Враца 2'!N5+Перник!N5+Русе!M5+'Велико Търново'!J5+Димитровград!J5+ЛКМК!L5+Булмаш!L5</f>
        <v>1246.9594500000001</v>
      </c>
      <c r="T5" s="4"/>
    </row>
    <row r="6" spans="1:26" ht="13.9" customHeight="1" x14ac:dyDescent="0.25">
      <c r="B6" s="47">
        <f t="shared" ref="B6:B34" si="1">+B5+1</f>
        <v>45629</v>
      </c>
      <c r="C6" s="178">
        <v>4450</v>
      </c>
      <c r="D6" s="15">
        <v>4434.835</v>
      </c>
      <c r="E6" s="14">
        <v>3.2370000000000001</v>
      </c>
      <c r="F6" s="14">
        <v>0</v>
      </c>
      <c r="G6" s="14">
        <v>15.896000000000001</v>
      </c>
      <c r="H6" s="5">
        <f t="shared" si="0"/>
        <v>4399.567</v>
      </c>
      <c r="I6" s="15">
        <v>4500</v>
      </c>
      <c r="J6" s="15">
        <v>20</v>
      </c>
      <c r="K6" s="151">
        <v>16.135000000000002</v>
      </c>
      <c r="L6" s="15">
        <v>0</v>
      </c>
      <c r="M6" s="118">
        <v>0</v>
      </c>
      <c r="N6" s="75"/>
      <c r="O6" s="75"/>
      <c r="P6" s="171">
        <f>+N6*'Цени капацитети'!$F$45+O6*'Цени капацитети'!$F$59</f>
        <v>0</v>
      </c>
      <c r="Q6" s="171">
        <f>+N6*'Цени капацитети'!$E$45+O6*'Цени капацитети'!$E$59</f>
        <v>0</v>
      </c>
      <c r="R6" s="171">
        <f>Плевен!Q6+$T$3*'Цени капацитети'!$E$4+Плевен!$U$3*'Цени капацитети'!$E$8+$V$3*'Цени капацитети'!$E$21</f>
        <v>393.85499999999996</v>
      </c>
      <c r="S6" s="120">
        <f>+R6+Бургас!O6+'Враца 1'!N6+'Враца 2'!N6+Перник!N6+Русе!M6+'Велико Търново'!J6+Димитровград!J6+ЛКМК!L6+Булмаш!L6</f>
        <v>2952.5911799999994</v>
      </c>
      <c r="T6" s="654" t="s">
        <v>106</v>
      </c>
      <c r="U6" s="654"/>
    </row>
    <row r="7" spans="1:26" x14ac:dyDescent="0.25">
      <c r="B7" s="47">
        <f t="shared" si="1"/>
        <v>45630</v>
      </c>
      <c r="C7" s="178">
        <v>4450</v>
      </c>
      <c r="D7" s="15">
        <v>4365.616</v>
      </c>
      <c r="E7" s="14">
        <v>2.3980000000000001</v>
      </c>
      <c r="F7" s="14">
        <v>0</v>
      </c>
      <c r="G7" s="14">
        <v>12.507999999999999</v>
      </c>
      <c r="H7" s="5">
        <f t="shared" si="0"/>
        <v>4350.71</v>
      </c>
      <c r="I7" s="15">
        <v>4500</v>
      </c>
      <c r="J7" s="15">
        <v>50</v>
      </c>
      <c r="K7" s="151">
        <v>0</v>
      </c>
      <c r="L7" s="15">
        <v>0</v>
      </c>
      <c r="M7" s="118">
        <v>0</v>
      </c>
      <c r="N7" s="75"/>
      <c r="O7" s="75"/>
      <c r="P7" s="171">
        <f>+N7*'Цени капацитети'!$F$45+O7*'Цени капацитети'!$F$59</f>
        <v>0</v>
      </c>
      <c r="Q7" s="171">
        <f>+N7*'Цени капацитети'!$E$45+O7*'Цени капацитети'!$E$59</f>
        <v>0</v>
      </c>
      <c r="R7" s="171">
        <f>Плевен!Q7+$T$3*'Цени капацитети'!$E$4+Плевен!$U$3*'Цени капацитети'!$E$8+$V$3*'Цени капацитети'!$E$21</f>
        <v>393.85499999999996</v>
      </c>
      <c r="S7" s="120">
        <f>+R7+Бургас!O7+'Враца 1'!N7+'Враца 2'!N7+Перник!N7+Русе!M7+'Велико Търново'!J7+Димитровград!J7+ЛКМК!L7+Булмаш!L7</f>
        <v>1134.23343</v>
      </c>
      <c r="T7" s="654"/>
      <c r="U7" s="654"/>
    </row>
    <row r="8" spans="1:26" x14ac:dyDescent="0.25">
      <c r="B8" s="47">
        <f t="shared" si="1"/>
        <v>45631</v>
      </c>
      <c r="C8" s="178">
        <v>4450</v>
      </c>
      <c r="D8" s="15">
        <v>4354.8609999999999</v>
      </c>
      <c r="E8" s="14">
        <v>1.3979999999999999</v>
      </c>
      <c r="F8" s="14">
        <v>0</v>
      </c>
      <c r="G8" s="14">
        <v>10.303000000000001</v>
      </c>
      <c r="H8" s="5">
        <f t="shared" si="0"/>
        <v>4204.8609999999999</v>
      </c>
      <c r="I8" s="15">
        <v>4500</v>
      </c>
      <c r="J8" s="15">
        <v>100</v>
      </c>
      <c r="K8" s="151">
        <v>138.29900000000001</v>
      </c>
      <c r="L8" s="15">
        <v>0</v>
      </c>
      <c r="M8" s="118">
        <v>0</v>
      </c>
      <c r="N8" s="75"/>
      <c r="O8" s="75"/>
      <c r="P8" s="171">
        <f>+N8*'Цени капацитети'!$F$45+O8*'Цени капацитети'!$F$59</f>
        <v>0</v>
      </c>
      <c r="Q8" s="171">
        <f>+N8*'Цени капацитети'!$E$45+O8*'Цени капацитети'!$E$59</f>
        <v>0</v>
      </c>
      <c r="R8" s="171">
        <f>Плевен!Q8+$T$3*'Цени капацитети'!$E$4+Плевен!$U$3*'Цени капацитети'!$E$8+$V$3*'Цени капацитети'!$E$21</f>
        <v>393.85499999999996</v>
      </c>
      <c r="S8" s="120">
        <f>+R8+Бургас!O8+'Враца 1'!N8+'Враца 2'!N8+Перник!N8+Русе!M8+'Велико Търново'!J8+Димитровград!J8+ЛКМК!L8+Булмаш!L8</f>
        <v>1258.42299</v>
      </c>
      <c r="T8" s="654"/>
      <c r="U8" s="654"/>
    </row>
    <row r="9" spans="1:26" x14ac:dyDescent="0.25">
      <c r="B9" s="47">
        <f t="shared" si="1"/>
        <v>45632</v>
      </c>
      <c r="C9" s="178">
        <v>4450</v>
      </c>
      <c r="D9" s="15">
        <v>4342.9870000000001</v>
      </c>
      <c r="E9" s="14">
        <v>0</v>
      </c>
      <c r="F9" s="14">
        <v>0</v>
      </c>
      <c r="G9" s="14">
        <v>0</v>
      </c>
      <c r="H9" s="5">
        <f t="shared" si="0"/>
        <v>4342.9870000000001</v>
      </c>
      <c r="I9" s="15">
        <v>4500</v>
      </c>
      <c r="J9" s="15">
        <v>0</v>
      </c>
      <c r="K9" s="151">
        <v>0</v>
      </c>
      <c r="L9" s="15">
        <v>0</v>
      </c>
      <c r="M9" s="118">
        <v>0</v>
      </c>
      <c r="N9" s="75"/>
      <c r="O9" s="75"/>
      <c r="P9" s="171">
        <f>+N9*'Цени капацитети'!$F$45+O9*'Цени капацитети'!$F$59</f>
        <v>0</v>
      </c>
      <c r="Q9" s="171">
        <f>+N9*'Цени капацитети'!$E$45+O9*'Цени капацитети'!$E$59</f>
        <v>0</v>
      </c>
      <c r="R9" s="171">
        <f>Плевен!Q9+$T$3*'Цени капацитети'!$E$4+Плевен!$U$3*'Цени капацитети'!$E$8+$V$3*'Цени капацитети'!$E$21</f>
        <v>393.85499999999996</v>
      </c>
      <c r="S9" s="120">
        <f>+R9+Бургас!O9+'Враца 1'!N9+'Враца 2'!N9+Перник!N9+Русе!M9+'Велико Търново'!J9+Димитровград!J9+ЛКМК!L9+Булмаш!L9</f>
        <v>4632.3736799999997</v>
      </c>
      <c r="T9" s="111" t="s">
        <v>18</v>
      </c>
      <c r="U9" s="112" t="s">
        <v>6</v>
      </c>
    </row>
    <row r="10" spans="1:26" x14ac:dyDescent="0.25">
      <c r="B10" s="47">
        <f t="shared" si="1"/>
        <v>45633</v>
      </c>
      <c r="C10" s="178">
        <v>4450</v>
      </c>
      <c r="D10" s="15">
        <v>4522.2299999999996</v>
      </c>
      <c r="E10" s="14">
        <v>0</v>
      </c>
      <c r="F10" s="14">
        <v>0</v>
      </c>
      <c r="G10" s="14">
        <v>0</v>
      </c>
      <c r="H10" s="5">
        <f t="shared" si="0"/>
        <v>4522.2299999999996</v>
      </c>
      <c r="I10" s="15">
        <v>4500</v>
      </c>
      <c r="J10" s="15">
        <v>0</v>
      </c>
      <c r="K10" s="151">
        <v>0</v>
      </c>
      <c r="L10" s="15">
        <v>0</v>
      </c>
      <c r="M10" s="118">
        <v>0</v>
      </c>
      <c r="N10" s="75"/>
      <c r="O10" s="75"/>
      <c r="P10" s="171">
        <f>+N10*'Цени капацитети'!$F$45+O10*'Цени капацитети'!$F$59</f>
        <v>0</v>
      </c>
      <c r="Q10" s="171">
        <f>+N10*'Цени капацитети'!$E$45+O10*'Цени капацитети'!$E$59</f>
        <v>0</v>
      </c>
      <c r="R10" s="171">
        <f>Плевен!Q10+$T$3*'Цени капацитети'!$E$4+Плевен!$U$3*'Цени капацитети'!$E$8+$V$3*'Цени капацитети'!$E$21</f>
        <v>393.85499999999996</v>
      </c>
      <c r="S10" s="120">
        <f>+R10+Бургас!O10+'Враца 1'!N10+'Враца 2'!N10+Перник!N10+Русе!M10+'Велико Търново'!J10+Димитровград!J10+ЛКМК!L10+Булмаш!L10</f>
        <v>2478.02313</v>
      </c>
      <c r="T10" s="110"/>
      <c r="U10" s="110"/>
    </row>
    <row r="11" spans="1:26" s="150" customFormat="1" x14ac:dyDescent="0.25">
      <c r="B11" s="228">
        <f t="shared" si="1"/>
        <v>45634</v>
      </c>
      <c r="C11" s="178">
        <v>4450</v>
      </c>
      <c r="D11" s="151">
        <v>4385.1580000000004</v>
      </c>
      <c r="E11" s="14">
        <v>0</v>
      </c>
      <c r="F11" s="14">
        <v>0</v>
      </c>
      <c r="G11" s="14">
        <v>0</v>
      </c>
      <c r="H11" s="5">
        <f t="shared" si="0"/>
        <v>4385.1580000000004</v>
      </c>
      <c r="I11" s="15">
        <v>4500</v>
      </c>
      <c r="J11" s="15">
        <v>0</v>
      </c>
      <c r="K11" s="151">
        <v>0</v>
      </c>
      <c r="L11" s="15">
        <v>0</v>
      </c>
      <c r="M11" s="118">
        <v>0</v>
      </c>
      <c r="N11" s="75"/>
      <c r="O11" s="75"/>
      <c r="P11" s="171">
        <f>+N11*'Цени капацитети'!$F$45+O11*'Цени капацитети'!$F$59</f>
        <v>0</v>
      </c>
      <c r="Q11" s="171">
        <f>+N11*'Цени капацитети'!$E$45+O11*'Цени капацитети'!$E$59</f>
        <v>0</v>
      </c>
      <c r="R11" s="171">
        <f>Плевен!Q11+$T$3*'Цени капацитети'!$E$4+Плевен!$U$3*'Цени капацитети'!$E$8+$V$3*'Цени капацитети'!$E$21</f>
        <v>393.85499999999996</v>
      </c>
      <c r="S11" s="120">
        <f>+R11+Бургас!O11+'Враца 1'!N11+'Враца 2'!N11+Перник!N11+Русе!M11+'Велико Търново'!J11+Димитровград!J11+ЛКМК!L11+Булмаш!L11</f>
        <v>2657.2434899999998</v>
      </c>
      <c r="T11" s="236"/>
      <c r="U11" s="237"/>
      <c r="V11" s="225"/>
      <c r="Y11" s="249"/>
      <c r="Z11" s="249"/>
    </row>
    <row r="12" spans="1:26" x14ac:dyDescent="0.25">
      <c r="B12" s="47">
        <f t="shared" si="1"/>
        <v>45635</v>
      </c>
      <c r="C12" s="178">
        <v>4450</v>
      </c>
      <c r="D12" s="15">
        <v>4367.9070000000002</v>
      </c>
      <c r="E12" s="234">
        <v>3.2589999999999999</v>
      </c>
      <c r="F12" s="14">
        <v>0</v>
      </c>
      <c r="G12" s="14">
        <v>42.622</v>
      </c>
      <c r="H12" s="5">
        <f t="shared" si="0"/>
        <v>4300.2</v>
      </c>
      <c r="I12" s="15">
        <v>4500</v>
      </c>
      <c r="J12" s="15">
        <v>50</v>
      </c>
      <c r="K12" s="151">
        <v>21.826000000000001</v>
      </c>
      <c r="L12" s="15">
        <v>0</v>
      </c>
      <c r="M12" s="118">
        <v>0</v>
      </c>
      <c r="N12" s="75"/>
      <c r="O12" s="75"/>
      <c r="P12" s="171">
        <f>+N12*'Цени капацитети'!$F$45+O12*'Цени капацитети'!$F$59</f>
        <v>0</v>
      </c>
      <c r="Q12" s="171">
        <f>+N12*'Цени капацитети'!$E$45+O12*'Цени капацитети'!$E$59</f>
        <v>0</v>
      </c>
      <c r="R12" s="171">
        <f>Плевен!Q12+$T$3*'Цени капацитети'!$E$4+Плевен!$U$3*'Цени капацитети'!$E$8+$V$3*'Цени капацитети'!$E$21</f>
        <v>393.85499999999996</v>
      </c>
      <c r="S12" s="120">
        <f>+R12+Бургас!O12+'Враца 1'!N12+'Враца 2'!N12+Перник!N12+Русе!M12+'Велико Търново'!J12+Димитровград!J12+ЛКМК!L12+Булмаш!L12</f>
        <v>1499.88696</v>
      </c>
      <c r="T12" s="4"/>
      <c r="U12" s="4"/>
    </row>
    <row r="13" spans="1:26" x14ac:dyDescent="0.25">
      <c r="B13" s="47">
        <f t="shared" si="1"/>
        <v>45636</v>
      </c>
      <c r="C13" s="178">
        <v>4450</v>
      </c>
      <c r="D13" s="15">
        <v>4353.5810000000001</v>
      </c>
      <c r="E13" s="14">
        <v>1.7529999999999999</v>
      </c>
      <c r="F13" s="14">
        <v>0</v>
      </c>
      <c r="G13" s="14">
        <v>14.068</v>
      </c>
      <c r="H13" s="5">
        <f t="shared" si="0"/>
        <v>4290.5810000000001</v>
      </c>
      <c r="I13" s="15">
        <v>4500</v>
      </c>
      <c r="J13" s="15">
        <v>20</v>
      </c>
      <c r="K13" s="151">
        <v>47.179000000000002</v>
      </c>
      <c r="L13" s="15">
        <v>0</v>
      </c>
      <c r="M13" s="118">
        <v>0</v>
      </c>
      <c r="N13" s="75"/>
      <c r="O13" s="75"/>
      <c r="P13" s="171">
        <f>+N13*'Цени капацитети'!$F$45+O13*'Цени капацитети'!$F$59</f>
        <v>0</v>
      </c>
      <c r="Q13" s="171">
        <f>+N13*'Цени капацитети'!$E$45+O13*'Цени капацитети'!$E$59</f>
        <v>0</v>
      </c>
      <c r="R13" s="171">
        <f>Плевен!Q13+$T$3*'Цени капацитети'!$E$4+Плевен!$U$3*'Цени капацитети'!$E$8+$V$3*'Цени капацитети'!$E$21</f>
        <v>393.85499999999996</v>
      </c>
      <c r="S13" s="120">
        <f>+R13+Бургас!O13+'Враца 1'!N13+'Враца 2'!N13+Перник!N13+Русе!M13+'Велико Търново'!J13+Димитровград!J13+ЛКМК!L13+Булмаш!L13</f>
        <v>1659.4036799999999</v>
      </c>
      <c r="T13" s="4"/>
    </row>
    <row r="14" spans="1:26" x14ac:dyDescent="0.25">
      <c r="B14" s="47">
        <f t="shared" si="1"/>
        <v>45637</v>
      </c>
      <c r="C14" s="178">
        <v>4450</v>
      </c>
      <c r="D14" s="15">
        <v>4373.4560000000001</v>
      </c>
      <c r="E14" s="14">
        <v>2.7530000000000001</v>
      </c>
      <c r="F14" s="14">
        <v>0</v>
      </c>
      <c r="G14" s="14">
        <v>9.6259999999999994</v>
      </c>
      <c r="H14" s="5">
        <f t="shared" si="0"/>
        <v>4266.2719999999999</v>
      </c>
      <c r="I14" s="15">
        <v>4500</v>
      </c>
      <c r="J14" s="15">
        <v>80</v>
      </c>
      <c r="K14" s="151">
        <v>94.805000000000007</v>
      </c>
      <c r="L14" s="15">
        <v>0</v>
      </c>
      <c r="M14" s="118">
        <v>0</v>
      </c>
      <c r="N14" s="75"/>
      <c r="O14" s="75"/>
      <c r="P14" s="171">
        <f>+N14*'Цени капацитети'!$F$45+O14*'Цени капацитети'!$F$59</f>
        <v>0</v>
      </c>
      <c r="Q14" s="171">
        <f>+N14*'Цени капацитети'!$E$45+O14*'Цени капацитети'!$E$59</f>
        <v>0</v>
      </c>
      <c r="R14" s="171">
        <f>Плевен!Q14+$T$3*'Цени капацитети'!$E$4+Плевен!$U$3*'Цени капацитети'!$E$8+$V$3*'Цени капацитети'!$E$21</f>
        <v>393.85499999999996</v>
      </c>
      <c r="S14" s="120">
        <f>+R14+Бургас!O14+'Враца 1'!N14+'Враца 2'!N14+Перник!N14+Русе!M14+'Велико Търново'!J14+Димитровград!J14+ЛКМК!L14+Булмаш!L14</f>
        <v>1254.6586799999998</v>
      </c>
      <c r="T14" s="4"/>
    </row>
    <row r="15" spans="1:26" x14ac:dyDescent="0.25">
      <c r="B15" s="47">
        <f t="shared" si="1"/>
        <v>45638</v>
      </c>
      <c r="C15" s="178">
        <v>4450</v>
      </c>
      <c r="D15" s="15">
        <v>4551.7849999999999</v>
      </c>
      <c r="E15" s="14">
        <v>0.26900000000000002</v>
      </c>
      <c r="F15" s="14">
        <v>0.63500000000000001</v>
      </c>
      <c r="G15" s="14">
        <v>12.788</v>
      </c>
      <c r="H15" s="5">
        <f t="shared" si="0"/>
        <v>4475.9549999999999</v>
      </c>
      <c r="I15" s="15">
        <v>4500</v>
      </c>
      <c r="J15" s="15">
        <v>80</v>
      </c>
      <c r="K15" s="151">
        <v>62.137999999999998</v>
      </c>
      <c r="L15" s="15">
        <v>0</v>
      </c>
      <c r="M15" s="118">
        <v>0</v>
      </c>
      <c r="N15" s="75"/>
      <c r="O15" s="75"/>
      <c r="P15" s="171">
        <f>+N15*'Цени капацитети'!$F$45+O15*'Цени капацитети'!$F$59</f>
        <v>0</v>
      </c>
      <c r="Q15" s="171">
        <f>+N15*'Цени капацитети'!$E$45+O15*'Цени капацитети'!$E$59</f>
        <v>0</v>
      </c>
      <c r="R15" s="171">
        <f>Плевен!Q15+$T$3*'Цени капацитети'!$E$4+Плевен!$U$3*'Цени капацитети'!$E$8+$V$3*'Цени капацитети'!$E$21</f>
        <v>393.85499999999996</v>
      </c>
      <c r="S15" s="120">
        <f>+R15+Бургас!O15+'Враца 1'!N15+'Враца 2'!N15+Перник!N15+Русе!M15+'Велико Търново'!J15+Димитровград!J15+ЛКМК!L15+Булмаш!L15</f>
        <v>1277.3461799999998</v>
      </c>
      <c r="T15" s="4"/>
    </row>
    <row r="16" spans="1:26" x14ac:dyDescent="0.25">
      <c r="B16" s="47">
        <f t="shared" si="1"/>
        <v>45639</v>
      </c>
      <c r="C16" s="178">
        <v>4450</v>
      </c>
      <c r="D16" s="15">
        <v>4545.4719999999998</v>
      </c>
      <c r="E16" s="14">
        <v>4.3019999999999996</v>
      </c>
      <c r="F16" s="14">
        <v>1.409</v>
      </c>
      <c r="G16" s="14">
        <v>9.3460000000000001</v>
      </c>
      <c r="H16" s="5">
        <f t="shared" si="0"/>
        <v>4393.0960000000005</v>
      </c>
      <c r="I16" s="15">
        <v>4500</v>
      </c>
      <c r="J16" s="15">
        <v>150</v>
      </c>
      <c r="K16" s="151">
        <v>137.31899999999999</v>
      </c>
      <c r="L16" s="15">
        <v>0</v>
      </c>
      <c r="M16" s="118">
        <v>0</v>
      </c>
      <c r="N16" s="75"/>
      <c r="O16" s="75"/>
      <c r="P16" s="171">
        <f>+N16*'Цени капацитети'!$F$45+O16*'Цени капацитети'!$F$59</f>
        <v>0</v>
      </c>
      <c r="Q16" s="171">
        <f>+N16*'Цени капацитети'!$E$45+O16*'Цени капацитети'!$E$59</f>
        <v>0</v>
      </c>
      <c r="R16" s="171">
        <f>Плевен!Q16+$T$3*'Цени капацитети'!$E$4+Плевен!$U$3*'Цени капацитети'!$E$8+$V$3*'Цени капацитети'!$E$21</f>
        <v>393.85499999999996</v>
      </c>
      <c r="S16" s="120">
        <f>+R16+Бургас!O16+'Враца 1'!N16+'Враца 2'!N16+Перник!N16+Русе!M16+'Велико Търново'!J16+Димитровград!J16+ЛКМК!L16+Булмаш!L16</f>
        <v>2958.0361800000001</v>
      </c>
      <c r="T16" s="4"/>
    </row>
    <row r="17" spans="2:21" x14ac:dyDescent="0.25">
      <c r="B17" s="47">
        <f t="shared" si="1"/>
        <v>45640</v>
      </c>
      <c r="C17" s="178">
        <v>4450</v>
      </c>
      <c r="D17" s="15">
        <v>4460.2060000000001</v>
      </c>
      <c r="E17" s="14">
        <v>3.4420000000000002</v>
      </c>
      <c r="F17" s="14">
        <v>0</v>
      </c>
      <c r="G17" s="14">
        <v>4.3769999999999998</v>
      </c>
      <c r="H17" s="5">
        <f t="shared" si="0"/>
        <v>4350.8059999999996</v>
      </c>
      <c r="I17" s="15">
        <v>4500</v>
      </c>
      <c r="J17" s="15">
        <v>150</v>
      </c>
      <c r="K17" s="151">
        <v>101.581</v>
      </c>
      <c r="L17" s="15">
        <v>0</v>
      </c>
      <c r="M17" s="118">
        <v>0</v>
      </c>
      <c r="N17" s="75"/>
      <c r="O17" s="75"/>
      <c r="P17" s="171">
        <f>+N17*'Цени капацитети'!$F$45+O17*'Цени капацитети'!$F$59</f>
        <v>0</v>
      </c>
      <c r="Q17" s="171">
        <f>+N17*'Цени капацитети'!$E$45+O17*'Цени капацитети'!$E$59</f>
        <v>0</v>
      </c>
      <c r="R17" s="171">
        <f>Плевен!Q17+$T$3*'Цени капацитети'!$E$4+Плевен!$U$3*'Цени капацитети'!$E$8+$V$3*'Цени капацитети'!$E$21</f>
        <v>393.85499999999996</v>
      </c>
      <c r="S17" s="120">
        <f>+R17+Бургас!O17+'Враца 1'!N17+'Враца 2'!N17+Перник!N17+Русе!M17+'Велико Търново'!J17+Димитровград!J17+ЛКМК!L17+Булмаш!L17</f>
        <v>1151.2581299999999</v>
      </c>
      <c r="T17" s="4"/>
    </row>
    <row r="18" spans="2:21" x14ac:dyDescent="0.25">
      <c r="B18" s="47">
        <f t="shared" si="1"/>
        <v>45641</v>
      </c>
      <c r="C18" s="178">
        <v>4450</v>
      </c>
      <c r="D18" s="15">
        <v>3399.3009999999999</v>
      </c>
      <c r="E18" s="14">
        <v>0</v>
      </c>
      <c r="F18" s="14">
        <v>0</v>
      </c>
      <c r="G18" s="14">
        <v>5.2380000000000004</v>
      </c>
      <c r="H18" s="5">
        <f t="shared" si="0"/>
        <v>3330.152</v>
      </c>
      <c r="I18" s="15">
        <v>4500</v>
      </c>
      <c r="J18" s="15">
        <v>100</v>
      </c>
      <c r="K18" s="151">
        <v>63.911000000000001</v>
      </c>
      <c r="L18" s="15">
        <v>0</v>
      </c>
      <c r="M18" s="118">
        <v>0</v>
      </c>
      <c r="N18" s="75"/>
      <c r="O18" s="75"/>
      <c r="P18" s="171">
        <f>+N18*'Цени капацитети'!$F$45+O18*'Цени капацитети'!$F$59</f>
        <v>0</v>
      </c>
      <c r="Q18" s="171">
        <f>+N18*'Цени капацитети'!$E$45+O18*'Цени капацитети'!$E$59</f>
        <v>0</v>
      </c>
      <c r="R18" s="171">
        <f>Плевен!Q18+$T$3*'Цени капацитети'!$E$4+Плевен!$U$3*'Цени капацитети'!$E$8+$V$3*'Цени капацитети'!$E$21</f>
        <v>393.85499999999996</v>
      </c>
      <c r="S18" s="120">
        <f>+R18+Бургас!O18+'Враца 1'!N18+'Враца 2'!N18+Перник!N18+Русе!M18+'Велико Търново'!J18+Димитровград!J18+ЛКМК!L18+Булмаш!L18</f>
        <v>1182.5196900000001</v>
      </c>
      <c r="T18" s="4"/>
    </row>
    <row r="19" spans="2:21" x14ac:dyDescent="0.25">
      <c r="B19" s="47">
        <f t="shared" si="1"/>
        <v>45642</v>
      </c>
      <c r="C19" s="178">
        <v>4450</v>
      </c>
      <c r="D19" s="15">
        <v>4279.1130000000003</v>
      </c>
      <c r="E19" s="14">
        <v>0.28000000000000003</v>
      </c>
      <c r="F19" s="14">
        <v>15.595000000000001</v>
      </c>
      <c r="G19" s="14">
        <v>19.047000000000001</v>
      </c>
      <c r="H19" s="5">
        <f t="shared" si="0"/>
        <v>4110.0260000000007</v>
      </c>
      <c r="I19" s="15">
        <v>4500</v>
      </c>
      <c r="J19" s="15">
        <v>180</v>
      </c>
      <c r="K19" s="151">
        <v>134.16499999999999</v>
      </c>
      <c r="L19" s="15">
        <v>0</v>
      </c>
      <c r="M19" s="118">
        <v>0</v>
      </c>
      <c r="N19" s="75"/>
      <c r="O19" s="75">
        <v>45</v>
      </c>
      <c r="P19" s="171">
        <f>+N19*'Цени капацитети'!$F$45+O19*'Цени капацитети'!$F$59</f>
        <v>132.49799999999999</v>
      </c>
      <c r="Q19" s="171">
        <f>+N19*'Цени капацитети'!$E$45+O19*'Цени капацитети'!$E$59</f>
        <v>204.18749999999997</v>
      </c>
      <c r="R19" s="171">
        <f>Плевен!Q19+$T$3*'Цени капацитети'!$E$4+Плевен!$U$3*'Цени капацитети'!$E$8+$V$3*'Цени капацитети'!$E$21</f>
        <v>598.0424999999999</v>
      </c>
      <c r="S19" s="120">
        <f>+R19+Бургас!O19+'Враца 1'!N19+'Враца 2'!N19+Перник!N19+Русе!M19+'Велико Търново'!J19+Димитровград!J19+ЛКМК!L19+Булмаш!L19</f>
        <v>1676.12346</v>
      </c>
      <c r="T19" s="4"/>
    </row>
    <row r="20" spans="2:21" x14ac:dyDescent="0.25">
      <c r="B20" s="47">
        <f t="shared" si="1"/>
        <v>45643</v>
      </c>
      <c r="C20" s="178">
        <v>4450</v>
      </c>
      <c r="D20" s="178"/>
      <c r="E20" s="14"/>
      <c r="F20" s="14"/>
      <c r="G20" s="14"/>
      <c r="H20" s="5">
        <f t="shared" si="0"/>
        <v>0</v>
      </c>
      <c r="I20" s="15">
        <v>4500</v>
      </c>
      <c r="J20" s="15"/>
      <c r="K20" s="151"/>
      <c r="L20" s="15">
        <v>0</v>
      </c>
      <c r="M20" s="118">
        <v>0</v>
      </c>
      <c r="N20" s="75"/>
      <c r="O20" s="75"/>
      <c r="P20" s="171">
        <f>+N20*'Цени капацитети'!$F$45+O20*'Цени капацитети'!$F$59</f>
        <v>0</v>
      </c>
      <c r="Q20" s="171">
        <f>+N20*'Цени капацитети'!$E$45+O20*'Цени капацитети'!$E$59</f>
        <v>0</v>
      </c>
      <c r="R20" s="171">
        <f>Плевен!Q20+$T$3*'Цени капацитети'!$E$4+Плевен!$U$3*'Цени капацитети'!$E$8+$V$3*'Цени капацитети'!$E$21</f>
        <v>393.85499999999996</v>
      </c>
      <c r="S20" s="120">
        <f>+R20+Бургас!O20+'Враца 1'!N20+'Враца 2'!N20+Перник!N20+Русе!M20+'Велико Търново'!J20+Димитровград!J20+ЛКМК!L20+Булмаш!L20</f>
        <v>886.80900000000008</v>
      </c>
      <c r="U20" s="4"/>
    </row>
    <row r="21" spans="2:21" x14ac:dyDescent="0.25">
      <c r="B21" s="47">
        <f t="shared" si="1"/>
        <v>45644</v>
      </c>
      <c r="C21" s="178">
        <v>4450</v>
      </c>
      <c r="D21" s="178"/>
      <c r="E21" s="14"/>
      <c r="F21" s="14"/>
      <c r="G21" s="14"/>
      <c r="H21" s="5">
        <f t="shared" si="0"/>
        <v>0</v>
      </c>
      <c r="I21" s="15">
        <v>4500</v>
      </c>
      <c r="J21" s="15"/>
      <c r="K21" s="151"/>
      <c r="L21" s="15">
        <v>0</v>
      </c>
      <c r="M21" s="118">
        <v>0</v>
      </c>
      <c r="N21" s="75"/>
      <c r="O21" s="75"/>
      <c r="P21" s="171">
        <f>+N21*'Цени капацитети'!$F$45+O21*'Цени капацитети'!$F$59</f>
        <v>0</v>
      </c>
      <c r="Q21" s="171">
        <f>+N21*'Цени капацитети'!$E$45+O21*'Цени капацитети'!$E$59</f>
        <v>0</v>
      </c>
      <c r="R21" s="171">
        <f>Плевен!Q21+$T$3*'Цени капацитети'!$E$4+Плевен!$U$3*'Цени капацитети'!$E$8+$V$3*'Цени капацитети'!$E$21</f>
        <v>393.85499999999996</v>
      </c>
      <c r="S21" s="120">
        <f>+R21+Бургас!O21+'Враца 1'!N21+'Враца 2'!N21+Перник!N21+Русе!M21+'Велико Търново'!J21+Димитровград!J21+ЛКМК!L21+Булмаш!L21</f>
        <v>886.80900000000008</v>
      </c>
      <c r="U21" s="4"/>
    </row>
    <row r="22" spans="2:21" x14ac:dyDescent="0.25">
      <c r="B22" s="47">
        <f t="shared" si="1"/>
        <v>45645</v>
      </c>
      <c r="C22" s="178">
        <v>4450</v>
      </c>
      <c r="D22" s="15"/>
      <c r="E22" s="14"/>
      <c r="F22" s="14"/>
      <c r="G22" s="14"/>
      <c r="H22" s="5">
        <f t="shared" si="0"/>
        <v>0</v>
      </c>
      <c r="I22" s="15">
        <v>4500</v>
      </c>
      <c r="J22" s="15"/>
      <c r="K22" s="151"/>
      <c r="L22" s="15">
        <v>0</v>
      </c>
      <c r="M22" s="118">
        <v>0</v>
      </c>
      <c r="N22" s="75"/>
      <c r="O22" s="75"/>
      <c r="P22" s="171">
        <f>+N22*'Цени капацитети'!$F$45+O22*'Цени капацитети'!$F$59</f>
        <v>0</v>
      </c>
      <c r="Q22" s="171">
        <f>+N22*'Цени капацитети'!$E$45+O22*'Цени капацитети'!$E$59</f>
        <v>0</v>
      </c>
      <c r="R22" s="171">
        <f>Плевен!Q22+$T$3*'Цени капацитети'!$E$4+Плевен!$U$3*'Цени капацитети'!$E$8+$V$3*'Цени капацитети'!$E$21</f>
        <v>393.85499999999996</v>
      </c>
      <c r="S22" s="120">
        <f>+R22+Бургас!O22+'Враца 1'!N22+'Враца 2'!N22+Перник!N22+Русе!M22+'Велико Търново'!J22+Димитровград!J22+ЛКМК!L22+Булмаш!L22</f>
        <v>886.80900000000008</v>
      </c>
    </row>
    <row r="23" spans="2:21" x14ac:dyDescent="0.25">
      <c r="B23" s="47">
        <f t="shared" si="1"/>
        <v>45646</v>
      </c>
      <c r="C23" s="178">
        <v>4450</v>
      </c>
      <c r="D23" s="15"/>
      <c r="E23" s="14"/>
      <c r="F23" s="14"/>
      <c r="G23" s="14"/>
      <c r="H23" s="5">
        <f t="shared" si="0"/>
        <v>0</v>
      </c>
      <c r="I23" s="15">
        <v>4500</v>
      </c>
      <c r="J23" s="15"/>
      <c r="K23" s="151"/>
      <c r="L23" s="15">
        <v>0</v>
      </c>
      <c r="M23" s="118">
        <v>0</v>
      </c>
      <c r="N23" s="75"/>
      <c r="O23" s="75"/>
      <c r="P23" s="171">
        <f>+N23*'Цени капацитети'!$F$45+O23*'Цени капацитети'!$F$59</f>
        <v>0</v>
      </c>
      <c r="Q23" s="171">
        <f>+N23*'Цени капацитети'!$E$45+O23*'Цени капацитети'!$E$59</f>
        <v>0</v>
      </c>
      <c r="R23" s="171">
        <f>Плевен!Q23+$T$3*'Цени капацитети'!$E$4+Плевен!$U$3*'Цени капацитети'!$E$8+$V$3*'Цени капацитети'!$E$21</f>
        <v>393.85499999999996</v>
      </c>
      <c r="S23" s="120">
        <f>+R23+Бургас!O23+'Враца 1'!N23+'Враца 2'!N23+Перник!N23+Русе!M23+'Велико Търново'!J23+Димитровград!J23+ЛКМК!L23+Булмаш!L23</f>
        <v>886.80900000000008</v>
      </c>
    </row>
    <row r="24" spans="2:21" x14ac:dyDescent="0.25">
      <c r="B24" s="47">
        <f t="shared" si="1"/>
        <v>45647</v>
      </c>
      <c r="C24" s="178">
        <v>4450</v>
      </c>
      <c r="D24" s="15"/>
      <c r="E24" s="14"/>
      <c r="F24" s="14"/>
      <c r="G24" s="14"/>
      <c r="H24" s="5">
        <f t="shared" si="0"/>
        <v>0</v>
      </c>
      <c r="I24" s="15">
        <v>4500</v>
      </c>
      <c r="J24" s="15"/>
      <c r="K24" s="151"/>
      <c r="L24" s="15">
        <v>0</v>
      </c>
      <c r="M24" s="118">
        <v>0</v>
      </c>
      <c r="N24" s="75"/>
      <c r="O24" s="75"/>
      <c r="P24" s="171">
        <f>+N24*'Цени капацитети'!$F$45+O24*'Цени капацитети'!$F$59</f>
        <v>0</v>
      </c>
      <c r="Q24" s="171">
        <f>+N24*'Цени капацитети'!$E$45+O24*'Цени капацитети'!$E$59</f>
        <v>0</v>
      </c>
      <c r="R24" s="171">
        <f>Плевен!Q24+$T$3*'Цени капацитети'!$E$4+Плевен!$U$3*'Цени капацитети'!$E$8+$V$3*'Цени капацитети'!$E$21</f>
        <v>393.85499999999996</v>
      </c>
      <c r="S24" s="120">
        <f>+R24+Бургас!O24+'Враца 1'!N24+'Враца 2'!N24+Перник!N24+Русе!M24+'Велико Търново'!J24+Димитровград!J24+ЛКМК!L24+Булмаш!L24</f>
        <v>886.80900000000008</v>
      </c>
    </row>
    <row r="25" spans="2:21" x14ac:dyDescent="0.25">
      <c r="B25" s="47">
        <f t="shared" si="1"/>
        <v>45648</v>
      </c>
      <c r="C25" s="178">
        <v>4450</v>
      </c>
      <c r="D25" s="15"/>
      <c r="E25" s="14"/>
      <c r="F25" s="14"/>
      <c r="G25" s="14"/>
      <c r="H25" s="5">
        <f t="shared" si="0"/>
        <v>0</v>
      </c>
      <c r="I25" s="15">
        <v>4500</v>
      </c>
      <c r="J25" s="15"/>
      <c r="K25" s="151"/>
      <c r="L25" s="15">
        <v>0</v>
      </c>
      <c r="M25" s="118">
        <v>0</v>
      </c>
      <c r="N25" s="75"/>
      <c r="O25" s="75"/>
      <c r="P25" s="171">
        <f>+N25*'Цени капацитети'!$F$45+O25*'Цени капацитети'!$F$59</f>
        <v>0</v>
      </c>
      <c r="Q25" s="171">
        <f>+N25*'Цени капацитети'!$E$45+O25*'Цени капацитети'!$E$59</f>
        <v>0</v>
      </c>
      <c r="R25" s="171">
        <f>Плевен!Q25+$T$3*'Цени капацитети'!$E$4+Плевен!$U$3*'Цени капацитети'!$E$8+$V$3*'Цени капацитети'!$E$21</f>
        <v>393.85499999999996</v>
      </c>
      <c r="S25" s="120">
        <f>+R25+Бургас!O25+'Враца 1'!N25+'Враца 2'!N25+Перник!N25+Русе!M25+'Велико Търново'!J25+Димитровград!J25+ЛКМК!L25+Булмаш!L25</f>
        <v>886.80900000000008</v>
      </c>
    </row>
    <row r="26" spans="2:21" x14ac:dyDescent="0.25">
      <c r="B26" s="47">
        <f t="shared" si="1"/>
        <v>45649</v>
      </c>
      <c r="C26" s="178">
        <v>4450</v>
      </c>
      <c r="D26" s="15"/>
      <c r="E26" s="14"/>
      <c r="F26" s="14"/>
      <c r="G26" s="14"/>
      <c r="H26" s="5">
        <f t="shared" si="0"/>
        <v>0</v>
      </c>
      <c r="I26" s="15">
        <v>4500</v>
      </c>
      <c r="J26" s="15"/>
      <c r="K26" s="151"/>
      <c r="L26" s="15">
        <v>0</v>
      </c>
      <c r="M26" s="118">
        <v>0</v>
      </c>
      <c r="N26" s="75"/>
      <c r="O26" s="75"/>
      <c r="P26" s="171">
        <f>+N26*'Цени капацитети'!$F$45+O26*'Цени капацитети'!$F$59</f>
        <v>0</v>
      </c>
      <c r="Q26" s="171">
        <f>+N26*'Цени капацитети'!$E$45+O26*'Цени капацитети'!$E$59</f>
        <v>0</v>
      </c>
      <c r="R26" s="171">
        <f>Плевен!Q26+$T$3*'Цени капацитети'!$E$4+Плевен!$U$3*'Цени капацитети'!$E$8+$V$3*'Цени капацитети'!$E$21</f>
        <v>393.85499999999996</v>
      </c>
      <c r="S26" s="120">
        <f>+R26+Бургас!O26+'Враца 1'!N26+'Враца 2'!N26+Перник!N26+Русе!M26+'Велико Търново'!J26+Димитровград!J26+ЛКМК!L26+Булмаш!L26</f>
        <v>886.80900000000008</v>
      </c>
    </row>
    <row r="27" spans="2:21" x14ac:dyDescent="0.25">
      <c r="B27" s="47">
        <f t="shared" si="1"/>
        <v>45650</v>
      </c>
      <c r="C27" s="178">
        <v>4450</v>
      </c>
      <c r="D27" s="15"/>
      <c r="E27" s="14"/>
      <c r="F27" s="14"/>
      <c r="G27" s="14"/>
      <c r="H27" s="5">
        <f t="shared" si="0"/>
        <v>0</v>
      </c>
      <c r="I27" s="15">
        <v>4500</v>
      </c>
      <c r="J27" s="15"/>
      <c r="K27" s="151"/>
      <c r="L27" s="15">
        <v>0</v>
      </c>
      <c r="M27" s="118">
        <v>0</v>
      </c>
      <c r="N27" s="75"/>
      <c r="O27" s="75"/>
      <c r="P27" s="171">
        <f>+N27*'Цени капацитети'!$F$45+O27*'Цени капацитети'!$F$59</f>
        <v>0</v>
      </c>
      <c r="Q27" s="171">
        <f>+N27*'Цени капацитети'!$E$45+O27*'Цени капацитети'!$E$59</f>
        <v>0</v>
      </c>
      <c r="R27" s="171">
        <f>Плевен!Q27+$T$3*'Цени капацитети'!$E$4+Плевен!$U$3*'Цени капацитети'!$E$8+$V$3*'Цени капацитети'!$E$21</f>
        <v>393.85499999999996</v>
      </c>
      <c r="S27" s="120">
        <f>+R27+Бургас!O27+'Враца 1'!N27+'Враца 2'!N27+Перник!N27+Русе!M27+'Велико Търново'!J27+Димитровград!J27+ЛКМК!L27+Булмаш!L27</f>
        <v>886.80900000000008</v>
      </c>
    </row>
    <row r="28" spans="2:21" x14ac:dyDescent="0.25">
      <c r="B28" s="47">
        <f t="shared" si="1"/>
        <v>45651</v>
      </c>
      <c r="C28" s="178">
        <v>4450</v>
      </c>
      <c r="D28" s="15"/>
      <c r="E28" s="14"/>
      <c r="F28" s="14"/>
      <c r="G28" s="14"/>
      <c r="H28" s="5">
        <f t="shared" si="0"/>
        <v>0</v>
      </c>
      <c r="I28" s="15">
        <v>4500</v>
      </c>
      <c r="J28" s="15"/>
      <c r="K28" s="151"/>
      <c r="L28" s="15">
        <v>0</v>
      </c>
      <c r="M28" s="118">
        <v>0</v>
      </c>
      <c r="N28" s="75"/>
      <c r="O28" s="75"/>
      <c r="P28" s="171">
        <f>+N28*'Цени капацитети'!$F$45+O28*'Цени капацитети'!$F$59</f>
        <v>0</v>
      </c>
      <c r="Q28" s="171">
        <f>+N28*'Цени капацитети'!$E$45+O28*'Цени капацитети'!$E$59</f>
        <v>0</v>
      </c>
      <c r="R28" s="171">
        <f>Плевен!Q28+$T$3*'Цени капацитети'!$E$4+Плевен!$U$3*'Цени капацитети'!$E$8+$V$3*'Цени капацитети'!$E$21</f>
        <v>393.85499999999996</v>
      </c>
      <c r="S28" s="120">
        <f>+R28+Бургас!O28+'Враца 1'!N28+'Враца 2'!N28+Перник!N28+Русе!M28+'Велико Търново'!J28+Димитровград!J28+ЛКМК!L28+Булмаш!L28</f>
        <v>886.80900000000008</v>
      </c>
    </row>
    <row r="29" spans="2:21" x14ac:dyDescent="0.25">
      <c r="B29" s="47">
        <f t="shared" si="1"/>
        <v>45652</v>
      </c>
      <c r="C29" s="178">
        <v>4450</v>
      </c>
      <c r="D29" s="15"/>
      <c r="E29" s="14"/>
      <c r="F29" s="14"/>
      <c r="G29" s="14"/>
      <c r="H29" s="5">
        <f t="shared" si="0"/>
        <v>0</v>
      </c>
      <c r="I29" s="15">
        <v>4500</v>
      </c>
      <c r="J29" s="15"/>
      <c r="K29" s="151"/>
      <c r="L29" s="15">
        <v>0</v>
      </c>
      <c r="M29" s="118">
        <v>0</v>
      </c>
      <c r="N29" s="75"/>
      <c r="O29" s="75"/>
      <c r="P29" s="171">
        <f>+N29*'Цени капацитети'!$F$45+O29*'Цени капацитети'!$F$59</f>
        <v>0</v>
      </c>
      <c r="Q29" s="171">
        <f>+N29*'Цени капацитети'!$E$45+O29*'Цени капацитети'!$E$59</f>
        <v>0</v>
      </c>
      <c r="R29" s="171">
        <f>Плевен!Q29+$T$3*'Цени капацитети'!$E$4+Плевен!$U$3*'Цени капацитети'!$E$8+$V$3*'Цени капацитети'!$E$21</f>
        <v>393.85499999999996</v>
      </c>
      <c r="S29" s="120">
        <f>+R29+Бургас!O29+'Враца 1'!N29+'Враца 2'!N29+Перник!N29+Русе!M29+'Велико Търново'!J29+Димитровград!J29+ЛКМК!L29+Булмаш!L29</f>
        <v>886.80900000000008</v>
      </c>
    </row>
    <row r="30" spans="2:21" x14ac:dyDescent="0.25">
      <c r="B30" s="47">
        <f t="shared" si="1"/>
        <v>45653</v>
      </c>
      <c r="C30" s="178">
        <v>4450</v>
      </c>
      <c r="D30" s="15"/>
      <c r="E30" s="14"/>
      <c r="F30" s="14"/>
      <c r="G30" s="14"/>
      <c r="H30" s="5">
        <f t="shared" si="0"/>
        <v>0</v>
      </c>
      <c r="I30" s="15">
        <v>4500</v>
      </c>
      <c r="J30" s="15"/>
      <c r="K30" s="151"/>
      <c r="L30" s="15">
        <v>0</v>
      </c>
      <c r="M30" s="118">
        <v>0</v>
      </c>
      <c r="N30" s="75"/>
      <c r="O30" s="75"/>
      <c r="P30" s="171">
        <f>+N30*'Цени капацитети'!$F$45+O30*'Цени капацитети'!$F$59</f>
        <v>0</v>
      </c>
      <c r="Q30" s="171">
        <f>+N30*'Цени капацитети'!$E$45+O30*'Цени капацитети'!$E$59</f>
        <v>0</v>
      </c>
      <c r="R30" s="171">
        <f>Плевен!Q30+$T$3*'Цени капацитети'!$E$4+Плевен!$U$3*'Цени капацитети'!$E$8+$V$3*'Цени капацитети'!$E$21</f>
        <v>393.85499999999996</v>
      </c>
      <c r="S30" s="120">
        <f>+R30+Бургас!O30+'Враца 1'!N30+'Враца 2'!N30+Перник!N30+Русе!M30+'Велико Търново'!J30+Димитровград!J30+ЛКМК!L30+Булмаш!L30</f>
        <v>886.80900000000008</v>
      </c>
    </row>
    <row r="31" spans="2:21" x14ac:dyDescent="0.25">
      <c r="B31" s="47">
        <f t="shared" si="1"/>
        <v>45654</v>
      </c>
      <c r="C31" s="178">
        <v>4450</v>
      </c>
      <c r="D31" s="15"/>
      <c r="E31" s="14"/>
      <c r="F31" s="14"/>
      <c r="G31" s="14"/>
      <c r="H31" s="5">
        <f t="shared" ref="H31:H34" si="2">D31-E31-F31-G31-K31-L31</f>
        <v>0</v>
      </c>
      <c r="I31" s="15">
        <v>4500</v>
      </c>
      <c r="J31" s="15"/>
      <c r="K31" s="151"/>
      <c r="L31" s="15">
        <v>0</v>
      </c>
      <c r="M31" s="118">
        <v>0</v>
      </c>
      <c r="N31" s="75"/>
      <c r="O31" s="75"/>
      <c r="P31" s="171">
        <f>+N31*'Цени капацитети'!$F$45+O31*'Цени капацитети'!$F$59</f>
        <v>0</v>
      </c>
      <c r="Q31" s="171">
        <f>+N31*'Цени капацитети'!$E$45+O31*'Цени капацитети'!$E$59</f>
        <v>0</v>
      </c>
      <c r="R31" s="171">
        <f>Плевен!Q31+$T$3*'Цени капацитети'!$E$4+Плевен!$U$3*'Цени капацитети'!$E$8+$V$3*'Цени капацитети'!$E$21</f>
        <v>393.85499999999996</v>
      </c>
      <c r="S31" s="120">
        <f>+R31+Бургас!O31+'Враца 1'!N31+'Враца 2'!N31+Перник!N31+Русе!M31+'Велико Търново'!J31+Димитровград!J31+ЛКМК!L31+Булмаш!L31</f>
        <v>886.80900000000008</v>
      </c>
    </row>
    <row r="32" spans="2:21" x14ac:dyDescent="0.25">
      <c r="B32" s="47">
        <f t="shared" si="1"/>
        <v>45655</v>
      </c>
      <c r="C32" s="178">
        <v>4450</v>
      </c>
      <c r="D32" s="15"/>
      <c r="E32" s="14"/>
      <c r="F32" s="14"/>
      <c r="G32" s="14"/>
      <c r="H32" s="5">
        <f t="shared" si="2"/>
        <v>0</v>
      </c>
      <c r="I32" s="15">
        <v>4500</v>
      </c>
      <c r="J32" s="15"/>
      <c r="K32" s="151"/>
      <c r="L32" s="15">
        <v>0</v>
      </c>
      <c r="M32" s="118">
        <v>0</v>
      </c>
      <c r="N32" s="75"/>
      <c r="O32" s="75"/>
      <c r="P32" s="171">
        <f>+N32*'Цени капацитети'!$F$45+O32*'Цени капацитети'!$F$59</f>
        <v>0</v>
      </c>
      <c r="Q32" s="171">
        <f>+N32*'Цени капацитети'!$E$45+O32*'Цени капацитети'!$E$59</f>
        <v>0</v>
      </c>
      <c r="R32" s="171">
        <f>Плевен!Q32+$T$3*'Цени капацитети'!$E$4+Плевен!$U$3*'Цени капацитети'!$E$8+$V$3*'Цени капацитети'!$E$21</f>
        <v>393.85499999999996</v>
      </c>
      <c r="S32" s="120">
        <f>+R32+Бургас!O32+'Враца 1'!N32+'Враца 2'!N32+Перник!N32+Русе!M32+'Велико Търново'!J32+Димитровград!J32+ЛКМК!L32+Булмаш!L32</f>
        <v>886.80900000000008</v>
      </c>
    </row>
    <row r="33" spans="2:26" x14ac:dyDescent="0.25">
      <c r="B33" s="47">
        <f t="shared" si="1"/>
        <v>45656</v>
      </c>
      <c r="C33" s="178">
        <v>4450</v>
      </c>
      <c r="D33" s="15"/>
      <c r="E33" s="14"/>
      <c r="F33" s="14"/>
      <c r="G33" s="14"/>
      <c r="H33" s="5">
        <f t="shared" si="2"/>
        <v>0</v>
      </c>
      <c r="I33" s="15">
        <v>4500</v>
      </c>
      <c r="J33" s="15"/>
      <c r="K33" s="151"/>
      <c r="L33" s="15">
        <v>0</v>
      </c>
      <c r="M33" s="118">
        <v>0</v>
      </c>
      <c r="N33" s="75"/>
      <c r="O33" s="75"/>
      <c r="P33" s="171">
        <f>+N33*'Цени капацитети'!$F$45+O33*'Цени капацитети'!$F$59</f>
        <v>0</v>
      </c>
      <c r="Q33" s="171">
        <f>+N33*'Цени капацитети'!$E$45+O33*'Цени капацитети'!$E$59</f>
        <v>0</v>
      </c>
      <c r="R33" s="171">
        <f>Плевен!Q33+$T$3*'Цени капацитети'!$E$4+Плевен!$U$3*'Цени капацитети'!$E$8+$V$3*'Цени капацитети'!$E$21</f>
        <v>393.85499999999996</v>
      </c>
      <c r="S33" s="120">
        <f>+R33+Бургас!O33+'Враца 1'!N33+'Враца 2'!N33+Перник!N33+Русе!M33+'Велико Търново'!J33+Димитровград!J33+ЛКМК!L33+Булмаш!L34</f>
        <v>886.80900000000008</v>
      </c>
    </row>
    <row r="34" spans="2:26" x14ac:dyDescent="0.25">
      <c r="B34" s="47">
        <f t="shared" si="1"/>
        <v>45657</v>
      </c>
      <c r="C34" s="178">
        <v>4450</v>
      </c>
      <c r="D34" s="15"/>
      <c r="E34" s="14"/>
      <c r="F34" s="14"/>
      <c r="G34" s="14"/>
      <c r="H34" s="5">
        <f t="shared" si="2"/>
        <v>0</v>
      </c>
      <c r="I34" s="15">
        <v>4500</v>
      </c>
      <c r="J34" s="15"/>
      <c r="K34" s="151"/>
      <c r="L34" s="15">
        <v>0</v>
      </c>
      <c r="M34" s="118">
        <v>0</v>
      </c>
      <c r="N34" s="75"/>
      <c r="O34" s="75"/>
      <c r="P34" s="171">
        <f>+N34*'Цени капацитети'!$F$45+O34*'Цени капацитети'!$F$59</f>
        <v>0</v>
      </c>
      <c r="Q34" s="171">
        <f>+N34*'Цени капацитети'!$E$45+O34*'Цени капацитети'!$E$59</f>
        <v>0</v>
      </c>
      <c r="R34" s="171">
        <f>Плевен!Q34+$T$3*'Цени капацитети'!$E$4+Плевен!$U$3*'Цени капацитети'!$E$8+$V$3*'Цени капацитети'!$E$21</f>
        <v>393.85499999999996</v>
      </c>
      <c r="S34" s="120">
        <f>+R34+Бургас!O34+'Враца 1'!N34+'Враца 2'!N34+Перник!N34+Русе!M34+'Велико Търново'!J34+Димитровград!J34+ЛКМК!L34+Булмаш!L35</f>
        <v>886.80900000000008</v>
      </c>
    </row>
    <row r="35" spans="2:26" x14ac:dyDescent="0.25">
      <c r="D35" s="16">
        <f>SUM(D4:D34)</f>
        <v>69769.203000000009</v>
      </c>
      <c r="E35" s="152">
        <f>SUM(E4:E34)</f>
        <v>23.231000000000002</v>
      </c>
      <c r="F35" s="152">
        <f>SUM(F4:F34)</f>
        <v>17.638999999999999</v>
      </c>
      <c r="G35" s="152">
        <f>SUM(G4:G34)</f>
        <v>179.60900000000001</v>
      </c>
      <c r="H35" s="152">
        <f>SUM(H4:H34)</f>
        <v>68672.042000000001</v>
      </c>
      <c r="I35" s="152"/>
      <c r="K35" s="152">
        <f t="shared" ref="K35:S35" si="3">SUM(K4:K34)</f>
        <v>876.68200000000002</v>
      </c>
      <c r="L35" s="152">
        <f t="shared" si="3"/>
        <v>0</v>
      </c>
      <c r="M35" s="4">
        <f t="shared" si="3"/>
        <v>0</v>
      </c>
      <c r="N35" s="4">
        <f t="shared" si="3"/>
        <v>0</v>
      </c>
      <c r="O35" s="4">
        <f t="shared" si="3"/>
        <v>45</v>
      </c>
      <c r="P35" s="4">
        <f t="shared" si="3"/>
        <v>132.49799999999999</v>
      </c>
      <c r="Q35" s="4">
        <f t="shared" si="3"/>
        <v>204.18749999999997</v>
      </c>
      <c r="R35" s="16">
        <f t="shared" si="3"/>
        <v>12413.692499999992</v>
      </c>
      <c r="S35" s="120">
        <f t="shared" si="3"/>
        <v>48916.972500000018</v>
      </c>
      <c r="V35" s="16">
        <f>SUM(V4:V34)</f>
        <v>0</v>
      </c>
      <c r="W35" s="16"/>
      <c r="X35" s="16"/>
      <c r="Y35" s="16"/>
      <c r="Z35" s="16"/>
    </row>
    <row r="36" spans="2:26" x14ac:dyDescent="0.25">
      <c r="D36" s="16"/>
      <c r="G36" s="16"/>
      <c r="H36" s="16">
        <f>+H35+H30+H30</f>
        <v>68672.042000000001</v>
      </c>
      <c r="K36" s="150">
        <f>+K35/31</f>
        <v>28.280064516129034</v>
      </c>
      <c r="P36" s="4"/>
    </row>
    <row r="37" spans="2:26" x14ac:dyDescent="0.25">
      <c r="G37" s="16"/>
      <c r="H37" s="16">
        <f>+H36*Цени!T40</f>
        <v>5211521.2673800001</v>
      </c>
      <c r="I37" s="16"/>
      <c r="J37" s="16"/>
      <c r="M37" s="16"/>
      <c r="N37" s="4"/>
    </row>
    <row r="38" spans="2:26" x14ac:dyDescent="0.25">
      <c r="H38" s="1">
        <f>+H35/31</f>
        <v>2215.2271612903228</v>
      </c>
      <c r="K38" s="152">
        <f>+K35+Бургас!H35+'Враца 1'!H35+'Враца 2'!H35+Перник!G35+Русе!G35+'Велико Търново'!E35+Димитровград!E35</f>
        <v>7423.8460000000005</v>
      </c>
    </row>
    <row r="39" spans="2:26" x14ac:dyDescent="0.25">
      <c r="K39" s="152"/>
    </row>
    <row r="41" spans="2:26" x14ac:dyDescent="0.25">
      <c r="K41" s="152"/>
    </row>
  </sheetData>
  <mergeCells count="4">
    <mergeCell ref="B2:M2"/>
    <mergeCell ref="N2:Q2"/>
    <mergeCell ref="T1:U1"/>
    <mergeCell ref="T6:U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59999389629810485"/>
  </sheetPr>
  <dimension ref="B1:N35"/>
  <sheetViews>
    <sheetView topLeftCell="A3" zoomScale="70" zoomScaleNormal="70" workbookViewId="0">
      <selection activeCell="E4" sqref="E4:E34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50" bestFit="1" customWidth="1"/>
    <col min="6" max="6" width="5.140625" style="1" bestFit="1" customWidth="1"/>
    <col min="7" max="7" width="10.7109375" style="1" bestFit="1" customWidth="1"/>
    <col min="8" max="8" width="15.42578125" style="1" bestFit="1" customWidth="1"/>
    <col min="9" max="9" width="13" style="1" customWidth="1"/>
    <col min="10" max="10" width="17.5703125" style="69" customWidth="1"/>
    <col min="11" max="11" width="13.28515625" style="1" customWidth="1"/>
    <col min="12" max="12" width="17.42578125" style="1" customWidth="1"/>
    <col min="13" max="13" width="19.140625" style="1" bestFit="1" customWidth="1"/>
    <col min="14" max="14" width="12.5703125" style="1" bestFit="1" customWidth="1"/>
    <col min="15" max="16384" width="8.85546875" style="1"/>
  </cols>
  <sheetData>
    <row r="1" spans="2:14" ht="58.5" thickBot="1" x14ac:dyDescent="0.3">
      <c r="H1" s="81" t="s">
        <v>101</v>
      </c>
      <c r="I1" s="78"/>
      <c r="J1" s="78"/>
      <c r="L1" s="653" t="s">
        <v>28</v>
      </c>
      <c r="M1" s="653"/>
    </row>
    <row r="2" spans="2:14" ht="15.75" thickBot="1" x14ac:dyDescent="0.3">
      <c r="B2" s="661" t="s">
        <v>131</v>
      </c>
      <c r="C2" s="662"/>
      <c r="D2" s="662"/>
      <c r="E2" s="662"/>
      <c r="F2" s="662"/>
      <c r="G2" s="663"/>
      <c r="H2" s="664" t="s">
        <v>70</v>
      </c>
      <c r="I2" s="652"/>
      <c r="J2" s="665"/>
      <c r="L2" s="2" t="s">
        <v>99</v>
      </c>
      <c r="M2" s="2" t="s">
        <v>80</v>
      </c>
      <c r="N2" s="1" t="s">
        <v>111</v>
      </c>
    </row>
    <row r="3" spans="2:14" ht="43.5" x14ac:dyDescent="0.25">
      <c r="B3" s="26" t="s">
        <v>8</v>
      </c>
      <c r="C3" s="46" t="s">
        <v>21</v>
      </c>
      <c r="D3" s="52" t="s">
        <v>26</v>
      </c>
      <c r="E3" s="172" t="s">
        <v>6</v>
      </c>
      <c r="F3" s="52" t="s">
        <v>20</v>
      </c>
      <c r="G3" s="35" t="s">
        <v>27</v>
      </c>
      <c r="H3" s="26" t="s">
        <v>64</v>
      </c>
      <c r="I3" s="81" t="s">
        <v>104</v>
      </c>
      <c r="J3" s="35" t="s">
        <v>71</v>
      </c>
      <c r="K3" s="69"/>
      <c r="L3" s="109"/>
      <c r="M3" s="109"/>
      <c r="N3" s="109"/>
    </row>
    <row r="4" spans="2:14" x14ac:dyDescent="0.25">
      <c r="B4" s="47">
        <v>45566</v>
      </c>
      <c r="C4" s="49"/>
      <c r="D4" s="49"/>
      <c r="E4" s="49">
        <f>+Плевен!F4</f>
        <v>0</v>
      </c>
      <c r="F4" s="21"/>
      <c r="G4" s="48"/>
      <c r="H4" s="57"/>
      <c r="I4" s="76"/>
      <c r="J4" s="73"/>
      <c r="K4" s="122"/>
    </row>
    <row r="5" spans="2:14" x14ac:dyDescent="0.25">
      <c r="B5" s="47">
        <f>+B4+1</f>
        <v>45567</v>
      </c>
      <c r="C5" s="49"/>
      <c r="D5" s="49"/>
      <c r="E5" s="49">
        <f>+Плевен!F5</f>
        <v>0</v>
      </c>
      <c r="F5" s="21"/>
      <c r="G5" s="48"/>
      <c r="H5" s="57"/>
      <c r="I5" s="76"/>
      <c r="J5" s="73"/>
      <c r="K5" s="122"/>
    </row>
    <row r="6" spans="2:14" x14ac:dyDescent="0.25">
      <c r="B6" s="47">
        <f t="shared" ref="B6:B34" si="0">+B5+1</f>
        <v>45568</v>
      </c>
      <c r="C6" s="49"/>
      <c r="D6" s="49"/>
      <c r="E6" s="49">
        <f>+Плевен!F6</f>
        <v>0</v>
      </c>
      <c r="F6" s="21"/>
      <c r="G6" s="48"/>
      <c r="H6" s="57"/>
      <c r="I6" s="76"/>
      <c r="J6" s="73"/>
      <c r="K6" s="122"/>
    </row>
    <row r="7" spans="2:14" x14ac:dyDescent="0.25">
      <c r="B7" s="47">
        <f t="shared" si="0"/>
        <v>45569</v>
      </c>
      <c r="C7" s="49"/>
      <c r="D7" s="49"/>
      <c r="E7" s="49">
        <f>+Плевен!F7</f>
        <v>0</v>
      </c>
      <c r="F7" s="21"/>
      <c r="G7" s="48"/>
      <c r="H7" s="57"/>
      <c r="I7" s="76"/>
      <c r="J7" s="73"/>
      <c r="K7" s="122"/>
    </row>
    <row r="8" spans="2:14" x14ac:dyDescent="0.25">
      <c r="B8" s="47">
        <f t="shared" si="0"/>
        <v>45570</v>
      </c>
      <c r="C8" s="49"/>
      <c r="D8" s="49"/>
      <c r="E8" s="49">
        <f>+Плевен!F8</f>
        <v>0</v>
      </c>
      <c r="F8" s="21"/>
      <c r="G8" s="53"/>
      <c r="H8" s="57"/>
      <c r="I8" s="76"/>
      <c r="J8" s="73"/>
      <c r="K8" s="122"/>
    </row>
    <row r="9" spans="2:14" x14ac:dyDescent="0.25">
      <c r="B9" s="47">
        <f t="shared" si="0"/>
        <v>45571</v>
      </c>
      <c r="C9" s="49"/>
      <c r="D9" s="49"/>
      <c r="E9" s="49">
        <f>+Плевен!F9</f>
        <v>0</v>
      </c>
      <c r="F9" s="21"/>
      <c r="G9" s="53"/>
      <c r="H9" s="57"/>
      <c r="I9" s="76"/>
      <c r="J9" s="73"/>
      <c r="K9" s="122"/>
    </row>
    <row r="10" spans="2:14" x14ac:dyDescent="0.25">
      <c r="B10" s="47">
        <f t="shared" si="0"/>
        <v>45572</v>
      </c>
      <c r="C10" s="49"/>
      <c r="D10" s="49"/>
      <c r="E10" s="49">
        <f>+Плевен!F10</f>
        <v>0</v>
      </c>
      <c r="F10" s="21"/>
      <c r="G10" s="54"/>
      <c r="H10" s="57"/>
      <c r="I10" s="76"/>
      <c r="J10" s="73"/>
      <c r="K10" s="122"/>
    </row>
    <row r="11" spans="2:14" x14ac:dyDescent="0.25">
      <c r="B11" s="47">
        <f t="shared" si="0"/>
        <v>45573</v>
      </c>
      <c r="C11" s="49"/>
      <c r="D11" s="49"/>
      <c r="E11" s="49">
        <f>+Плевен!F11</f>
        <v>0</v>
      </c>
      <c r="F11" s="21"/>
      <c r="G11" s="55"/>
      <c r="H11" s="57"/>
      <c r="I11" s="76"/>
      <c r="J11" s="73"/>
      <c r="K11" s="122"/>
    </row>
    <row r="12" spans="2:14" x14ac:dyDescent="0.25">
      <c r="B12" s="47">
        <f t="shared" si="0"/>
        <v>45574</v>
      </c>
      <c r="C12" s="49"/>
      <c r="D12" s="49"/>
      <c r="E12" s="49">
        <f>+Плевен!F12</f>
        <v>0</v>
      </c>
      <c r="F12" s="21"/>
      <c r="G12" s="54"/>
      <c r="H12" s="57"/>
      <c r="I12" s="76"/>
      <c r="J12" s="73"/>
      <c r="K12" s="122"/>
    </row>
    <row r="13" spans="2:14" x14ac:dyDescent="0.25">
      <c r="B13" s="47">
        <f t="shared" si="0"/>
        <v>45575</v>
      </c>
      <c r="C13" s="49"/>
      <c r="D13" s="49"/>
      <c r="E13" s="49">
        <f>+Плевен!F13</f>
        <v>0</v>
      </c>
      <c r="F13" s="21"/>
      <c r="G13" s="56"/>
      <c r="H13" s="57"/>
      <c r="I13" s="76"/>
      <c r="J13" s="73"/>
      <c r="K13" s="122"/>
    </row>
    <row r="14" spans="2:14" x14ac:dyDescent="0.25">
      <c r="B14" s="47">
        <f t="shared" si="0"/>
        <v>45576</v>
      </c>
      <c r="C14" s="49"/>
      <c r="D14" s="49"/>
      <c r="E14" s="49">
        <f>+Плевен!F14</f>
        <v>0</v>
      </c>
      <c r="F14" s="21"/>
      <c r="G14" s="54"/>
      <c r="H14" s="57"/>
      <c r="I14" s="76"/>
      <c r="J14" s="73"/>
      <c r="K14" s="122"/>
    </row>
    <row r="15" spans="2:14" x14ac:dyDescent="0.25">
      <c r="B15" s="47">
        <f t="shared" si="0"/>
        <v>45577</v>
      </c>
      <c r="C15" s="49"/>
      <c r="D15" s="49"/>
      <c r="E15" s="49">
        <f>+Плевен!F15</f>
        <v>0.63500000000000001</v>
      </c>
      <c r="F15" s="21"/>
      <c r="G15" s="54"/>
      <c r="H15" s="57"/>
      <c r="I15" s="76"/>
      <c r="J15" s="73"/>
      <c r="K15" s="122"/>
    </row>
    <row r="16" spans="2:14" x14ac:dyDescent="0.25">
      <c r="B16" s="47">
        <f t="shared" si="0"/>
        <v>45578</v>
      </c>
      <c r="C16" s="49"/>
      <c r="D16" s="49"/>
      <c r="E16" s="49">
        <f>+Плевен!F16</f>
        <v>1.409</v>
      </c>
      <c r="F16" s="21"/>
      <c r="G16" s="54"/>
      <c r="H16" s="57"/>
      <c r="I16" s="76"/>
      <c r="J16" s="73"/>
      <c r="K16" s="122"/>
    </row>
    <row r="17" spans="2:11" x14ac:dyDescent="0.25">
      <c r="B17" s="47">
        <f t="shared" si="0"/>
        <v>45579</v>
      </c>
      <c r="C17" s="49"/>
      <c r="D17" s="49"/>
      <c r="E17" s="49">
        <f>+Плевен!F17</f>
        <v>0</v>
      </c>
      <c r="F17" s="21"/>
      <c r="G17" s="54"/>
      <c r="H17" s="57"/>
      <c r="I17" s="76"/>
      <c r="J17" s="73"/>
      <c r="K17" s="122"/>
    </row>
    <row r="18" spans="2:11" x14ac:dyDescent="0.25">
      <c r="B18" s="47">
        <f t="shared" si="0"/>
        <v>45580</v>
      </c>
      <c r="C18" s="49"/>
      <c r="D18" s="49"/>
      <c r="E18" s="49">
        <f>+Плевен!F18</f>
        <v>0</v>
      </c>
      <c r="F18" s="21"/>
      <c r="G18" s="54"/>
      <c r="H18" s="57"/>
      <c r="I18" s="76"/>
      <c r="J18" s="73"/>
      <c r="K18" s="122"/>
    </row>
    <row r="19" spans="2:11" x14ac:dyDescent="0.25">
      <c r="B19" s="47">
        <f t="shared" si="0"/>
        <v>45581</v>
      </c>
      <c r="C19" s="49"/>
      <c r="D19" s="49"/>
      <c r="E19" s="49">
        <f>+Плевен!F19</f>
        <v>15.595000000000001</v>
      </c>
      <c r="F19" s="21"/>
      <c r="G19" s="54"/>
      <c r="H19" s="57"/>
      <c r="I19" s="76"/>
      <c r="J19" s="73"/>
      <c r="K19" s="122"/>
    </row>
    <row r="20" spans="2:11" x14ac:dyDescent="0.25">
      <c r="B20" s="47">
        <f t="shared" si="0"/>
        <v>45582</v>
      </c>
      <c r="C20" s="49"/>
      <c r="D20" s="49"/>
      <c r="E20" s="49">
        <f>+Плевен!F20</f>
        <v>0</v>
      </c>
      <c r="F20" s="21"/>
      <c r="G20" s="54"/>
      <c r="H20" s="57"/>
      <c r="I20" s="76"/>
      <c r="J20" s="73"/>
      <c r="K20" s="122"/>
    </row>
    <row r="21" spans="2:11" x14ac:dyDescent="0.25">
      <c r="B21" s="47">
        <f t="shared" si="0"/>
        <v>45583</v>
      </c>
      <c r="C21" s="49"/>
      <c r="D21" s="49"/>
      <c r="E21" s="49">
        <f>+Плевен!F21</f>
        <v>0</v>
      </c>
      <c r="F21" s="21"/>
      <c r="G21" s="54"/>
      <c r="H21" s="57"/>
      <c r="I21" s="76"/>
      <c r="J21" s="73"/>
      <c r="K21" s="122"/>
    </row>
    <row r="22" spans="2:11" x14ac:dyDescent="0.25">
      <c r="B22" s="47">
        <f t="shared" si="0"/>
        <v>45584</v>
      </c>
      <c r="C22" s="49"/>
      <c r="D22" s="49"/>
      <c r="E22" s="49">
        <f>+Плевен!F22</f>
        <v>0</v>
      </c>
      <c r="F22" s="21"/>
      <c r="G22" s="54"/>
      <c r="H22" s="57"/>
      <c r="I22" s="76"/>
      <c r="J22" s="73"/>
      <c r="K22" s="122"/>
    </row>
    <row r="23" spans="2:11" x14ac:dyDescent="0.25">
      <c r="B23" s="47">
        <f t="shared" si="0"/>
        <v>45585</v>
      </c>
      <c r="C23" s="49"/>
      <c r="D23" s="49"/>
      <c r="E23" s="49">
        <f>+Плевен!F23</f>
        <v>0</v>
      </c>
      <c r="F23" s="21"/>
      <c r="G23" s="54"/>
      <c r="H23" s="57"/>
      <c r="I23" s="76"/>
      <c r="J23" s="73"/>
      <c r="K23" s="122"/>
    </row>
    <row r="24" spans="2:11" x14ac:dyDescent="0.25">
      <c r="B24" s="47">
        <f t="shared" si="0"/>
        <v>45586</v>
      </c>
      <c r="C24" s="49"/>
      <c r="D24" s="49"/>
      <c r="E24" s="49">
        <f>+Плевен!F24</f>
        <v>0</v>
      </c>
      <c r="F24" s="21"/>
      <c r="G24" s="54"/>
      <c r="H24" s="57"/>
      <c r="I24" s="76"/>
      <c r="J24" s="73"/>
      <c r="K24" s="122"/>
    </row>
    <row r="25" spans="2:11" x14ac:dyDescent="0.25">
      <c r="B25" s="47">
        <f t="shared" si="0"/>
        <v>45587</v>
      </c>
      <c r="C25" s="49"/>
      <c r="D25" s="49"/>
      <c r="E25" s="49">
        <f>+Плевен!F25</f>
        <v>0</v>
      </c>
      <c r="F25" s="21"/>
      <c r="G25" s="56"/>
      <c r="H25" s="57"/>
      <c r="I25" s="76"/>
      <c r="J25" s="73"/>
      <c r="K25" s="122"/>
    </row>
    <row r="26" spans="2:11" x14ac:dyDescent="0.25">
      <c r="B26" s="47">
        <f t="shared" si="0"/>
        <v>45588</v>
      </c>
      <c r="C26" s="49"/>
      <c r="D26" s="49"/>
      <c r="E26" s="49">
        <f>+Плевен!F26</f>
        <v>0</v>
      </c>
      <c r="F26" s="21"/>
      <c r="G26" s="54"/>
      <c r="H26" s="57"/>
      <c r="I26" s="76"/>
      <c r="J26" s="73"/>
      <c r="K26" s="122"/>
    </row>
    <row r="27" spans="2:11" x14ac:dyDescent="0.25">
      <c r="B27" s="47">
        <f t="shared" si="0"/>
        <v>45589</v>
      </c>
      <c r="C27" s="49"/>
      <c r="D27" s="49"/>
      <c r="E27" s="49">
        <f>+Плевен!F27</f>
        <v>0</v>
      </c>
      <c r="F27" s="21"/>
      <c r="G27" s="54"/>
      <c r="H27" s="57"/>
      <c r="I27" s="76"/>
      <c r="J27" s="73"/>
      <c r="K27" s="122"/>
    </row>
    <row r="28" spans="2:11" x14ac:dyDescent="0.25">
      <c r="B28" s="47">
        <f t="shared" si="0"/>
        <v>45590</v>
      </c>
      <c r="C28" s="49"/>
      <c r="D28" s="49"/>
      <c r="E28" s="49">
        <f>+Плевен!F28</f>
        <v>0</v>
      </c>
      <c r="F28" s="21"/>
      <c r="G28" s="54"/>
      <c r="H28" s="57"/>
      <c r="I28" s="76"/>
      <c r="J28" s="73"/>
      <c r="K28" s="122"/>
    </row>
    <row r="29" spans="2:11" x14ac:dyDescent="0.25">
      <c r="B29" s="47">
        <f t="shared" si="0"/>
        <v>45591</v>
      </c>
      <c r="C29" s="49"/>
      <c r="D29" s="49"/>
      <c r="E29" s="49">
        <f>+Плевен!F29</f>
        <v>0</v>
      </c>
      <c r="F29" s="21"/>
      <c r="G29" s="54"/>
      <c r="H29" s="57"/>
      <c r="I29" s="76"/>
      <c r="J29" s="73"/>
      <c r="K29" s="122"/>
    </row>
    <row r="30" spans="2:11" x14ac:dyDescent="0.25">
      <c r="B30" s="47">
        <f t="shared" si="0"/>
        <v>45592</v>
      </c>
      <c r="C30" s="49"/>
      <c r="D30" s="49"/>
      <c r="E30" s="49">
        <f>+Плевен!F30</f>
        <v>0</v>
      </c>
      <c r="F30" s="21"/>
      <c r="G30" s="54"/>
      <c r="H30" s="57"/>
      <c r="I30" s="76"/>
      <c r="J30" s="73"/>
      <c r="K30" s="122"/>
    </row>
    <row r="31" spans="2:11" x14ac:dyDescent="0.25">
      <c r="B31" s="47">
        <f t="shared" si="0"/>
        <v>45593</v>
      </c>
      <c r="C31" s="49"/>
      <c r="D31" s="49"/>
      <c r="E31" s="49">
        <f>+Плевен!F31</f>
        <v>0</v>
      </c>
      <c r="F31" s="21"/>
      <c r="G31" s="54"/>
      <c r="H31" s="57"/>
      <c r="I31" s="76"/>
      <c r="J31" s="73"/>
      <c r="K31" s="122"/>
    </row>
    <row r="32" spans="2:11" x14ac:dyDescent="0.25">
      <c r="B32" s="47">
        <f t="shared" si="0"/>
        <v>45594</v>
      </c>
      <c r="C32" s="49"/>
      <c r="D32" s="49"/>
      <c r="E32" s="49">
        <f>+Плевен!F32</f>
        <v>0</v>
      </c>
      <c r="F32" s="21"/>
      <c r="G32" s="54"/>
      <c r="H32" s="57"/>
      <c r="I32" s="76"/>
      <c r="J32" s="73"/>
      <c r="K32" s="122"/>
    </row>
    <row r="33" spans="2:11" x14ac:dyDescent="0.25">
      <c r="B33" s="47">
        <f t="shared" si="0"/>
        <v>45595</v>
      </c>
      <c r="C33" s="49"/>
      <c r="D33" s="49"/>
      <c r="E33" s="49">
        <f>+Плевен!F33</f>
        <v>0</v>
      </c>
      <c r="F33" s="21"/>
      <c r="G33" s="54"/>
      <c r="H33" s="57"/>
      <c r="I33" s="76"/>
      <c r="J33" s="73"/>
      <c r="K33" s="122"/>
    </row>
    <row r="34" spans="2:11" x14ac:dyDescent="0.25">
      <c r="B34" s="47">
        <f t="shared" si="0"/>
        <v>45596</v>
      </c>
      <c r="C34" s="49"/>
      <c r="D34" s="49"/>
      <c r="E34" s="49">
        <f>+Плевен!F34</f>
        <v>0</v>
      </c>
      <c r="F34" s="7"/>
      <c r="G34" s="54"/>
      <c r="H34" s="57"/>
      <c r="I34" s="76"/>
      <c r="J34" s="73"/>
      <c r="K34" s="122"/>
    </row>
    <row r="35" spans="2:11" x14ac:dyDescent="0.25">
      <c r="E35" s="152">
        <f>SUM(E4:E34)</f>
        <v>17.638999999999999</v>
      </c>
      <c r="F35" s="16"/>
      <c r="G35" s="18">
        <f>SUM(G4:G34)</f>
        <v>0</v>
      </c>
      <c r="H35" s="18">
        <f>SUM(H4:H34)</f>
        <v>0</v>
      </c>
      <c r="I35" s="18">
        <f>SUM(I4:I34)</f>
        <v>0</v>
      </c>
      <c r="K35" s="124">
        <f>SUM(K4:K34)*-1</f>
        <v>0</v>
      </c>
    </row>
  </sheetData>
  <mergeCells count="3">
    <mergeCell ref="L1:M1"/>
    <mergeCell ref="B2:G2"/>
    <mergeCell ref="H2:J2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0.59999389629810485"/>
  </sheetPr>
  <dimension ref="B1:N35"/>
  <sheetViews>
    <sheetView topLeftCell="A3" zoomScale="70" zoomScaleNormal="70" workbookViewId="0">
      <selection activeCell="E4" sqref="E4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2.140625" style="1" bestFit="1" customWidth="1"/>
    <col min="5" max="5" width="10.140625" style="1" bestFit="1" customWidth="1"/>
    <col min="6" max="6" width="5.140625" style="1" bestFit="1" customWidth="1"/>
    <col min="7" max="7" width="10.7109375" style="1" bestFit="1" customWidth="1"/>
    <col min="8" max="8" width="15.42578125" style="1" bestFit="1" customWidth="1"/>
    <col min="9" max="9" width="13" style="1" customWidth="1"/>
    <col min="10" max="10" width="17.5703125" style="69" customWidth="1"/>
    <col min="11" max="11" width="13.28515625" style="1" customWidth="1"/>
    <col min="12" max="12" width="17.42578125" style="1" customWidth="1"/>
    <col min="13" max="13" width="19.140625" style="1" bestFit="1" customWidth="1"/>
    <col min="14" max="14" width="12.5703125" style="1" bestFit="1" customWidth="1"/>
    <col min="15" max="16384" width="8.85546875" style="1"/>
  </cols>
  <sheetData>
    <row r="1" spans="2:14" ht="58.5" thickBot="1" x14ac:dyDescent="0.3">
      <c r="H1" s="81" t="s">
        <v>101</v>
      </c>
      <c r="I1" s="78"/>
      <c r="J1" s="78"/>
      <c r="L1" s="653" t="s">
        <v>28</v>
      </c>
      <c r="M1" s="653"/>
    </row>
    <row r="2" spans="2:14" ht="15.75" thickBot="1" x14ac:dyDescent="0.3">
      <c r="B2" s="661" t="s">
        <v>132</v>
      </c>
      <c r="C2" s="662"/>
      <c r="D2" s="662"/>
      <c r="E2" s="662"/>
      <c r="F2" s="662"/>
      <c r="G2" s="663"/>
      <c r="H2" s="664" t="s">
        <v>70</v>
      </c>
      <c r="I2" s="652"/>
      <c r="J2" s="665"/>
      <c r="L2" s="2" t="s">
        <v>99</v>
      </c>
      <c r="M2" s="2" t="s">
        <v>80</v>
      </c>
      <c r="N2" s="1" t="s">
        <v>111</v>
      </c>
    </row>
    <row r="3" spans="2:14" ht="43.5" x14ac:dyDescent="0.25">
      <c r="B3" s="26" t="s">
        <v>8</v>
      </c>
      <c r="C3" s="46" t="s">
        <v>21</v>
      </c>
      <c r="D3" s="52" t="s">
        <v>26</v>
      </c>
      <c r="E3" s="52" t="s">
        <v>6</v>
      </c>
      <c r="F3" s="52" t="s">
        <v>20</v>
      </c>
      <c r="G3" s="35" t="s">
        <v>27</v>
      </c>
      <c r="H3" s="26" t="s">
        <v>64</v>
      </c>
      <c r="I3" s="81" t="s">
        <v>104</v>
      </c>
      <c r="J3" s="35" t="s">
        <v>71</v>
      </c>
      <c r="K3" s="69"/>
      <c r="L3" s="109"/>
      <c r="M3" s="109"/>
      <c r="N3" s="109"/>
    </row>
    <row r="4" spans="2:14" x14ac:dyDescent="0.25">
      <c r="B4" s="47">
        <v>45566</v>
      </c>
      <c r="C4" s="22"/>
      <c r="D4" s="22"/>
      <c r="E4" s="22">
        <f>+Плевен!G4</f>
        <v>5.5819999999999999</v>
      </c>
      <c r="F4" s="21"/>
      <c r="G4" s="48"/>
      <c r="H4" s="57"/>
      <c r="I4" s="76"/>
      <c r="J4" s="73"/>
      <c r="K4" s="121"/>
      <c r="M4" s="4"/>
      <c r="N4" s="4"/>
    </row>
    <row r="5" spans="2:14" x14ac:dyDescent="0.25">
      <c r="B5" s="47">
        <f>+B4+1</f>
        <v>45567</v>
      </c>
      <c r="C5" s="22"/>
      <c r="D5" s="22"/>
      <c r="E5" s="22">
        <f>+Плевен!G5</f>
        <v>18.207999999999998</v>
      </c>
      <c r="F5" s="21"/>
      <c r="G5" s="48"/>
      <c r="H5" s="57"/>
      <c r="I5" s="76"/>
      <c r="J5" s="73"/>
      <c r="K5" s="121"/>
    </row>
    <row r="6" spans="2:14" x14ac:dyDescent="0.25">
      <c r="B6" s="47">
        <f t="shared" ref="B6:B34" si="0">+B5+1</f>
        <v>45568</v>
      </c>
      <c r="C6" s="22"/>
      <c r="D6" s="22"/>
      <c r="E6" s="22">
        <f>+Плевен!G6</f>
        <v>15.896000000000001</v>
      </c>
      <c r="F6" s="21"/>
      <c r="G6" s="48"/>
      <c r="H6" s="57"/>
      <c r="I6" s="76"/>
      <c r="J6" s="73"/>
      <c r="K6" s="121"/>
    </row>
    <row r="7" spans="2:14" x14ac:dyDescent="0.25">
      <c r="B7" s="47">
        <f t="shared" si="0"/>
        <v>45569</v>
      </c>
      <c r="C7" s="22"/>
      <c r="D7" s="22"/>
      <c r="E7" s="22">
        <f>+Плевен!G7</f>
        <v>12.507999999999999</v>
      </c>
      <c r="F7" s="21"/>
      <c r="G7" s="48"/>
      <c r="H7" s="57"/>
      <c r="I7" s="76"/>
      <c r="J7" s="73"/>
      <c r="K7" s="121"/>
    </row>
    <row r="8" spans="2:14" x14ac:dyDescent="0.25">
      <c r="B8" s="47">
        <f t="shared" si="0"/>
        <v>45570</v>
      </c>
      <c r="C8" s="22"/>
      <c r="D8" s="22"/>
      <c r="E8" s="22">
        <f>+Плевен!G8</f>
        <v>10.303000000000001</v>
      </c>
      <c r="F8" s="21"/>
      <c r="G8" s="53"/>
      <c r="H8" s="57"/>
      <c r="I8" s="76"/>
      <c r="J8" s="73"/>
      <c r="K8" s="121"/>
    </row>
    <row r="9" spans="2:14" x14ac:dyDescent="0.25">
      <c r="B9" s="47">
        <f t="shared" si="0"/>
        <v>45571</v>
      </c>
      <c r="C9" s="22"/>
      <c r="D9" s="22"/>
      <c r="E9" s="22">
        <f>+Плевен!G9</f>
        <v>0</v>
      </c>
      <c r="F9" s="21"/>
      <c r="G9" s="53"/>
      <c r="H9" s="57"/>
      <c r="I9" s="76"/>
      <c r="J9" s="73"/>
      <c r="K9" s="121"/>
    </row>
    <row r="10" spans="2:14" x14ac:dyDescent="0.25">
      <c r="B10" s="47">
        <f t="shared" si="0"/>
        <v>45572</v>
      </c>
      <c r="C10" s="22"/>
      <c r="D10" s="22"/>
      <c r="E10" s="22">
        <f>+Плевен!G10</f>
        <v>0</v>
      </c>
      <c r="F10" s="21"/>
      <c r="G10" s="54"/>
      <c r="H10" s="57"/>
      <c r="I10" s="76"/>
      <c r="J10" s="73"/>
      <c r="K10" s="121"/>
    </row>
    <row r="11" spans="2:14" x14ac:dyDescent="0.25">
      <c r="B11" s="47">
        <f t="shared" si="0"/>
        <v>45573</v>
      </c>
      <c r="C11" s="22"/>
      <c r="D11" s="22"/>
      <c r="E11" s="22">
        <f>+Плевен!G11</f>
        <v>0</v>
      </c>
      <c r="F11" s="21"/>
      <c r="G11" s="55"/>
      <c r="H11" s="57"/>
      <c r="I11" s="76"/>
      <c r="J11" s="73"/>
      <c r="K11" s="121"/>
    </row>
    <row r="12" spans="2:14" x14ac:dyDescent="0.25">
      <c r="B12" s="47">
        <f t="shared" si="0"/>
        <v>45574</v>
      </c>
      <c r="C12" s="22"/>
      <c r="D12" s="22"/>
      <c r="E12" s="22">
        <f>+Плевен!G12</f>
        <v>42.622</v>
      </c>
      <c r="F12" s="21"/>
      <c r="G12" s="54"/>
      <c r="H12" s="57"/>
      <c r="I12" s="76"/>
      <c r="J12" s="73"/>
      <c r="K12" s="121"/>
    </row>
    <row r="13" spans="2:14" x14ac:dyDescent="0.25">
      <c r="B13" s="47">
        <f t="shared" si="0"/>
        <v>45575</v>
      </c>
      <c r="C13" s="22"/>
      <c r="D13" s="22"/>
      <c r="E13" s="22">
        <f>+Плевен!G13</f>
        <v>14.068</v>
      </c>
      <c r="F13" s="21"/>
      <c r="G13" s="56"/>
      <c r="H13" s="57"/>
      <c r="I13" s="76"/>
      <c r="J13" s="73"/>
      <c r="K13" s="121"/>
    </row>
    <row r="14" spans="2:14" x14ac:dyDescent="0.25">
      <c r="B14" s="47">
        <f t="shared" si="0"/>
        <v>45576</v>
      </c>
      <c r="C14" s="22"/>
      <c r="D14" s="22"/>
      <c r="E14" s="22">
        <f>+Плевен!G14</f>
        <v>9.6259999999999994</v>
      </c>
      <c r="F14" s="21"/>
      <c r="G14" s="54"/>
      <c r="H14" s="57"/>
      <c r="I14" s="76"/>
      <c r="J14" s="73"/>
      <c r="K14" s="121"/>
    </row>
    <row r="15" spans="2:14" x14ac:dyDescent="0.25">
      <c r="B15" s="47">
        <f t="shared" si="0"/>
        <v>45577</v>
      </c>
      <c r="C15" s="22"/>
      <c r="D15" s="22"/>
      <c r="E15" s="22">
        <f>+Плевен!G15</f>
        <v>12.788</v>
      </c>
      <c r="F15" s="21"/>
      <c r="G15" s="54"/>
      <c r="H15" s="57"/>
      <c r="I15" s="76"/>
      <c r="J15" s="73"/>
      <c r="K15" s="121"/>
    </row>
    <row r="16" spans="2:14" x14ac:dyDescent="0.25">
      <c r="B16" s="47">
        <f t="shared" si="0"/>
        <v>45578</v>
      </c>
      <c r="C16" s="22"/>
      <c r="D16" s="22"/>
      <c r="E16" s="22">
        <f>+Плевен!G16</f>
        <v>9.3460000000000001</v>
      </c>
      <c r="F16" s="21"/>
      <c r="G16" s="54"/>
      <c r="H16" s="57"/>
      <c r="I16" s="76"/>
      <c r="J16" s="73"/>
      <c r="K16" s="121"/>
    </row>
    <row r="17" spans="2:11" x14ac:dyDescent="0.25">
      <c r="B17" s="47">
        <f t="shared" si="0"/>
        <v>45579</v>
      </c>
      <c r="C17" s="22"/>
      <c r="D17" s="22"/>
      <c r="E17" s="22">
        <f>+Плевен!G17</f>
        <v>4.3769999999999998</v>
      </c>
      <c r="F17" s="21"/>
      <c r="G17" s="54"/>
      <c r="H17" s="57"/>
      <c r="I17" s="76"/>
      <c r="J17" s="73"/>
      <c r="K17" s="121"/>
    </row>
    <row r="18" spans="2:11" x14ac:dyDescent="0.25">
      <c r="B18" s="47">
        <f t="shared" si="0"/>
        <v>45580</v>
      </c>
      <c r="C18" s="22"/>
      <c r="D18" s="22"/>
      <c r="E18" s="22">
        <f>+Плевен!G18</f>
        <v>5.2380000000000004</v>
      </c>
      <c r="F18" s="21"/>
      <c r="G18" s="54"/>
      <c r="H18" s="57"/>
      <c r="I18" s="76"/>
      <c r="J18" s="73"/>
      <c r="K18" s="121"/>
    </row>
    <row r="19" spans="2:11" x14ac:dyDescent="0.25">
      <c r="B19" s="47">
        <f t="shared" si="0"/>
        <v>45581</v>
      </c>
      <c r="C19" s="22"/>
      <c r="D19" s="22"/>
      <c r="E19" s="22">
        <f>+Плевен!G19</f>
        <v>19.047000000000001</v>
      </c>
      <c r="F19" s="21"/>
      <c r="G19" s="54"/>
      <c r="H19" s="57"/>
      <c r="I19" s="76"/>
      <c r="J19" s="73"/>
      <c r="K19" s="121"/>
    </row>
    <row r="20" spans="2:11" x14ac:dyDescent="0.25">
      <c r="B20" s="47">
        <f t="shared" si="0"/>
        <v>45582</v>
      </c>
      <c r="C20" s="22"/>
      <c r="D20" s="22"/>
      <c r="E20" s="22">
        <f>+Плевен!G20</f>
        <v>0</v>
      </c>
      <c r="F20" s="21"/>
      <c r="G20" s="54"/>
      <c r="H20" s="57"/>
      <c r="I20" s="76"/>
      <c r="J20" s="73"/>
      <c r="K20" s="121"/>
    </row>
    <row r="21" spans="2:11" x14ac:dyDescent="0.25">
      <c r="B21" s="47">
        <f t="shared" si="0"/>
        <v>45583</v>
      </c>
      <c r="C21" s="22"/>
      <c r="D21" s="22"/>
      <c r="E21" s="22">
        <f>+Плевен!G21</f>
        <v>0</v>
      </c>
      <c r="F21" s="21"/>
      <c r="G21" s="54"/>
      <c r="H21" s="57"/>
      <c r="I21" s="76"/>
      <c r="J21" s="73"/>
      <c r="K21" s="121"/>
    </row>
    <row r="22" spans="2:11" x14ac:dyDescent="0.25">
      <c r="B22" s="47">
        <f t="shared" si="0"/>
        <v>45584</v>
      </c>
      <c r="C22" s="22"/>
      <c r="D22" s="22"/>
      <c r="E22" s="22">
        <f>+Плевен!G22</f>
        <v>0</v>
      </c>
      <c r="F22" s="21"/>
      <c r="G22" s="54"/>
      <c r="H22" s="57"/>
      <c r="I22" s="76"/>
      <c r="J22" s="73"/>
      <c r="K22" s="121"/>
    </row>
    <row r="23" spans="2:11" x14ac:dyDescent="0.25">
      <c r="B23" s="47">
        <f t="shared" si="0"/>
        <v>45585</v>
      </c>
      <c r="C23" s="22"/>
      <c r="D23" s="22"/>
      <c r="E23" s="22">
        <f>+Плевен!G23</f>
        <v>0</v>
      </c>
      <c r="F23" s="21"/>
      <c r="G23" s="54"/>
      <c r="H23" s="57"/>
      <c r="I23" s="76"/>
      <c r="J23" s="73"/>
      <c r="K23" s="121"/>
    </row>
    <row r="24" spans="2:11" x14ac:dyDescent="0.25">
      <c r="B24" s="47">
        <f t="shared" si="0"/>
        <v>45586</v>
      </c>
      <c r="C24" s="22"/>
      <c r="D24" s="22"/>
      <c r="E24" s="22">
        <f>+Плевен!G24</f>
        <v>0</v>
      </c>
      <c r="F24" s="21"/>
      <c r="G24" s="54"/>
      <c r="H24" s="57"/>
      <c r="I24" s="76"/>
      <c r="J24" s="73"/>
      <c r="K24" s="121"/>
    </row>
    <row r="25" spans="2:11" x14ac:dyDescent="0.25">
      <c r="B25" s="47">
        <f t="shared" si="0"/>
        <v>45587</v>
      </c>
      <c r="C25" s="22"/>
      <c r="D25" s="22"/>
      <c r="E25" s="22">
        <f>+Плевен!G25</f>
        <v>0</v>
      </c>
      <c r="F25" s="21"/>
      <c r="G25" s="56"/>
      <c r="H25" s="57"/>
      <c r="I25" s="76"/>
      <c r="J25" s="73"/>
      <c r="K25" s="121"/>
    </row>
    <row r="26" spans="2:11" x14ac:dyDescent="0.25">
      <c r="B26" s="47">
        <f t="shared" si="0"/>
        <v>45588</v>
      </c>
      <c r="C26" s="22"/>
      <c r="D26" s="22"/>
      <c r="E26" s="22">
        <f>+Плевен!G26</f>
        <v>0</v>
      </c>
      <c r="F26" s="21"/>
      <c r="G26" s="54"/>
      <c r="H26" s="57"/>
      <c r="I26" s="76"/>
      <c r="J26" s="73"/>
      <c r="K26" s="121"/>
    </row>
    <row r="27" spans="2:11" x14ac:dyDescent="0.25">
      <c r="B27" s="47">
        <f t="shared" si="0"/>
        <v>45589</v>
      </c>
      <c r="C27" s="22"/>
      <c r="D27" s="22"/>
      <c r="E27" s="22">
        <f>+Плевен!G27</f>
        <v>0</v>
      </c>
      <c r="F27" s="21"/>
      <c r="G27" s="54"/>
      <c r="H27" s="57"/>
      <c r="I27" s="76"/>
      <c r="J27" s="73"/>
      <c r="K27" s="121"/>
    </row>
    <row r="28" spans="2:11" x14ac:dyDescent="0.25">
      <c r="B28" s="47">
        <f t="shared" si="0"/>
        <v>45590</v>
      </c>
      <c r="C28" s="49"/>
      <c r="D28" s="22"/>
      <c r="E28" s="22">
        <f>+Плевен!G28</f>
        <v>0</v>
      </c>
      <c r="F28" s="21"/>
      <c r="G28" s="54"/>
      <c r="H28" s="57"/>
      <c r="I28" s="76"/>
      <c r="J28" s="73"/>
      <c r="K28" s="121"/>
    </row>
    <row r="29" spans="2:11" x14ac:dyDescent="0.25">
      <c r="B29" s="47">
        <f t="shared" si="0"/>
        <v>45591</v>
      </c>
      <c r="C29" s="49"/>
      <c r="D29" s="22"/>
      <c r="E29" s="22">
        <f>+Плевен!G29</f>
        <v>0</v>
      </c>
      <c r="F29" s="21"/>
      <c r="G29" s="54"/>
      <c r="H29" s="57"/>
      <c r="I29" s="76"/>
      <c r="J29" s="73"/>
      <c r="K29" s="121"/>
    </row>
    <row r="30" spans="2:11" x14ac:dyDescent="0.25">
      <c r="B30" s="47">
        <f t="shared" si="0"/>
        <v>45592</v>
      </c>
      <c r="C30" s="49"/>
      <c r="D30" s="22"/>
      <c r="E30" s="22">
        <f>+Плевен!G30</f>
        <v>0</v>
      </c>
      <c r="F30" s="21"/>
      <c r="G30" s="54"/>
      <c r="H30" s="57"/>
      <c r="I30" s="76"/>
      <c r="J30" s="73"/>
      <c r="K30" s="121"/>
    </row>
    <row r="31" spans="2:11" x14ac:dyDescent="0.25">
      <c r="B31" s="47">
        <f t="shared" si="0"/>
        <v>45593</v>
      </c>
      <c r="C31" s="49"/>
      <c r="D31" s="22"/>
      <c r="E31" s="22">
        <f>+Плевен!G31</f>
        <v>0</v>
      </c>
      <c r="F31" s="21"/>
      <c r="G31" s="54"/>
      <c r="H31" s="57"/>
      <c r="I31" s="76"/>
      <c r="J31" s="73"/>
      <c r="K31" s="121"/>
    </row>
    <row r="32" spans="2:11" x14ac:dyDescent="0.25">
      <c r="B32" s="47">
        <f t="shared" si="0"/>
        <v>45594</v>
      </c>
      <c r="C32" s="49"/>
      <c r="D32" s="22"/>
      <c r="E32" s="22">
        <f>+Плевен!G32</f>
        <v>0</v>
      </c>
      <c r="F32" s="21"/>
      <c r="G32" s="54"/>
      <c r="H32" s="57"/>
      <c r="I32" s="76"/>
      <c r="J32" s="73"/>
      <c r="K32" s="121"/>
    </row>
    <row r="33" spans="2:12" x14ac:dyDescent="0.25">
      <c r="B33" s="47">
        <f t="shared" si="0"/>
        <v>45595</v>
      </c>
      <c r="C33" s="49"/>
      <c r="D33" s="22"/>
      <c r="E33" s="22">
        <f>+Плевен!G33</f>
        <v>0</v>
      </c>
      <c r="F33" s="21"/>
      <c r="G33" s="54"/>
      <c r="H33" s="57"/>
      <c r="I33" s="76"/>
      <c r="J33" s="73"/>
      <c r="K33" s="121"/>
    </row>
    <row r="34" spans="2:12" x14ac:dyDescent="0.25">
      <c r="B34" s="47">
        <f t="shared" si="0"/>
        <v>45596</v>
      </c>
      <c r="C34" s="49"/>
      <c r="D34" s="22"/>
      <c r="E34" s="22">
        <f>+Плевен!G34</f>
        <v>0</v>
      </c>
      <c r="F34" s="7"/>
      <c r="G34" s="54"/>
      <c r="H34" s="57"/>
      <c r="I34" s="76"/>
      <c r="J34" s="73"/>
      <c r="K34" s="121"/>
    </row>
    <row r="35" spans="2:12" x14ac:dyDescent="0.25">
      <c r="E35" s="16">
        <f>SUM(E4:E34)</f>
        <v>179.60900000000001</v>
      </c>
      <c r="F35" s="16"/>
      <c r="G35" s="18">
        <f>SUM(G4:G34)</f>
        <v>0</v>
      </c>
      <c r="H35" s="18">
        <f>SUM(H4:H34)</f>
        <v>0</v>
      </c>
      <c r="I35" s="18">
        <f>SUM(I4:I34)</f>
        <v>0</v>
      </c>
      <c r="K35" s="180">
        <f>SUM(K4:K34)*-1</f>
        <v>0</v>
      </c>
      <c r="L35" s="1" t="s">
        <v>121</v>
      </c>
    </row>
  </sheetData>
  <mergeCells count="3">
    <mergeCell ref="L1:M1"/>
    <mergeCell ref="B2:G2"/>
    <mergeCell ref="H2:J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U37"/>
  <sheetViews>
    <sheetView zoomScale="70" zoomScaleNormal="70" workbookViewId="0">
      <selection activeCell="L20" sqref="L20"/>
    </sheetView>
  </sheetViews>
  <sheetFormatPr defaultColWidth="8.85546875" defaultRowHeight="15" x14ac:dyDescent="0.25"/>
  <cols>
    <col min="1" max="1" width="8.85546875" style="1"/>
    <col min="2" max="2" width="13.42578125" style="1" bestFit="1" customWidth="1"/>
    <col min="3" max="3" width="9.85546875" style="1" bestFit="1" customWidth="1"/>
    <col min="4" max="4" width="16.28515625" style="1" bestFit="1" customWidth="1"/>
    <col min="5" max="5" width="16.28515625" style="1" customWidth="1"/>
    <col min="6" max="6" width="12.5703125" style="1" customWidth="1"/>
    <col min="7" max="7" width="15.85546875" style="1" customWidth="1"/>
    <col min="8" max="8" width="15.28515625" style="1" bestFit="1" customWidth="1"/>
    <col min="9" max="11" width="15.28515625" style="1" customWidth="1"/>
    <col min="12" max="12" width="15.42578125" style="1" bestFit="1" customWidth="1"/>
    <col min="13" max="13" width="13" style="1" customWidth="1"/>
    <col min="14" max="15" width="17.5703125" style="69" customWidth="1"/>
    <col min="16" max="16" width="9.140625" style="121" bestFit="1" customWidth="1"/>
    <col min="17" max="17" width="17.85546875" style="1" customWidth="1"/>
    <col min="18" max="18" width="12.28515625" style="1" customWidth="1"/>
    <col min="19" max="16384" width="8.85546875" style="1"/>
  </cols>
  <sheetData>
    <row r="1" spans="2:21" x14ac:dyDescent="0.25">
      <c r="L1" s="77"/>
      <c r="M1" s="78"/>
      <c r="N1" s="78"/>
      <c r="O1" s="13"/>
      <c r="Q1" s="653" t="s">
        <v>28</v>
      </c>
      <c r="R1" s="653"/>
    </row>
    <row r="2" spans="2:21" ht="14.45" customHeight="1" x14ac:dyDescent="0.25">
      <c r="B2" s="655" t="s">
        <v>15</v>
      </c>
      <c r="C2" s="656"/>
      <c r="D2" s="656"/>
      <c r="E2" s="656"/>
      <c r="F2" s="656"/>
      <c r="G2" s="656"/>
      <c r="H2" s="656"/>
      <c r="I2" s="656"/>
      <c r="J2" s="657"/>
      <c r="K2" s="239"/>
      <c r="L2" s="652" t="s">
        <v>70</v>
      </c>
      <c r="M2" s="652"/>
      <c r="N2" s="652"/>
      <c r="O2" s="13"/>
      <c r="Q2" s="2" t="s">
        <v>99</v>
      </c>
      <c r="R2" s="2" t="s">
        <v>111</v>
      </c>
      <c r="S2" s="2" t="s">
        <v>80</v>
      </c>
    </row>
    <row r="3" spans="2:21" ht="43.5" x14ac:dyDescent="0.25">
      <c r="B3" s="12" t="s">
        <v>8</v>
      </c>
      <c r="C3" s="2" t="s">
        <v>21</v>
      </c>
      <c r="D3" s="40" t="s">
        <v>22</v>
      </c>
      <c r="E3" s="40" t="s">
        <v>18</v>
      </c>
      <c r="F3" s="13" t="s">
        <v>29</v>
      </c>
      <c r="G3" s="13" t="s">
        <v>30</v>
      </c>
      <c r="H3" s="73" t="s">
        <v>6</v>
      </c>
      <c r="I3" s="221" t="s">
        <v>20</v>
      </c>
      <c r="J3" s="223" t="s">
        <v>55</v>
      </c>
      <c r="K3" s="119" t="s">
        <v>136</v>
      </c>
      <c r="L3" s="119" t="s">
        <v>137</v>
      </c>
      <c r="M3" s="77" t="s">
        <v>102</v>
      </c>
      <c r="N3" s="77" t="s">
        <v>82</v>
      </c>
      <c r="O3" s="77" t="s">
        <v>103</v>
      </c>
      <c r="P3" s="121" t="s">
        <v>121</v>
      </c>
      <c r="Q3" s="245"/>
      <c r="R3" s="240"/>
      <c r="S3" s="109">
        <v>40</v>
      </c>
    </row>
    <row r="4" spans="2:21" x14ac:dyDescent="0.25">
      <c r="B4" s="47">
        <v>45627</v>
      </c>
      <c r="C4" s="22">
        <v>936</v>
      </c>
      <c r="D4" s="22">
        <v>1182.4690000000001</v>
      </c>
      <c r="E4" s="70">
        <f>+D4-F4-H4</f>
        <v>995</v>
      </c>
      <c r="F4" s="22">
        <v>176.81200000000001</v>
      </c>
      <c r="G4" s="22">
        <v>0</v>
      </c>
      <c r="H4" s="74">
        <v>10.657000000000039</v>
      </c>
      <c r="I4" s="74">
        <v>972</v>
      </c>
      <c r="J4" s="118">
        <v>0</v>
      </c>
      <c r="K4" s="241"/>
      <c r="L4" s="75"/>
      <c r="M4" s="171">
        <f>+K4*'Цени капацитети'!$F$45+L4*'Цени капацитети'!$F$59</f>
        <v>0</v>
      </c>
      <c r="N4" s="171">
        <f>+K4*'Цени капацитети'!$E$45+L4*'Цени капацитети'!$E$59</f>
        <v>0</v>
      </c>
      <c r="O4" s="171">
        <f>+$Q$3*'Цени капацитети'!$E$4+Бургас!$S$3*'Цени капацитети'!$E$21+$R$3*'Цени капацитети'!$E$8+Бургас!N4</f>
        <v>101.64</v>
      </c>
      <c r="Q4" s="17"/>
    </row>
    <row r="5" spans="2:21" x14ac:dyDescent="0.25">
      <c r="B5" s="47">
        <f>+B4+1</f>
        <v>45628</v>
      </c>
      <c r="C5" s="22">
        <v>1032</v>
      </c>
      <c r="D5" s="22">
        <v>1520.3589999999999</v>
      </c>
      <c r="E5" s="70">
        <f t="shared" ref="E5:E30" si="0">+D5-F5-H5</f>
        <v>1040</v>
      </c>
      <c r="F5" s="22">
        <v>344.91300000000001</v>
      </c>
      <c r="G5" s="22">
        <v>40</v>
      </c>
      <c r="H5" s="74">
        <v>135.44599999999991</v>
      </c>
      <c r="I5" s="74">
        <v>972</v>
      </c>
      <c r="J5" s="118">
        <v>0</v>
      </c>
      <c r="K5" s="241"/>
      <c r="L5" s="75"/>
      <c r="M5" s="171">
        <f>+K5*'Цени капацитети'!$F$45+L5*'Цени капацитети'!$F$59</f>
        <v>0</v>
      </c>
      <c r="N5" s="171">
        <f>+K5*'Цени капацитети'!$E$45+L5*'Цени капацитети'!$E$59</f>
        <v>0</v>
      </c>
      <c r="O5" s="171">
        <f>+$Q$3*'Цени капацитети'!$E$4+Бургас!$S$3*'Цени капацитети'!$E$21+$R$3*'Цени капацитети'!$E$8+Бургас!N5</f>
        <v>101.64</v>
      </c>
      <c r="Q5" s="3"/>
      <c r="U5" s="16"/>
    </row>
    <row r="6" spans="2:21" x14ac:dyDescent="0.25">
      <c r="B6" s="47">
        <f t="shared" ref="B6:B34" si="1">+B5+1</f>
        <v>45629</v>
      </c>
      <c r="C6" s="22">
        <v>1237</v>
      </c>
      <c r="D6" s="22">
        <v>1479.7909999999999</v>
      </c>
      <c r="E6" s="70">
        <f t="shared" si="0"/>
        <v>1123.5</v>
      </c>
      <c r="F6" s="22">
        <v>325.84399999999999</v>
      </c>
      <c r="G6" s="22">
        <v>30</v>
      </c>
      <c r="H6" s="74">
        <v>30.446999999999889</v>
      </c>
      <c r="I6" s="74">
        <v>1050</v>
      </c>
      <c r="J6" s="118">
        <v>0</v>
      </c>
      <c r="K6" s="241"/>
      <c r="L6" s="75"/>
      <c r="M6" s="171">
        <f>+K6*'Цени капацитети'!$F$45+L6*'Цени капацитети'!$F$59</f>
        <v>0</v>
      </c>
      <c r="N6" s="171">
        <f>+K6*'Цени капацитети'!$E$45+L6*'Цени капацитети'!$E$59</f>
        <v>0</v>
      </c>
      <c r="O6" s="171">
        <f>+$Q$3*'Цени капацитети'!$E$4+Бургас!$S$3*'Цени капацитети'!$E$21+$R$3*'Цени капацитети'!$E$8+Бургас!N6</f>
        <v>101.64</v>
      </c>
      <c r="Q6" s="654" t="s">
        <v>106</v>
      </c>
      <c r="R6" s="654"/>
      <c r="U6" s="16"/>
    </row>
    <row r="7" spans="2:21" x14ac:dyDescent="0.25">
      <c r="B7" s="47">
        <f t="shared" si="1"/>
        <v>45630</v>
      </c>
      <c r="C7" s="22">
        <v>1100</v>
      </c>
      <c r="D7" s="22">
        <v>1552.194</v>
      </c>
      <c r="E7" s="70">
        <f t="shared" si="0"/>
        <v>1123.5</v>
      </c>
      <c r="F7" s="22">
        <v>337.08300000000003</v>
      </c>
      <c r="G7" s="22">
        <v>70</v>
      </c>
      <c r="H7" s="74">
        <v>91.610999999999876</v>
      </c>
      <c r="I7" s="74">
        <v>1050</v>
      </c>
      <c r="J7" s="118">
        <v>0</v>
      </c>
      <c r="K7" s="241"/>
      <c r="L7" s="75">
        <v>40</v>
      </c>
      <c r="M7" s="171">
        <f>+K7*'Цени капацитети'!$F$45+L7*'Цени капацитети'!$F$59</f>
        <v>117.776</v>
      </c>
      <c r="N7" s="171">
        <f>+K7*'Цени капацитети'!$E$45+L7*'Цени капацитети'!$E$59</f>
        <v>181.5</v>
      </c>
      <c r="O7" s="171">
        <f>+$Q$3*'Цени капацитети'!$E$4+Бургас!$S$3*'Цени капацитети'!$E$21+$R$3*'Цени капацитети'!$E$8+Бургас!N7</f>
        <v>283.14</v>
      </c>
      <c r="Q7" s="654"/>
      <c r="R7" s="654"/>
      <c r="U7" s="16"/>
    </row>
    <row r="8" spans="2:21" x14ac:dyDescent="0.25">
      <c r="B8" s="47">
        <f t="shared" si="1"/>
        <v>45631</v>
      </c>
      <c r="C8" s="22">
        <v>1054</v>
      </c>
      <c r="D8" s="22">
        <v>1365.4010000000001</v>
      </c>
      <c r="E8" s="70">
        <f t="shared" si="0"/>
        <v>960</v>
      </c>
      <c r="F8" s="22">
        <v>311.85199999999998</v>
      </c>
      <c r="G8" s="22">
        <v>80</v>
      </c>
      <c r="H8" s="74">
        <v>93.548999999999978</v>
      </c>
      <c r="I8" s="74">
        <v>1000</v>
      </c>
      <c r="J8" s="118">
        <v>0</v>
      </c>
      <c r="K8" s="241"/>
      <c r="L8" s="75">
        <v>60</v>
      </c>
      <c r="M8" s="171">
        <f>+K8*'Цени капацитети'!$F$45+L8*'Цени капацитети'!$F$59</f>
        <v>176.66399999999999</v>
      </c>
      <c r="N8" s="171">
        <f>+K8*'Цени капацитети'!$E$45+L8*'Цени капацитети'!$E$59</f>
        <v>272.25</v>
      </c>
      <c r="O8" s="171">
        <f>+$Q$3*'Цени капацитети'!$E$4+Бургас!$S$3*'Цени капацитети'!$E$21+$R$3*'Цени капацитети'!$E$8+Бургас!N8</f>
        <v>373.89</v>
      </c>
      <c r="Q8" s="654"/>
      <c r="R8" s="654"/>
      <c r="U8" s="16"/>
    </row>
    <row r="9" spans="2:21" x14ac:dyDescent="0.25">
      <c r="B9" s="47">
        <f t="shared" si="1"/>
        <v>45632</v>
      </c>
      <c r="C9" s="22">
        <v>957</v>
      </c>
      <c r="D9" s="22">
        <v>1184.5229999999999</v>
      </c>
      <c r="E9" s="70">
        <f t="shared" si="0"/>
        <v>931.07099999999991</v>
      </c>
      <c r="F9" s="22">
        <v>253.452</v>
      </c>
      <c r="G9" s="22">
        <v>0</v>
      </c>
      <c r="H9" s="74">
        <v>0</v>
      </c>
      <c r="I9" s="74">
        <v>950</v>
      </c>
      <c r="J9" s="118">
        <v>0</v>
      </c>
      <c r="K9" s="241"/>
      <c r="L9" s="75"/>
      <c r="M9" s="171">
        <f>+K9*'Цени капацитети'!$F$45+L9*'Цени капацитети'!$F$59</f>
        <v>0</v>
      </c>
      <c r="N9" s="171">
        <f>+K9*'Цени капацитети'!$E$45+L9*'Цени капацитети'!$E$59</f>
        <v>0</v>
      </c>
      <c r="O9" s="171">
        <f>+$Q$3*'Цени капацитети'!$E$4+Бургас!$S$3*'Цени капацитети'!$E$21+$R$3*'Цени капацитети'!$E$8+Бургас!N9</f>
        <v>101.64</v>
      </c>
      <c r="Q9" s="111" t="s">
        <v>18</v>
      </c>
      <c r="R9" s="112" t="s">
        <v>6</v>
      </c>
      <c r="U9" s="16"/>
    </row>
    <row r="10" spans="2:21" x14ac:dyDescent="0.25">
      <c r="B10" s="47">
        <f t="shared" si="1"/>
        <v>45633</v>
      </c>
      <c r="C10" s="22">
        <v>968</v>
      </c>
      <c r="D10" s="22">
        <v>1119.9290000000001</v>
      </c>
      <c r="E10" s="70">
        <f t="shared" si="0"/>
        <v>924.52100000000007</v>
      </c>
      <c r="F10" s="22">
        <v>195.40799999999999</v>
      </c>
      <c r="G10" s="22">
        <v>0</v>
      </c>
      <c r="H10" s="74">
        <v>0</v>
      </c>
      <c r="I10" s="74">
        <v>950</v>
      </c>
      <c r="J10" s="118">
        <v>0</v>
      </c>
      <c r="K10" s="241"/>
      <c r="L10" s="75"/>
      <c r="M10" s="171">
        <f>+K10*'Цени капацитети'!$F$45+L10*'Цени капацитети'!$F$59</f>
        <v>0</v>
      </c>
      <c r="N10" s="171">
        <f>+K10*'Цени капацитети'!$E$45+L10*'Цени капацитети'!$E$59</f>
        <v>0</v>
      </c>
      <c r="O10" s="171">
        <f>+$Q$3*'Цени капацитети'!$E$4+Бургас!$S$3*'Цени капацитети'!$E$21+$R$3*'Цени капацитети'!$E$8+Бургас!N10</f>
        <v>101.64</v>
      </c>
      <c r="Q10" s="111"/>
      <c r="R10" s="111"/>
      <c r="U10" s="16"/>
    </row>
    <row r="11" spans="2:21" x14ac:dyDescent="0.25">
      <c r="B11" s="47">
        <f t="shared" si="1"/>
        <v>45634</v>
      </c>
      <c r="C11" s="22">
        <v>968</v>
      </c>
      <c r="D11" s="22">
        <v>1095.096</v>
      </c>
      <c r="E11" s="70">
        <f t="shared" si="0"/>
        <v>928.57600000000002</v>
      </c>
      <c r="F11" s="22">
        <v>166.52</v>
      </c>
      <c r="G11" s="22">
        <v>0</v>
      </c>
      <c r="H11" s="74">
        <v>0</v>
      </c>
      <c r="I11" s="74">
        <v>950</v>
      </c>
      <c r="J11" s="118">
        <v>0</v>
      </c>
      <c r="K11" s="241"/>
      <c r="L11" s="75"/>
      <c r="M11" s="171">
        <f>+K11*'Цени капацитети'!$F$45+L11*'Цени капацитети'!$F$59</f>
        <v>0</v>
      </c>
      <c r="N11" s="171">
        <f>+K11*'Цени капацитети'!$E$45+L11*'Цени капацитети'!$E$59</f>
        <v>0</v>
      </c>
      <c r="O11" s="171">
        <f>+$Q$3*'Цени капацитети'!$E$4+Бургас!$S$3*'Цени капацитети'!$E$21+$R$3*'Цени капацитети'!$E$8+Бургас!N11</f>
        <v>101.64</v>
      </c>
      <c r="Q11" s="17"/>
      <c r="U11" s="16"/>
    </row>
    <row r="12" spans="2:21" x14ac:dyDescent="0.25">
      <c r="B12" s="47">
        <f t="shared" si="1"/>
        <v>45635</v>
      </c>
      <c r="C12" s="22">
        <v>946</v>
      </c>
      <c r="D12" s="22">
        <v>1183.674</v>
      </c>
      <c r="E12" s="70">
        <f t="shared" si="0"/>
        <v>875</v>
      </c>
      <c r="F12" s="22">
        <v>276.447</v>
      </c>
      <c r="G12" s="22">
        <v>40</v>
      </c>
      <c r="H12" s="74">
        <v>32.226999999999975</v>
      </c>
      <c r="I12" s="74">
        <v>970</v>
      </c>
      <c r="J12" s="118">
        <v>0</v>
      </c>
      <c r="K12" s="241"/>
      <c r="L12" s="75"/>
      <c r="M12" s="171">
        <f>+K12*'Цени капацитети'!$F$45+L12*'Цени капацитети'!$F$59</f>
        <v>0</v>
      </c>
      <c r="N12" s="171">
        <f>+K12*'Цени капацитети'!$E$45+L12*'Цени капацитети'!$E$59</f>
        <v>0</v>
      </c>
      <c r="O12" s="171">
        <f>+$Q$3*'Цени капацитети'!$E$4+Бургас!$S$3*'Цени капацитети'!$E$21+$R$3*'Цени капацитети'!$E$8+Бургас!N12</f>
        <v>101.64</v>
      </c>
      <c r="Q12" s="17"/>
      <c r="U12" s="16"/>
    </row>
    <row r="13" spans="2:21" x14ac:dyDescent="0.25">
      <c r="B13" s="47">
        <f t="shared" si="1"/>
        <v>45636</v>
      </c>
      <c r="C13" s="22">
        <v>926</v>
      </c>
      <c r="D13" s="22">
        <v>1207.883</v>
      </c>
      <c r="E13" s="70">
        <f t="shared" si="0"/>
        <v>885</v>
      </c>
      <c r="F13" s="22">
        <v>276.887</v>
      </c>
      <c r="G13" s="22">
        <v>40</v>
      </c>
      <c r="H13" s="74">
        <v>45.996000000000095</v>
      </c>
      <c r="I13" s="74">
        <v>970</v>
      </c>
      <c r="J13" s="118">
        <v>0</v>
      </c>
      <c r="K13" s="241"/>
      <c r="L13" s="75">
        <v>10</v>
      </c>
      <c r="M13" s="171">
        <f>+K13*'Цени капацитети'!$F$45+L13*'Цени капацитети'!$F$59</f>
        <v>29.443999999999999</v>
      </c>
      <c r="N13" s="171">
        <f>+K13*'Цени капацитети'!$E$45+L13*'Цени капацитети'!$E$59</f>
        <v>45.375</v>
      </c>
      <c r="O13" s="171">
        <f>+$Q$3*'Цени капацитети'!$E$4+Бургас!$S$3*'Цени капацитети'!$E$21+$R$3*'Цени капацитети'!$E$8+Бургас!N13</f>
        <v>147.01499999999999</v>
      </c>
      <c r="Q13" s="23"/>
      <c r="U13" s="16"/>
    </row>
    <row r="14" spans="2:21" x14ac:dyDescent="0.25">
      <c r="B14" s="47">
        <f t="shared" si="1"/>
        <v>45637</v>
      </c>
      <c r="C14" s="22">
        <v>904</v>
      </c>
      <c r="D14" s="22">
        <v>1282.9639999999999</v>
      </c>
      <c r="E14" s="70">
        <f t="shared" si="0"/>
        <v>875</v>
      </c>
      <c r="F14" s="22">
        <v>290.923</v>
      </c>
      <c r="G14" s="22">
        <v>80</v>
      </c>
      <c r="H14" s="74">
        <v>117.04099999999994</v>
      </c>
      <c r="I14" s="74">
        <v>970</v>
      </c>
      <c r="J14" s="118">
        <v>0</v>
      </c>
      <c r="K14" s="241"/>
      <c r="L14" s="75">
        <v>40</v>
      </c>
      <c r="M14" s="171">
        <f>+K14*'Цени капацитети'!$F$45+L14*'Цени капацитети'!$F$59</f>
        <v>117.776</v>
      </c>
      <c r="N14" s="171">
        <f>+K14*'Цени капацитети'!$E$45+L14*'Цени капацитети'!$E$59</f>
        <v>181.5</v>
      </c>
      <c r="O14" s="171">
        <f>+$Q$3*'Цени капацитети'!$E$4+Бургас!$S$3*'Цени капацитети'!$E$21+$R$3*'Цени капацитети'!$E$8+Бургас!N14</f>
        <v>283.14</v>
      </c>
      <c r="Q14" s="16"/>
      <c r="U14" s="16"/>
    </row>
    <row r="15" spans="2:21" x14ac:dyDescent="0.25">
      <c r="B15" s="47">
        <f t="shared" si="1"/>
        <v>45638</v>
      </c>
      <c r="C15" s="22">
        <v>926</v>
      </c>
      <c r="D15" s="22">
        <v>1369.4880000000001</v>
      </c>
      <c r="E15" s="70">
        <f t="shared" si="0"/>
        <v>937.69399999999996</v>
      </c>
      <c r="F15" s="22">
        <v>341.79399999999998</v>
      </c>
      <c r="G15" s="22">
        <v>90</v>
      </c>
      <c r="H15" s="74">
        <v>90</v>
      </c>
      <c r="I15" s="74">
        <v>970</v>
      </c>
      <c r="J15" s="118">
        <v>0</v>
      </c>
      <c r="K15" s="241"/>
      <c r="L15" s="75">
        <v>50</v>
      </c>
      <c r="M15" s="171">
        <f>+K15*'Цени капацитети'!$F$45+L15*'Цени капацитети'!$F$59</f>
        <v>147.22</v>
      </c>
      <c r="N15" s="171">
        <f>+K15*'Цени капацитети'!$E$45+L15*'Цени капацитети'!$E$59</f>
        <v>226.87499999999997</v>
      </c>
      <c r="O15" s="171">
        <f>+$Q$3*'Цени капацитети'!$E$4+Бургас!$S$3*'Цени капацитети'!$E$21+$R$3*'Цени капацитети'!$E$8+Бургас!N15</f>
        <v>328.51499999999999</v>
      </c>
      <c r="Q15" s="16"/>
      <c r="U15" s="16"/>
    </row>
    <row r="16" spans="2:21" x14ac:dyDescent="0.25">
      <c r="B16" s="47">
        <f t="shared" si="1"/>
        <v>45639</v>
      </c>
      <c r="C16" s="22">
        <v>904</v>
      </c>
      <c r="D16" s="22">
        <v>1461.0340000000001</v>
      </c>
      <c r="E16" s="70">
        <f t="shared" si="0"/>
        <v>998.34300000000007</v>
      </c>
      <c r="F16" s="22">
        <v>362.69099999999997</v>
      </c>
      <c r="G16" s="22">
        <v>90</v>
      </c>
      <c r="H16" s="74">
        <v>100</v>
      </c>
      <c r="I16" s="74">
        <v>970</v>
      </c>
      <c r="J16" s="118">
        <v>0</v>
      </c>
      <c r="K16" s="241"/>
      <c r="L16" s="75">
        <v>60</v>
      </c>
      <c r="M16" s="171">
        <f>+K16*'Цени капацитети'!$F$45+L16*'Цени капацитети'!$F$59</f>
        <v>176.66399999999999</v>
      </c>
      <c r="N16" s="171">
        <f>+K16*'Цени капацитети'!$E$45+L16*'Цени капацитети'!$E$59</f>
        <v>272.25</v>
      </c>
      <c r="O16" s="171">
        <f>+$Q$3*'Цени капацитети'!$E$4+Бургас!$S$3*'Цени капацитети'!$E$21+$R$3*'Цени капацитети'!$E$8+Бургас!N16</f>
        <v>373.89</v>
      </c>
      <c r="U16" s="16"/>
    </row>
    <row r="17" spans="2:21" x14ac:dyDescent="0.25">
      <c r="B17" s="47">
        <f t="shared" si="1"/>
        <v>45640</v>
      </c>
      <c r="C17" s="22">
        <v>937</v>
      </c>
      <c r="D17" s="22">
        <v>1188.481</v>
      </c>
      <c r="E17" s="70">
        <f t="shared" si="0"/>
        <v>905.81600000000003</v>
      </c>
      <c r="F17" s="22">
        <v>242.66499999999999</v>
      </c>
      <c r="G17" s="22">
        <v>20</v>
      </c>
      <c r="H17" s="74">
        <v>40</v>
      </c>
      <c r="I17" s="74">
        <v>1100</v>
      </c>
      <c r="J17" s="118">
        <v>0</v>
      </c>
      <c r="K17" s="241"/>
      <c r="L17" s="75"/>
      <c r="M17" s="171">
        <f>+K17*'Цени капацитети'!$F$45+L17*'Цени капацитети'!$F$59</f>
        <v>0</v>
      </c>
      <c r="N17" s="171">
        <f>+K17*'Цени капацитети'!$E$45+L17*'Цени капацитети'!$E$59</f>
        <v>0</v>
      </c>
      <c r="O17" s="171">
        <f>+$Q$3*'Цени капацитети'!$E$4+Бургас!$S$3*'Цени капацитети'!$E$21+$R$3*'Цени капацитети'!$E$8+Бургас!N17</f>
        <v>101.64</v>
      </c>
      <c r="U17" s="16"/>
    </row>
    <row r="18" spans="2:21" x14ac:dyDescent="0.25">
      <c r="B18" s="47">
        <f t="shared" si="1"/>
        <v>45641</v>
      </c>
      <c r="C18" s="22">
        <v>937</v>
      </c>
      <c r="D18" s="22">
        <v>1204.6679999999999</v>
      </c>
      <c r="E18" s="70">
        <f t="shared" si="0"/>
        <v>951.28899999999987</v>
      </c>
      <c r="F18" s="22">
        <v>213.37899999999999</v>
      </c>
      <c r="G18" s="22">
        <v>40</v>
      </c>
      <c r="H18" s="74">
        <v>40</v>
      </c>
      <c r="I18" s="74">
        <v>1100</v>
      </c>
      <c r="J18" s="118">
        <v>0</v>
      </c>
      <c r="K18" s="241"/>
      <c r="L18" s="75"/>
      <c r="M18" s="171">
        <f>+K18*'Цени капацитети'!$F$45+L18*'Цени капацитети'!$F$59</f>
        <v>0</v>
      </c>
      <c r="N18" s="171">
        <f>+K18*'Цени капацитети'!$E$45+L18*'Цени капацитети'!$E$59</f>
        <v>0</v>
      </c>
      <c r="O18" s="171">
        <f>+$Q$3*'Цени капацитети'!$E$4+Бургас!$S$3*'Цени капацитети'!$E$21+$R$3*'Цени капацитети'!$E$8+Бургас!N18</f>
        <v>101.64</v>
      </c>
      <c r="U18" s="16"/>
    </row>
    <row r="19" spans="2:21" x14ac:dyDescent="0.25">
      <c r="B19" s="47">
        <f t="shared" si="1"/>
        <v>45642</v>
      </c>
      <c r="C19" s="22">
        <v>904</v>
      </c>
      <c r="D19" s="22">
        <v>1424.65</v>
      </c>
      <c r="E19" s="70">
        <f t="shared" si="0"/>
        <v>968.95700000000011</v>
      </c>
      <c r="F19" s="22">
        <v>370.69299999999998</v>
      </c>
      <c r="G19" s="22">
        <v>75</v>
      </c>
      <c r="H19" s="74">
        <v>85</v>
      </c>
      <c r="I19" s="74">
        <v>1100</v>
      </c>
      <c r="J19" s="118">
        <v>0</v>
      </c>
      <c r="K19" s="241"/>
      <c r="L19" s="75">
        <v>45</v>
      </c>
      <c r="M19" s="171">
        <f>+K19*'Цени капацитети'!$F$45+L19*'Цени капацитети'!$F$59</f>
        <v>132.49799999999999</v>
      </c>
      <c r="N19" s="171">
        <f>+K19*'Цени капацитети'!$E$45+L19*'Цени капацитети'!$E$59</f>
        <v>204.18749999999997</v>
      </c>
      <c r="O19" s="171">
        <f>+$Q$3*'Цени капацитети'!$E$4+Бургас!$S$3*'Цени капацитети'!$E$21+$R$3*'Цени капацитети'!$E$8+Бургас!N19</f>
        <v>305.82749999999999</v>
      </c>
      <c r="U19" s="16"/>
    </row>
    <row r="20" spans="2:21" x14ac:dyDescent="0.25">
      <c r="B20" s="47">
        <f t="shared" si="1"/>
        <v>45643</v>
      </c>
      <c r="C20" s="22">
        <v>926</v>
      </c>
      <c r="D20" s="22"/>
      <c r="E20" s="70">
        <f t="shared" si="0"/>
        <v>0</v>
      </c>
      <c r="F20" s="22"/>
      <c r="G20" s="22"/>
      <c r="H20" s="74"/>
      <c r="I20" s="74"/>
      <c r="J20" s="118">
        <v>0</v>
      </c>
      <c r="K20" s="241"/>
      <c r="L20" s="75"/>
      <c r="M20" s="171">
        <f>+K20*'Цени капацитети'!$F$45+L20*'Цени капацитети'!$F$59</f>
        <v>0</v>
      </c>
      <c r="N20" s="171">
        <f>+K20*'Цени капацитети'!$E$45+L20*'Цени капацитети'!$E$59</f>
        <v>0</v>
      </c>
      <c r="O20" s="171">
        <f>+$Q$3*'Цени капацитети'!$E$4+Бургас!$S$3*'Цени капацитети'!$E$21+$R$3*'Цени капацитети'!$E$8+Бургас!N20</f>
        <v>101.64</v>
      </c>
      <c r="U20" s="16"/>
    </row>
    <row r="21" spans="2:21" x14ac:dyDescent="0.25">
      <c r="B21" s="47">
        <f t="shared" si="1"/>
        <v>45644</v>
      </c>
      <c r="C21" s="22">
        <v>904</v>
      </c>
      <c r="D21" s="22"/>
      <c r="E21" s="70">
        <f t="shared" si="0"/>
        <v>0</v>
      </c>
      <c r="F21" s="22"/>
      <c r="G21" s="22"/>
      <c r="H21" s="74"/>
      <c r="I21" s="74"/>
      <c r="J21" s="118">
        <v>0</v>
      </c>
      <c r="K21" s="241"/>
      <c r="L21" s="75"/>
      <c r="M21" s="171">
        <f>+K21*'Цени капацитети'!$F$45+L21*'Цени капацитети'!$F$59</f>
        <v>0</v>
      </c>
      <c r="N21" s="171">
        <f>+K21*'Цени капацитети'!$E$45+L21*'Цени капацитети'!$E$59</f>
        <v>0</v>
      </c>
      <c r="O21" s="171">
        <f>+$Q$3*'Цени капацитети'!$E$4+Бургас!$S$3*'Цени капацитети'!$E$21+$R$3*'Цени капацитети'!$E$8+Бургас!N21</f>
        <v>101.64</v>
      </c>
      <c r="U21" s="16"/>
    </row>
    <row r="22" spans="2:21" x14ac:dyDescent="0.25">
      <c r="B22" s="47">
        <f t="shared" si="1"/>
        <v>45645</v>
      </c>
      <c r="C22" s="22">
        <v>926</v>
      </c>
      <c r="D22" s="22"/>
      <c r="E22" s="70">
        <f t="shared" si="0"/>
        <v>0</v>
      </c>
      <c r="F22" s="22"/>
      <c r="G22" s="22"/>
      <c r="H22" s="74"/>
      <c r="I22" s="74"/>
      <c r="J22" s="118">
        <v>0</v>
      </c>
      <c r="K22" s="241"/>
      <c r="L22" s="75"/>
      <c r="M22" s="171">
        <f>+K22*'Цени капацитети'!$F$45+L22*'Цени капацитети'!$F$59</f>
        <v>0</v>
      </c>
      <c r="N22" s="171">
        <f>+K22*'Цени капацитети'!$E$45+L22*'Цени капацитети'!$E$59</f>
        <v>0</v>
      </c>
      <c r="O22" s="171">
        <f>+$Q$3*'Цени капацитети'!$E$4+Бургас!$S$3*'Цени капацитети'!$E$21+$R$3*'Цени капацитети'!$E$8+Бургас!N22</f>
        <v>101.64</v>
      </c>
      <c r="U22" s="16"/>
    </row>
    <row r="23" spans="2:21" x14ac:dyDescent="0.25">
      <c r="B23" s="47">
        <f t="shared" si="1"/>
        <v>45646</v>
      </c>
      <c r="C23" s="22">
        <v>904</v>
      </c>
      <c r="D23" s="22"/>
      <c r="E23" s="70">
        <f t="shared" si="0"/>
        <v>0</v>
      </c>
      <c r="F23" s="22"/>
      <c r="G23" s="22"/>
      <c r="H23" s="74"/>
      <c r="I23" s="74"/>
      <c r="J23" s="118">
        <v>0</v>
      </c>
      <c r="K23" s="241"/>
      <c r="L23" s="75"/>
      <c r="M23" s="171">
        <f>+K23*'Цени капацитети'!$F$45+L23*'Цени капацитети'!$F$59</f>
        <v>0</v>
      </c>
      <c r="N23" s="171">
        <f>+K23*'Цени капацитети'!$E$45+L23*'Цени капацитети'!$E$59</f>
        <v>0</v>
      </c>
      <c r="O23" s="171">
        <f>+$Q$3*'Цени капацитети'!$E$4+Бургас!$S$3*'Цени капацитети'!$E$21+$R$3*'Цени капацитети'!$E$8+Бургас!N23</f>
        <v>101.64</v>
      </c>
      <c r="U23" s="16"/>
    </row>
    <row r="24" spans="2:21" x14ac:dyDescent="0.25">
      <c r="B24" s="47">
        <f t="shared" si="1"/>
        <v>45647</v>
      </c>
      <c r="C24" s="22">
        <v>937</v>
      </c>
      <c r="D24" s="22"/>
      <c r="E24" s="70">
        <f t="shared" si="0"/>
        <v>0</v>
      </c>
      <c r="F24" s="22"/>
      <c r="G24" s="22"/>
      <c r="H24" s="74"/>
      <c r="I24" s="74"/>
      <c r="J24" s="118">
        <v>0</v>
      </c>
      <c r="K24" s="241"/>
      <c r="L24" s="75"/>
      <c r="M24" s="171">
        <f>+K24*'Цени капацитети'!$F$45+L24*'Цени капацитети'!$F$59</f>
        <v>0</v>
      </c>
      <c r="N24" s="171">
        <f>+K24*'Цени капацитети'!$E$45+L24*'Цени капацитети'!$E$59</f>
        <v>0</v>
      </c>
      <c r="O24" s="171">
        <f>+$Q$3*'Цени капацитети'!$E$4+Бургас!$S$3*'Цени капацитети'!$E$21+$R$3*'Цени капацитети'!$E$8+Бургас!N24</f>
        <v>101.64</v>
      </c>
      <c r="U24" s="16"/>
    </row>
    <row r="25" spans="2:21" x14ac:dyDescent="0.25">
      <c r="B25" s="47">
        <f t="shared" si="1"/>
        <v>45648</v>
      </c>
      <c r="C25" s="22">
        <v>937</v>
      </c>
      <c r="D25" s="22"/>
      <c r="E25" s="70">
        <f t="shared" si="0"/>
        <v>0</v>
      </c>
      <c r="F25" s="22"/>
      <c r="G25" s="22"/>
      <c r="H25" s="74"/>
      <c r="I25" s="74"/>
      <c r="J25" s="118">
        <v>0</v>
      </c>
      <c r="K25" s="241"/>
      <c r="L25" s="75"/>
      <c r="M25" s="171">
        <f>+K25*'Цени капацитети'!$F$45+L25*'Цени капацитети'!$F$59</f>
        <v>0</v>
      </c>
      <c r="N25" s="171">
        <f>+K25*'Цени капацитети'!$E$45+L25*'Цени капацитети'!$E$59</f>
        <v>0</v>
      </c>
      <c r="O25" s="171">
        <f>+$Q$3*'Цени капацитети'!$E$4+Бургас!$S$3*'Цени капацитети'!$E$21+$R$3*'Цени капацитети'!$E$8+Бургас!N25</f>
        <v>101.64</v>
      </c>
      <c r="U25" s="16"/>
    </row>
    <row r="26" spans="2:21" x14ac:dyDescent="0.25">
      <c r="B26" s="47">
        <f t="shared" si="1"/>
        <v>45649</v>
      </c>
      <c r="C26" s="22">
        <v>904</v>
      </c>
      <c r="D26" s="22"/>
      <c r="E26" s="70">
        <f t="shared" si="0"/>
        <v>0</v>
      </c>
      <c r="F26" s="22"/>
      <c r="G26" s="22"/>
      <c r="H26" s="74"/>
      <c r="I26" s="74"/>
      <c r="J26" s="118">
        <v>0</v>
      </c>
      <c r="K26" s="241"/>
      <c r="L26" s="75"/>
      <c r="M26" s="171">
        <f>+K26*'Цени капацитети'!$F$45+L26*'Цени капацитети'!$F$59</f>
        <v>0</v>
      </c>
      <c r="N26" s="171">
        <f>+K26*'Цени капацитети'!$E$45+L26*'Цени капацитети'!$E$59</f>
        <v>0</v>
      </c>
      <c r="O26" s="171">
        <f>+$Q$3*'Цени капацитети'!$E$4+Бургас!$S$3*'Цени капацитети'!$E$21+$R$3*'Цени капацитети'!$E$8+Бургас!N26</f>
        <v>101.64</v>
      </c>
      <c r="U26" s="16"/>
    </row>
    <row r="27" spans="2:21" x14ac:dyDescent="0.25">
      <c r="B27" s="47">
        <f t="shared" si="1"/>
        <v>45650</v>
      </c>
      <c r="C27" s="22">
        <v>948</v>
      </c>
      <c r="D27" s="22"/>
      <c r="E27" s="70">
        <f t="shared" si="0"/>
        <v>0</v>
      </c>
      <c r="F27" s="22"/>
      <c r="G27" s="22"/>
      <c r="H27" s="74"/>
      <c r="I27" s="74"/>
      <c r="J27" s="118">
        <v>0</v>
      </c>
      <c r="K27" s="241"/>
      <c r="L27" s="75"/>
      <c r="M27" s="171">
        <f>+K27*'Цени капацитети'!$F$45+L27*'Цени капацитети'!$F$59</f>
        <v>0</v>
      </c>
      <c r="N27" s="171">
        <f>+K27*'Цени капацитети'!$E$45+L27*'Цени капацитети'!$E$59</f>
        <v>0</v>
      </c>
      <c r="O27" s="171">
        <f>+$Q$3*'Цени капацитети'!$E$4+Бургас!$S$3*'Цени капацитети'!$E$21+$R$3*'Цени капацитети'!$E$8+Бургас!N27</f>
        <v>101.64</v>
      </c>
      <c r="U27" s="16"/>
    </row>
    <row r="28" spans="2:21" x14ac:dyDescent="0.25">
      <c r="B28" s="47">
        <f t="shared" si="1"/>
        <v>45651</v>
      </c>
      <c r="C28" s="22">
        <v>948</v>
      </c>
      <c r="D28" s="22"/>
      <c r="E28" s="70">
        <f t="shared" si="0"/>
        <v>0</v>
      </c>
      <c r="F28" s="22"/>
      <c r="G28" s="22"/>
      <c r="H28" s="74"/>
      <c r="I28" s="74"/>
      <c r="J28" s="118">
        <v>0</v>
      </c>
      <c r="K28" s="241"/>
      <c r="L28" s="75"/>
      <c r="M28" s="171">
        <f>+K28*'Цени капацитети'!$F$45+L28*'Цени капацитети'!$F$59</f>
        <v>0</v>
      </c>
      <c r="N28" s="171">
        <f>+K28*'Цени капацитети'!$E$45+L28*'Цени капацитети'!$E$59</f>
        <v>0</v>
      </c>
      <c r="O28" s="171">
        <f>+$Q$3*'Цени капацитети'!$E$4+Бургас!$S$3*'Цени капацитети'!$E$21+$R$3*'Цени капацитети'!$E$8+Бургас!N28</f>
        <v>101.64</v>
      </c>
      <c r="U28" s="16"/>
    </row>
    <row r="29" spans="2:21" x14ac:dyDescent="0.25">
      <c r="B29" s="47">
        <f t="shared" si="1"/>
        <v>45652</v>
      </c>
      <c r="C29" s="22">
        <v>948</v>
      </c>
      <c r="D29" s="22"/>
      <c r="E29" s="70">
        <f t="shared" si="0"/>
        <v>0</v>
      </c>
      <c r="F29" s="22"/>
      <c r="G29" s="22"/>
      <c r="H29" s="74"/>
      <c r="I29" s="74"/>
      <c r="J29" s="118">
        <v>0</v>
      </c>
      <c r="K29" s="241"/>
      <c r="L29" s="75"/>
      <c r="M29" s="171">
        <f>+K29*'Цени капацитети'!$F$45+L29*'Цени капацитети'!$F$59</f>
        <v>0</v>
      </c>
      <c r="N29" s="171">
        <f>+K29*'Цени капацитети'!$E$45+L29*'Цени капацитети'!$E$59</f>
        <v>0</v>
      </c>
      <c r="O29" s="171">
        <f>+$Q$3*'Цени капацитети'!$E$4+Бургас!$S$3*'Цени капацитети'!$E$21+$R$3*'Цени капацитети'!$E$8+Бургас!N29</f>
        <v>101.64</v>
      </c>
      <c r="U29" s="16"/>
    </row>
    <row r="30" spans="2:21" x14ac:dyDescent="0.25">
      <c r="B30" s="47">
        <f t="shared" si="1"/>
        <v>45653</v>
      </c>
      <c r="C30" s="22">
        <v>904</v>
      </c>
      <c r="D30" s="22"/>
      <c r="E30" s="70">
        <f t="shared" si="0"/>
        <v>0</v>
      </c>
      <c r="F30" s="22"/>
      <c r="G30" s="22"/>
      <c r="H30" s="74"/>
      <c r="I30" s="74"/>
      <c r="J30" s="118">
        <v>0</v>
      </c>
      <c r="K30" s="241"/>
      <c r="L30" s="75"/>
      <c r="M30" s="171">
        <f>+K30*'Цени капацитети'!$F$45+L30*'Цени капацитети'!$F$59</f>
        <v>0</v>
      </c>
      <c r="N30" s="171">
        <f>+K30*'Цени капацитети'!$E$45+L30*'Цени капацитети'!$E$59</f>
        <v>0</v>
      </c>
      <c r="O30" s="171">
        <f>+$Q$3*'Цени капацитети'!$E$4+Бургас!$S$3*'Цени капацитети'!$E$21+$R$3*'Цени капацитети'!$E$8+Бургас!N30</f>
        <v>101.64</v>
      </c>
      <c r="U30" s="16"/>
    </row>
    <row r="31" spans="2:21" x14ac:dyDescent="0.25">
      <c r="B31" s="47">
        <f t="shared" si="1"/>
        <v>45654</v>
      </c>
      <c r="C31" s="22">
        <v>937</v>
      </c>
      <c r="D31" s="22"/>
      <c r="E31" s="70">
        <f t="shared" ref="E31" si="2">+D31-F31-H31</f>
        <v>0</v>
      </c>
      <c r="F31" s="22"/>
      <c r="G31" s="22"/>
      <c r="H31" s="74"/>
      <c r="I31" s="74"/>
      <c r="J31" s="118">
        <v>0</v>
      </c>
      <c r="K31" s="241"/>
      <c r="L31" s="75"/>
      <c r="M31" s="171">
        <f>+K31*'Цени капацитети'!$F$45+L31*'Цени капацитети'!$F$59</f>
        <v>0</v>
      </c>
      <c r="N31" s="171">
        <f>+K31*'Цени капацитети'!$E$45+L31*'Цени капацитети'!$E$59</f>
        <v>0</v>
      </c>
      <c r="O31" s="171">
        <f>+$Q$3*'Цени капацитети'!$E$4+Бургас!$S$3*'Цени капацитети'!$E$21+$R$3*'Цени капацитети'!$E$8+Бургас!N31</f>
        <v>101.64</v>
      </c>
      <c r="U31" s="16"/>
    </row>
    <row r="32" spans="2:21" x14ac:dyDescent="0.25">
      <c r="B32" s="47">
        <f t="shared" si="1"/>
        <v>45655</v>
      </c>
      <c r="C32" s="22">
        <v>937</v>
      </c>
      <c r="D32" s="22"/>
      <c r="E32" s="70">
        <f t="shared" ref="E32:E34" si="3">+D32-F32-H32</f>
        <v>0</v>
      </c>
      <c r="F32" s="22"/>
      <c r="G32" s="22"/>
      <c r="H32" s="74"/>
      <c r="I32" s="74"/>
      <c r="J32" s="118">
        <v>0</v>
      </c>
      <c r="K32" s="241"/>
      <c r="L32" s="75"/>
      <c r="M32" s="171">
        <f>+K32*'Цени капацитети'!$F$45+L32*'Цени капацитети'!$F$59</f>
        <v>0</v>
      </c>
      <c r="N32" s="171">
        <f>+K32*'Цени капацитети'!$E$45+L32*'Цени капацитети'!$E$59</f>
        <v>0</v>
      </c>
      <c r="O32" s="171">
        <f>+$Q$3*'Цени капацитети'!$E$4+Бургас!$S$3*'Цени капацитети'!$E$21+$R$3*'Цени капацитети'!$E$8+Бургас!N32</f>
        <v>101.64</v>
      </c>
      <c r="U32" s="16"/>
    </row>
    <row r="33" spans="2:21" x14ac:dyDescent="0.25">
      <c r="B33" s="47">
        <f t="shared" si="1"/>
        <v>45656</v>
      </c>
      <c r="C33" s="22">
        <v>904</v>
      </c>
      <c r="D33" s="22"/>
      <c r="E33" s="70">
        <f t="shared" si="3"/>
        <v>0</v>
      </c>
      <c r="F33" s="22"/>
      <c r="G33" s="22"/>
      <c r="H33" s="74"/>
      <c r="I33" s="74"/>
      <c r="J33" s="118">
        <v>0</v>
      </c>
      <c r="K33" s="241"/>
      <c r="L33" s="75"/>
      <c r="M33" s="171">
        <f>+K33*'Цени капацитети'!$F$45+L33*'Цени капацитети'!$F$59</f>
        <v>0</v>
      </c>
      <c r="N33" s="171">
        <f>+K33*'Цени капацитети'!$E$45+L33*'Цени капацитети'!$E$59</f>
        <v>0</v>
      </c>
      <c r="O33" s="171">
        <f>+$Q$3*'Цени капацитети'!$E$4+Бургас!$S$3*'Цени капацитети'!$E$21+$R$3*'Цени капацитети'!$E$8+Бургас!N33</f>
        <v>101.64</v>
      </c>
      <c r="U33" s="16"/>
    </row>
    <row r="34" spans="2:21" x14ac:dyDescent="0.25">
      <c r="B34" s="47">
        <f t="shared" si="1"/>
        <v>45657</v>
      </c>
      <c r="C34" s="22">
        <v>937</v>
      </c>
      <c r="D34" s="22"/>
      <c r="E34" s="70">
        <f t="shared" si="3"/>
        <v>0</v>
      </c>
      <c r="F34" s="22"/>
      <c r="G34" s="22"/>
      <c r="H34" s="74"/>
      <c r="I34" s="74"/>
      <c r="J34" s="118">
        <v>0</v>
      </c>
      <c r="K34" s="241"/>
      <c r="L34" s="75"/>
      <c r="M34" s="171">
        <f>+K34*'Цени капацитети'!$F$45+L34*'Цени капацитети'!$F$59</f>
        <v>0</v>
      </c>
      <c r="N34" s="171">
        <f>+K34*'Цени капацитети'!$E$45+L34*'Цени капацитети'!$E$59</f>
        <v>0</v>
      </c>
      <c r="O34" s="171">
        <f>+$Q$3*'Цени капацитети'!$E$4+Бургас!$S$3*'Цени капацитети'!$E$21+$R$3*'Цени капацитети'!$E$8+Бургас!N34</f>
        <v>101.64</v>
      </c>
      <c r="U34" s="16"/>
    </row>
    <row r="35" spans="2:21" x14ac:dyDescent="0.25">
      <c r="D35" s="16">
        <f>SUM(D4:D34)</f>
        <v>20822.603999999999</v>
      </c>
      <c r="E35" s="16">
        <f>SUM(E4:E34)</f>
        <v>15423.267000000002</v>
      </c>
      <c r="F35" s="16">
        <f>SUM(F4:F34)</f>
        <v>4487.3630000000003</v>
      </c>
      <c r="H35" s="16">
        <f>SUM(H4:H34)</f>
        <v>911.97399999999971</v>
      </c>
      <c r="I35" s="16"/>
      <c r="J35" s="16">
        <f>SUM(J4:J34)</f>
        <v>0</v>
      </c>
      <c r="K35" s="16">
        <f>SUM(K4:K34)</f>
        <v>0</v>
      </c>
      <c r="L35" s="16">
        <f>SUM(L4:L34)</f>
        <v>305</v>
      </c>
      <c r="O35" s="16">
        <f>SUM(O4:O34)</f>
        <v>4534.7774999999992</v>
      </c>
      <c r="P35" s="248">
        <f>SUM(P4:P34)</f>
        <v>0</v>
      </c>
      <c r="U35" s="16"/>
    </row>
    <row r="36" spans="2:21" x14ac:dyDescent="0.25">
      <c r="E36" s="1">
        <f>+E35/31</f>
        <v>497.52474193548392</v>
      </c>
      <c r="H36" s="16">
        <f>+H35/31</f>
        <v>29.418516129032248</v>
      </c>
      <c r="I36" s="1">
        <f>+H35/31</f>
        <v>29.418516129032248</v>
      </c>
    </row>
    <row r="37" spans="2:21" x14ac:dyDescent="0.25">
      <c r="E37" s="16">
        <f>SUM(E14:E23)</f>
        <v>5637.0990000000002</v>
      </c>
    </row>
  </sheetData>
  <mergeCells count="4">
    <mergeCell ref="L2:N2"/>
    <mergeCell ref="Q1:R1"/>
    <mergeCell ref="Q6:R8"/>
    <mergeCell ref="B2:J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1:S39"/>
  <sheetViews>
    <sheetView zoomScale="80" zoomScaleNormal="80" workbookViewId="0">
      <selection activeCell="K20" sqref="K20"/>
    </sheetView>
  </sheetViews>
  <sheetFormatPr defaultColWidth="8.85546875" defaultRowHeight="15" x14ac:dyDescent="0.25"/>
  <cols>
    <col min="1" max="1" width="8.85546875" style="1"/>
    <col min="2" max="2" width="13.42578125" style="1" bestFit="1" customWidth="1"/>
    <col min="3" max="3" width="9.42578125" style="1" bestFit="1" customWidth="1"/>
    <col min="4" max="4" width="16.28515625" style="1" bestFit="1" customWidth="1"/>
    <col min="5" max="5" width="12.28515625" style="1" customWidth="1"/>
    <col min="6" max="6" width="10" style="1" customWidth="1"/>
    <col min="7" max="7" width="11.5703125" style="1" bestFit="1" customWidth="1"/>
    <col min="8" max="8" width="10.140625" style="1" bestFit="1" customWidth="1"/>
    <col min="9" max="9" width="10.140625" style="1" customWidth="1"/>
    <col min="10" max="10" width="12.28515625" style="1" customWidth="1"/>
    <col min="11" max="11" width="15.42578125" style="1" bestFit="1" customWidth="1"/>
    <col min="12" max="12" width="13" style="1" customWidth="1"/>
    <col min="13" max="14" width="17.5703125" style="69" customWidth="1"/>
    <col min="15" max="15" width="11" style="1" customWidth="1"/>
    <col min="16" max="16" width="13.7109375" style="1" bestFit="1" customWidth="1"/>
    <col min="17" max="17" width="18.7109375" style="1" bestFit="1" customWidth="1"/>
    <col min="18" max="18" width="11.7109375" style="1" customWidth="1"/>
    <col min="19" max="19" width="8.7109375" style="1" bestFit="1" customWidth="1"/>
    <col min="20" max="20" width="14.28515625" style="1" customWidth="1"/>
    <col min="21" max="16384" width="8.85546875" style="1"/>
  </cols>
  <sheetData>
    <row r="1" spans="2:19" ht="28.15" customHeight="1" thickBot="1" x14ac:dyDescent="0.3">
      <c r="K1" s="77"/>
      <c r="L1" s="78"/>
      <c r="M1" s="78"/>
      <c r="N1" s="13"/>
      <c r="P1" s="653" t="s">
        <v>28</v>
      </c>
      <c r="Q1" s="653"/>
    </row>
    <row r="2" spans="2:19" x14ac:dyDescent="0.25">
      <c r="B2" s="658" t="s">
        <v>16</v>
      </c>
      <c r="C2" s="659"/>
      <c r="D2" s="659"/>
      <c r="E2" s="659"/>
      <c r="F2" s="659"/>
      <c r="G2" s="659"/>
      <c r="H2" s="660"/>
      <c r="I2" s="232"/>
      <c r="J2" s="232"/>
      <c r="K2" s="652" t="s">
        <v>70</v>
      </c>
      <c r="L2" s="652"/>
      <c r="M2" s="652"/>
      <c r="N2" s="52"/>
      <c r="P2" s="2" t="s">
        <v>99</v>
      </c>
      <c r="Q2" s="2" t="s">
        <v>80</v>
      </c>
      <c r="R2" s="2" t="s">
        <v>111</v>
      </c>
    </row>
    <row r="3" spans="2:19" ht="43.5" x14ac:dyDescent="0.25">
      <c r="B3" s="12" t="s">
        <v>8</v>
      </c>
      <c r="C3" s="2" t="s">
        <v>21</v>
      </c>
      <c r="D3" s="40" t="s">
        <v>22</v>
      </c>
      <c r="E3" s="40" t="s">
        <v>18</v>
      </c>
      <c r="F3" s="40" t="s">
        <v>20</v>
      </c>
      <c r="G3" s="13" t="s">
        <v>26</v>
      </c>
      <c r="H3" s="79" t="s">
        <v>6</v>
      </c>
      <c r="I3" s="233" t="s">
        <v>55</v>
      </c>
      <c r="J3" s="119" t="s">
        <v>136</v>
      </c>
      <c r="K3" s="119" t="s">
        <v>137</v>
      </c>
      <c r="L3" s="77" t="s">
        <v>102</v>
      </c>
      <c r="M3" s="77" t="s">
        <v>82</v>
      </c>
      <c r="N3" s="77" t="s">
        <v>103</v>
      </c>
      <c r="O3" s="69" t="s">
        <v>121</v>
      </c>
      <c r="P3" s="245"/>
      <c r="Q3" s="109">
        <v>25</v>
      </c>
      <c r="R3" s="109"/>
      <c r="S3" s="1" t="s">
        <v>121</v>
      </c>
    </row>
    <row r="4" spans="2:19" x14ac:dyDescent="0.25">
      <c r="B4" s="47">
        <v>45627</v>
      </c>
      <c r="C4" s="22">
        <v>475</v>
      </c>
      <c r="D4" s="22">
        <v>487.35199999999998</v>
      </c>
      <c r="E4" s="70">
        <f>+D4-H4</f>
        <v>487.35199999999998</v>
      </c>
      <c r="F4" s="22">
        <v>500</v>
      </c>
      <c r="G4" s="22">
        <v>0</v>
      </c>
      <c r="H4" s="80">
        <v>0</v>
      </c>
      <c r="I4" s="241">
        <v>0</v>
      </c>
      <c r="J4" s="308"/>
      <c r="K4" s="75"/>
      <c r="L4" s="171">
        <f>+J4*'Цени капацитети'!$F$45+K4*'Цени капацитети'!$F$59</f>
        <v>0</v>
      </c>
      <c r="M4" s="171">
        <f>+J4*'Цени капацитети'!$E$45+K4*'Цени капацитети'!$E$59</f>
        <v>0</v>
      </c>
      <c r="N4" s="171">
        <f>$P$3*'Цени капацитети'!$E$4+'Враца 1'!$Q$3*'Цени капацитети'!$E$21+$R$3*'Цени капацитети'!$E$8+'Враца 1'!M4</f>
        <v>63.524999999999999</v>
      </c>
      <c r="O4" s="122"/>
      <c r="S4" s="16"/>
    </row>
    <row r="5" spans="2:19" x14ac:dyDescent="0.25">
      <c r="B5" s="47">
        <f>+B4+1</f>
        <v>45628</v>
      </c>
      <c r="C5" s="22">
        <v>490</v>
      </c>
      <c r="D5" s="22">
        <v>512.03499999999997</v>
      </c>
      <c r="E5" s="70">
        <f t="shared" ref="E5:E34" si="0">+D5-H5</f>
        <v>467</v>
      </c>
      <c r="F5" s="22">
        <v>500</v>
      </c>
      <c r="G5" s="22">
        <v>60</v>
      </c>
      <c r="H5" s="80">
        <v>45.034999999999968</v>
      </c>
      <c r="I5" s="241">
        <v>0</v>
      </c>
      <c r="J5" s="308"/>
      <c r="K5" s="309">
        <v>35</v>
      </c>
      <c r="L5" s="171">
        <f>+J5*'Цени капацитети'!$F$45+K5*'Цени капацитети'!$F$59</f>
        <v>103.054</v>
      </c>
      <c r="M5" s="171">
        <f>+J5*'Цени капацитети'!$E$45+K5*'Цени капацитети'!$E$59</f>
        <v>158.8125</v>
      </c>
      <c r="N5" s="171">
        <f>$P$3*'Цени капацитети'!$E$4+'Враца 1'!$Q$3*'Цени капацитети'!$E$21+$R$3*'Цени капацитети'!$E$8+'Враца 1'!M5</f>
        <v>222.33750000000001</v>
      </c>
      <c r="O5" s="122"/>
      <c r="S5" s="16"/>
    </row>
    <row r="6" spans="2:19" x14ac:dyDescent="0.25">
      <c r="B6" s="47">
        <f t="shared" ref="B6:B34" si="1">+B5+1</f>
        <v>45629</v>
      </c>
      <c r="C6" s="22">
        <v>505</v>
      </c>
      <c r="D6" s="22">
        <v>524.79</v>
      </c>
      <c r="E6" s="70">
        <f t="shared" si="0"/>
        <v>500</v>
      </c>
      <c r="F6" s="22">
        <v>500</v>
      </c>
      <c r="G6" s="22">
        <v>20</v>
      </c>
      <c r="H6" s="80">
        <v>24.789999999999964</v>
      </c>
      <c r="I6" s="241">
        <v>0</v>
      </c>
      <c r="J6" s="308"/>
      <c r="K6" s="75"/>
      <c r="L6" s="171">
        <f>+J6*'Цени капацитети'!$F$45+K6*'Цени капацитети'!$F$59</f>
        <v>0</v>
      </c>
      <c r="M6" s="171">
        <f>+J6*'Цени капацитети'!$E$45+K6*'Цени капацитети'!$E$59</f>
        <v>0</v>
      </c>
      <c r="N6" s="171">
        <f>$P$3*'Цени капацитети'!$E$4+'Враца 1'!$Q$3*'Цени капацитети'!$E$21+$R$3*'Цени капацитети'!$E$8+'Враца 1'!M6</f>
        <v>63.524999999999999</v>
      </c>
      <c r="O6" s="122"/>
      <c r="P6" s="654" t="s">
        <v>105</v>
      </c>
      <c r="Q6" s="654"/>
      <c r="S6" s="16"/>
    </row>
    <row r="7" spans="2:19" x14ac:dyDescent="0.25">
      <c r="B7" s="47">
        <f t="shared" si="1"/>
        <v>45630</v>
      </c>
      <c r="C7" s="22">
        <v>505</v>
      </c>
      <c r="D7" s="22">
        <v>499.03199999999998</v>
      </c>
      <c r="E7" s="70">
        <f t="shared" si="0"/>
        <v>477</v>
      </c>
      <c r="F7" s="22">
        <v>500</v>
      </c>
      <c r="G7" s="22">
        <v>20</v>
      </c>
      <c r="H7" s="80">
        <v>22.031999999999982</v>
      </c>
      <c r="I7" s="241">
        <v>0</v>
      </c>
      <c r="J7" s="308"/>
      <c r="K7" s="75"/>
      <c r="L7" s="171">
        <f>+J7*'Цени капацитети'!$F$45+K7*'Цени капацитети'!$F$59</f>
        <v>0</v>
      </c>
      <c r="M7" s="171">
        <f>+J7*'Цени капацитети'!$E$45+K7*'Цени капацитети'!$E$59</f>
        <v>0</v>
      </c>
      <c r="N7" s="171">
        <f>$P$3*'Цени капацитети'!$E$4+'Враца 1'!$Q$3*'Цени капацитети'!$E$21+$R$3*'Цени капацитети'!$E$8+'Враца 1'!M7</f>
        <v>63.524999999999999</v>
      </c>
      <c r="O7" s="122"/>
      <c r="P7" s="654"/>
      <c r="Q7" s="654"/>
      <c r="S7" s="16"/>
    </row>
    <row r="8" spans="2:19" x14ac:dyDescent="0.25">
      <c r="B8" s="47">
        <f t="shared" si="1"/>
        <v>45631</v>
      </c>
      <c r="C8" s="22">
        <v>495</v>
      </c>
      <c r="D8" s="22">
        <v>519.44500000000005</v>
      </c>
      <c r="E8" s="70">
        <f t="shared" si="0"/>
        <v>478.44500000000005</v>
      </c>
      <c r="F8" s="22">
        <v>500</v>
      </c>
      <c r="G8" s="22">
        <v>40</v>
      </c>
      <c r="H8" s="80">
        <v>41</v>
      </c>
      <c r="I8" s="241">
        <v>0</v>
      </c>
      <c r="J8" s="308"/>
      <c r="K8" s="75">
        <v>16</v>
      </c>
      <c r="L8" s="171">
        <f>+J8*'Цени капацитети'!$F$45+K8*'Цени капацитети'!$F$59</f>
        <v>47.110399999999998</v>
      </c>
      <c r="M8" s="171">
        <f>+J8*'Цени капацитети'!$E$45+K8*'Цени капацитети'!$E$59</f>
        <v>72.599999999999994</v>
      </c>
      <c r="N8" s="171">
        <f>$P$3*'Цени капацитети'!$E$4+'Враца 1'!$Q$3*'Цени капацитети'!$E$21+$R$3*'Цени капацитети'!$E$8+'Враца 1'!M8</f>
        <v>136.125</v>
      </c>
      <c r="O8" s="122"/>
      <c r="P8" s="654"/>
      <c r="Q8" s="654"/>
      <c r="S8" s="16"/>
    </row>
    <row r="9" spans="2:19" x14ac:dyDescent="0.25">
      <c r="B9" s="47">
        <f t="shared" si="1"/>
        <v>45632</v>
      </c>
      <c r="C9" s="22">
        <v>520</v>
      </c>
      <c r="D9" s="22">
        <v>519.98299999999995</v>
      </c>
      <c r="E9" s="70">
        <f t="shared" si="0"/>
        <v>519.98299999999995</v>
      </c>
      <c r="F9" s="22">
        <v>500</v>
      </c>
      <c r="G9" s="22">
        <v>0</v>
      </c>
      <c r="H9" s="80">
        <v>0</v>
      </c>
      <c r="I9" s="241">
        <v>0</v>
      </c>
      <c r="J9" s="308"/>
      <c r="K9" s="75"/>
      <c r="L9" s="171">
        <f>+J9*'Цени капацитети'!$F$45+K9*'Цени капацитети'!$F$59</f>
        <v>0</v>
      </c>
      <c r="M9" s="171">
        <f>+J9*'Цени капацитети'!$E$45+K9*'Цени капацитети'!$E$59</f>
        <v>0</v>
      </c>
      <c r="N9" s="171">
        <f>$P$3*'Цени капацитети'!$E$4+'Враца 1'!$Q$3*'Цени капацитети'!$E$21+$R$3*'Цени капацитети'!$E$8+'Враца 1'!M9</f>
        <v>63.524999999999999</v>
      </c>
      <c r="O9" s="122"/>
      <c r="P9" s="111" t="s">
        <v>18</v>
      </c>
      <c r="Q9" s="112" t="s">
        <v>6</v>
      </c>
      <c r="S9" s="16"/>
    </row>
    <row r="10" spans="2:19" x14ac:dyDescent="0.25">
      <c r="B10" s="47">
        <f t="shared" si="1"/>
        <v>45633</v>
      </c>
      <c r="C10" s="22">
        <v>500</v>
      </c>
      <c r="D10" s="22">
        <v>522.58500000000004</v>
      </c>
      <c r="E10" s="70">
        <f t="shared" si="0"/>
        <v>522.58500000000004</v>
      </c>
      <c r="F10" s="22">
        <v>500</v>
      </c>
      <c r="G10" s="22">
        <v>0</v>
      </c>
      <c r="H10" s="80">
        <v>0</v>
      </c>
      <c r="I10" s="241">
        <v>0</v>
      </c>
      <c r="J10" s="308"/>
      <c r="K10" s="75"/>
      <c r="L10" s="171">
        <f>+J10*'Цени капацитети'!$F$45+K10*'Цени капацитети'!$F$59</f>
        <v>0</v>
      </c>
      <c r="M10" s="171">
        <f>+J10*'Цени капацитети'!$E$45+K10*'Цени капацитети'!$E$59</f>
        <v>0</v>
      </c>
      <c r="N10" s="171">
        <f>$P$3*'Цени капацитети'!$E$4+'Враца 1'!$Q$3*'Цени капацитети'!$E$21+$R$3*'Цени капацитети'!$E$8+'Враца 1'!M10</f>
        <v>63.524999999999999</v>
      </c>
      <c r="O10" s="122"/>
      <c r="P10" s="111"/>
      <c r="Q10" s="111"/>
      <c r="S10" s="16"/>
    </row>
    <row r="11" spans="2:19" x14ac:dyDescent="0.25">
      <c r="B11" s="47">
        <f t="shared" si="1"/>
        <v>45634</v>
      </c>
      <c r="C11" s="22">
        <v>510</v>
      </c>
      <c r="D11" s="22">
        <v>546.096</v>
      </c>
      <c r="E11" s="70">
        <f t="shared" si="0"/>
        <v>546.096</v>
      </c>
      <c r="F11" s="22">
        <v>500</v>
      </c>
      <c r="G11" s="22">
        <v>0</v>
      </c>
      <c r="H11" s="80">
        <v>0</v>
      </c>
      <c r="I11" s="241">
        <v>0</v>
      </c>
      <c r="J11" s="308"/>
      <c r="K11" s="75"/>
      <c r="L11" s="171">
        <f>+J11*'Цени капацитети'!$F$45+K11*'Цени капацитети'!$F$59</f>
        <v>0</v>
      </c>
      <c r="M11" s="171">
        <f>+J11*'Цени капацитети'!$E$45+K11*'Цени капацитети'!$E$59</f>
        <v>0</v>
      </c>
      <c r="N11" s="171">
        <f>$P$3*'Цени капацитети'!$E$4+'Враца 1'!$Q$3*'Цени капацитети'!$E$21+$R$3*'Цени капацитети'!$E$8+'Враца 1'!M11</f>
        <v>63.524999999999999</v>
      </c>
      <c r="O11" s="122"/>
      <c r="P11" s="25"/>
      <c r="S11" s="16"/>
    </row>
    <row r="12" spans="2:19" x14ac:dyDescent="0.25">
      <c r="B12" s="47">
        <f t="shared" si="1"/>
        <v>45635</v>
      </c>
      <c r="C12" s="22">
        <v>510</v>
      </c>
      <c r="D12" s="22">
        <v>534.11500000000001</v>
      </c>
      <c r="E12" s="70">
        <f t="shared" si="0"/>
        <v>497</v>
      </c>
      <c r="F12" s="22">
        <v>500</v>
      </c>
      <c r="G12" s="22">
        <v>180</v>
      </c>
      <c r="H12" s="80">
        <v>37.115000000000009</v>
      </c>
      <c r="I12" s="241">
        <v>0</v>
      </c>
      <c r="J12" s="308"/>
      <c r="K12" s="75">
        <v>20</v>
      </c>
      <c r="L12" s="171">
        <f>+J12*'Цени капацитети'!$F$45+K12*'Цени капацитети'!$F$59</f>
        <v>58.887999999999998</v>
      </c>
      <c r="M12" s="171">
        <f>+J12*'Цени капацитети'!$E$45+K12*'Цени капацитети'!$E$59</f>
        <v>90.75</v>
      </c>
      <c r="N12" s="171">
        <f>$P$3*'Цени капацитети'!$E$4+'Враца 1'!$Q$3*'Цени капацитети'!$E$21+$R$3*'Цени капацитети'!$E$8+'Враца 1'!M12</f>
        <v>154.27500000000001</v>
      </c>
      <c r="O12" s="122"/>
      <c r="P12" s="25"/>
      <c r="S12" s="16"/>
    </row>
    <row r="13" spans="2:19" x14ac:dyDescent="0.25">
      <c r="B13" s="47">
        <f t="shared" si="1"/>
        <v>45636</v>
      </c>
      <c r="C13" s="22">
        <v>485</v>
      </c>
      <c r="D13" s="22">
        <v>502.68900000000002</v>
      </c>
      <c r="E13" s="70">
        <f t="shared" si="0"/>
        <v>485</v>
      </c>
      <c r="F13" s="22">
        <v>500</v>
      </c>
      <c r="G13" s="22">
        <v>30</v>
      </c>
      <c r="H13" s="22">
        <v>17.689000000000021</v>
      </c>
      <c r="I13" s="241">
        <v>0</v>
      </c>
      <c r="J13" s="308"/>
      <c r="K13" s="75">
        <v>6</v>
      </c>
      <c r="L13" s="171">
        <f>+J13*'Цени капацитети'!$F$45+K13*'Цени капацитети'!$F$59</f>
        <v>17.666399999999999</v>
      </c>
      <c r="M13" s="171">
        <f>+J13*'Цени капацитети'!$E$45+K13*'Цени капацитети'!$E$59</f>
        <v>27.224999999999998</v>
      </c>
      <c r="N13" s="171">
        <f>$P$3*'Цени капацитети'!$E$4+'Враца 1'!$Q$3*'Цени капацитети'!$E$21+$R$3*'Цени капацитети'!$E$8+'Враца 1'!M13</f>
        <v>90.75</v>
      </c>
      <c r="O13" s="122"/>
      <c r="P13" s="25"/>
      <c r="Q13" s="23"/>
      <c r="S13" s="16"/>
    </row>
    <row r="14" spans="2:19" x14ac:dyDescent="0.25">
      <c r="B14" s="47">
        <f t="shared" si="1"/>
        <v>45637</v>
      </c>
      <c r="C14" s="22">
        <v>485</v>
      </c>
      <c r="D14" s="22">
        <v>480.97399999999999</v>
      </c>
      <c r="E14" s="70">
        <f t="shared" si="0"/>
        <v>457</v>
      </c>
      <c r="F14" s="22">
        <v>500</v>
      </c>
      <c r="G14" s="22">
        <v>25</v>
      </c>
      <c r="H14" s="22">
        <v>23.97399999999999</v>
      </c>
      <c r="I14" s="241">
        <v>0</v>
      </c>
      <c r="J14" s="308"/>
      <c r="K14" s="75"/>
      <c r="L14" s="171">
        <f>+J14*'Цени капацитети'!$F$45+K14*'Цени капацитети'!$F$59</f>
        <v>0</v>
      </c>
      <c r="M14" s="171">
        <f>+J14*'Цени капацитети'!$E$45+K14*'Цени капацитети'!$E$59</f>
        <v>0</v>
      </c>
      <c r="N14" s="171">
        <f>$P$3*'Цени капацитети'!$E$4+'Враца 1'!$Q$3*'Цени капацитети'!$E$21+$R$3*'Цени капацитети'!$E$8+'Враца 1'!M14</f>
        <v>63.524999999999999</v>
      </c>
      <c r="O14" s="122"/>
      <c r="S14" s="16"/>
    </row>
    <row r="15" spans="2:19" x14ac:dyDescent="0.25">
      <c r="B15" s="47">
        <f t="shared" si="1"/>
        <v>45638</v>
      </c>
      <c r="C15" s="22">
        <v>485</v>
      </c>
      <c r="D15" s="22">
        <v>545.81600000000003</v>
      </c>
      <c r="E15" s="70">
        <f t="shared" si="0"/>
        <v>490.81600000000003</v>
      </c>
      <c r="F15" s="22">
        <v>500</v>
      </c>
      <c r="G15" s="22">
        <v>50</v>
      </c>
      <c r="H15" s="80">
        <v>55</v>
      </c>
      <c r="I15" s="241">
        <v>0</v>
      </c>
      <c r="J15" s="308"/>
      <c r="K15" s="75">
        <v>30</v>
      </c>
      <c r="L15" s="171">
        <f>+J15*'Цени капацитети'!$F$45+K15*'Цени капацитети'!$F$59</f>
        <v>88.331999999999994</v>
      </c>
      <c r="M15" s="171">
        <f>+J15*'Цени капацитети'!$E$45+K15*'Цени капацитети'!$E$59</f>
        <v>136.125</v>
      </c>
      <c r="N15" s="171">
        <f>$P$3*'Цени капацитети'!$E$4+'Враца 1'!$Q$3*'Цени капацитети'!$E$21+$R$3*'Цени капацитети'!$E$8+'Враца 1'!M15</f>
        <v>199.65</v>
      </c>
      <c r="O15" s="122"/>
      <c r="S15" s="16"/>
    </row>
    <row r="16" spans="2:19" x14ac:dyDescent="0.25">
      <c r="B16" s="47">
        <f t="shared" si="1"/>
        <v>45639</v>
      </c>
      <c r="C16" s="22">
        <v>485</v>
      </c>
      <c r="D16" s="22">
        <v>526.83399999999995</v>
      </c>
      <c r="E16" s="70">
        <f t="shared" si="0"/>
        <v>481.83399999999995</v>
      </c>
      <c r="F16" s="22">
        <v>500</v>
      </c>
      <c r="G16" s="22">
        <v>40</v>
      </c>
      <c r="H16" s="80">
        <v>45</v>
      </c>
      <c r="I16" s="241">
        <v>0</v>
      </c>
      <c r="J16" s="308"/>
      <c r="K16" s="75">
        <v>20</v>
      </c>
      <c r="L16" s="171">
        <f>+J16*'Цени капацитети'!$F$45+K16*'Цени капацитети'!$F$59</f>
        <v>58.887999999999998</v>
      </c>
      <c r="M16" s="171">
        <f>+J16*'Цени капацитети'!$E$45+K16*'Цени капацитети'!$E$59</f>
        <v>90.75</v>
      </c>
      <c r="N16" s="171">
        <f>$P$3*'Цени капацитети'!$E$4+'Враца 1'!$Q$3*'Цени капацитети'!$E$21+$R$3*'Цени капацитети'!$E$8+'Враца 1'!M16</f>
        <v>154.27500000000001</v>
      </c>
      <c r="O16" s="122"/>
      <c r="S16" s="16"/>
    </row>
    <row r="17" spans="2:19" x14ac:dyDescent="0.25">
      <c r="B17" s="47">
        <f t="shared" si="1"/>
        <v>45640</v>
      </c>
      <c r="C17" s="22">
        <v>485</v>
      </c>
      <c r="D17" s="22">
        <v>524.53200000000004</v>
      </c>
      <c r="E17" s="70">
        <f t="shared" si="0"/>
        <v>446.53200000000004</v>
      </c>
      <c r="F17" s="22">
        <v>500</v>
      </c>
      <c r="G17" s="22">
        <v>70</v>
      </c>
      <c r="H17" s="80">
        <v>78</v>
      </c>
      <c r="I17" s="241">
        <v>0</v>
      </c>
      <c r="J17" s="308"/>
      <c r="K17" s="75">
        <v>53</v>
      </c>
      <c r="L17" s="171">
        <f>+J17*'Цени капацитети'!$F$45+K17*'Цени капацитети'!$F$59</f>
        <v>156.0532</v>
      </c>
      <c r="M17" s="171">
        <f>+J17*'Цени капацитети'!$E$45+K17*'Цени капацитети'!$E$59</f>
        <v>240.48749999999998</v>
      </c>
      <c r="N17" s="171">
        <f>$P$3*'Цени капацитети'!$E$4+'Враца 1'!$Q$3*'Цени капацитети'!$E$21+$R$3*'Цени капацитети'!$E$8+'Враца 1'!M17</f>
        <v>304.01249999999999</v>
      </c>
      <c r="O17" s="122"/>
      <c r="S17" s="16"/>
    </row>
    <row r="18" spans="2:19" x14ac:dyDescent="0.25">
      <c r="B18" s="47">
        <f t="shared" si="1"/>
        <v>45641</v>
      </c>
      <c r="C18" s="22">
        <v>485</v>
      </c>
      <c r="D18" s="22">
        <v>539.27700000000004</v>
      </c>
      <c r="E18" s="70">
        <f t="shared" si="0"/>
        <v>457</v>
      </c>
      <c r="F18" s="22">
        <v>500</v>
      </c>
      <c r="G18" s="22">
        <v>60</v>
      </c>
      <c r="H18" s="80">
        <v>82.277000000000044</v>
      </c>
      <c r="I18" s="241">
        <v>0</v>
      </c>
      <c r="J18" s="308"/>
      <c r="K18" s="75">
        <v>40</v>
      </c>
      <c r="L18" s="171">
        <f>+J18*'Цени капацитети'!$F$45+K18*'Цени капацитети'!$F$59</f>
        <v>117.776</v>
      </c>
      <c r="M18" s="171">
        <f>+J18*'Цени капацитети'!$E$45+K18*'Цени капацитети'!$E$59</f>
        <v>181.5</v>
      </c>
      <c r="N18" s="171">
        <f>$P$3*'Цени капацитети'!$E$4+'Враца 1'!$Q$3*'Цени капацитети'!$E$21+$R$3*'Цени капацитети'!$E$8+'Враца 1'!M18</f>
        <v>245.02500000000001</v>
      </c>
      <c r="O18" s="122"/>
      <c r="S18" s="16"/>
    </row>
    <row r="19" spans="2:19" x14ac:dyDescent="0.25">
      <c r="B19" s="47">
        <f t="shared" si="1"/>
        <v>45642</v>
      </c>
      <c r="C19" s="22">
        <v>485</v>
      </c>
      <c r="D19" s="22">
        <v>486.81400000000002</v>
      </c>
      <c r="E19" s="70">
        <f t="shared" si="0"/>
        <v>426.81400000000002</v>
      </c>
      <c r="F19" s="22">
        <v>500</v>
      </c>
      <c r="G19" s="22">
        <v>55</v>
      </c>
      <c r="H19" s="80">
        <v>60</v>
      </c>
      <c r="I19" s="241">
        <v>0</v>
      </c>
      <c r="J19" s="308"/>
      <c r="K19" s="75">
        <v>35</v>
      </c>
      <c r="L19" s="171">
        <f>+J19*'Цени капацитети'!$F$45+K19*'Цени капацитети'!$F$59</f>
        <v>103.054</v>
      </c>
      <c r="M19" s="171">
        <f>+J19*'Цени капацитети'!$E$45+K19*'Цени капацитети'!$E$59</f>
        <v>158.8125</v>
      </c>
      <c r="N19" s="171">
        <f>$P$3*'Цени капацитети'!$E$4+'Враца 1'!$Q$3*'Цени капацитети'!$E$21+$R$3*'Цени капацитети'!$E$8+'Враца 1'!M19</f>
        <v>222.33750000000001</v>
      </c>
      <c r="O19" s="122"/>
      <c r="S19" s="16"/>
    </row>
    <row r="20" spans="2:19" x14ac:dyDescent="0.25">
      <c r="B20" s="47">
        <f t="shared" si="1"/>
        <v>45643</v>
      </c>
      <c r="C20" s="22">
        <v>485</v>
      </c>
      <c r="D20" s="22"/>
      <c r="E20" s="70">
        <f t="shared" si="0"/>
        <v>0</v>
      </c>
      <c r="F20" s="22">
        <v>500</v>
      </c>
      <c r="G20" s="22"/>
      <c r="H20" s="80"/>
      <c r="I20" s="241">
        <v>0</v>
      </c>
      <c r="J20" s="308"/>
      <c r="K20" s="75"/>
      <c r="L20" s="171">
        <f>+J20*'Цени капацитети'!$F$45+K20*'Цени капацитети'!$F$59</f>
        <v>0</v>
      </c>
      <c r="M20" s="171">
        <f>+J20*'Цени капацитети'!$E$45+K20*'Цени капацитети'!$E$59</f>
        <v>0</v>
      </c>
      <c r="N20" s="171">
        <f>$P$3*'Цени капацитети'!$E$4+'Враца 1'!$Q$3*'Цени капацитети'!$E$21+$R$3*'Цени капацитети'!$E$8+'Враца 1'!M20</f>
        <v>63.524999999999999</v>
      </c>
      <c r="O20" s="122"/>
      <c r="Q20" s="4"/>
      <c r="S20" s="16"/>
    </row>
    <row r="21" spans="2:19" x14ac:dyDescent="0.25">
      <c r="B21" s="47">
        <f t="shared" si="1"/>
        <v>45644</v>
      </c>
      <c r="C21" s="22">
        <v>485</v>
      </c>
      <c r="D21" s="22"/>
      <c r="E21" s="70">
        <f t="shared" si="0"/>
        <v>0</v>
      </c>
      <c r="F21" s="22">
        <v>500</v>
      </c>
      <c r="G21" s="22"/>
      <c r="H21" s="80"/>
      <c r="I21" s="241">
        <v>0</v>
      </c>
      <c r="J21" s="308"/>
      <c r="K21" s="75"/>
      <c r="L21" s="171">
        <f>+J21*'Цени капацитети'!$F$45+K21*'Цени капацитети'!$F$59</f>
        <v>0</v>
      </c>
      <c r="M21" s="171">
        <f>+J21*'Цени капацитети'!$E$45+K21*'Цени капацитети'!$E$59</f>
        <v>0</v>
      </c>
      <c r="N21" s="171">
        <f>$P$3*'Цени капацитети'!$E$4+'Враца 1'!$Q$3*'Цени капацитети'!$E$21+$R$3*'Цени капацитети'!$E$8+'Враца 1'!M21</f>
        <v>63.524999999999999</v>
      </c>
      <c r="O21" s="122"/>
      <c r="Q21" s="4"/>
      <c r="S21" s="16"/>
    </row>
    <row r="22" spans="2:19" x14ac:dyDescent="0.25">
      <c r="B22" s="47">
        <f t="shared" si="1"/>
        <v>45645</v>
      </c>
      <c r="C22" s="22">
        <v>485</v>
      </c>
      <c r="D22" s="22"/>
      <c r="E22" s="70">
        <f t="shared" si="0"/>
        <v>0</v>
      </c>
      <c r="F22" s="22">
        <v>500</v>
      </c>
      <c r="G22" s="22"/>
      <c r="H22" s="80"/>
      <c r="I22" s="241">
        <v>0</v>
      </c>
      <c r="J22" s="308"/>
      <c r="K22" s="75"/>
      <c r="L22" s="171">
        <f>+J22*'Цени капацитети'!$F$45+K22*'Цени капацитети'!$F$59</f>
        <v>0</v>
      </c>
      <c r="M22" s="171">
        <f>+J22*'Цени капацитети'!$E$45+K22*'Цени капацитети'!$E$59</f>
        <v>0</v>
      </c>
      <c r="N22" s="171">
        <f>$P$3*'Цени капацитети'!$E$4+'Враца 1'!$Q$3*'Цени капацитети'!$E$21+$R$3*'Цени капацитети'!$E$8+'Враца 1'!M22</f>
        <v>63.524999999999999</v>
      </c>
      <c r="O22" s="122"/>
      <c r="Q22" s="4"/>
      <c r="S22" s="16"/>
    </row>
    <row r="23" spans="2:19" x14ac:dyDescent="0.25">
      <c r="B23" s="47">
        <f t="shared" si="1"/>
        <v>45646</v>
      </c>
      <c r="C23" s="22">
        <v>485</v>
      </c>
      <c r="D23" s="22"/>
      <c r="E23" s="70">
        <f t="shared" si="0"/>
        <v>0</v>
      </c>
      <c r="F23" s="22">
        <v>500</v>
      </c>
      <c r="G23" s="22"/>
      <c r="H23" s="80"/>
      <c r="I23" s="241">
        <v>0</v>
      </c>
      <c r="J23" s="308"/>
      <c r="K23" s="75"/>
      <c r="L23" s="171">
        <f>+J23*'Цени капацитети'!$F$45+K23*'Цени капацитети'!$F$59</f>
        <v>0</v>
      </c>
      <c r="M23" s="171">
        <f>+J23*'Цени капацитети'!$E$45+K23*'Цени капацитети'!$E$59</f>
        <v>0</v>
      </c>
      <c r="N23" s="171">
        <f>$P$3*'Цени капацитети'!$E$4+'Враца 1'!$Q$3*'Цени капацитети'!$E$21+$R$3*'Цени капацитети'!$E$8+'Враца 1'!M23</f>
        <v>63.524999999999999</v>
      </c>
      <c r="O23" s="122"/>
      <c r="Q23" s="4"/>
      <c r="S23" s="16"/>
    </row>
    <row r="24" spans="2:19" x14ac:dyDescent="0.25">
      <c r="B24" s="47">
        <f t="shared" si="1"/>
        <v>45647</v>
      </c>
      <c r="C24" s="22">
        <v>485</v>
      </c>
      <c r="D24" s="22"/>
      <c r="E24" s="70">
        <f t="shared" si="0"/>
        <v>0</v>
      </c>
      <c r="F24" s="22">
        <v>500</v>
      </c>
      <c r="G24" s="22"/>
      <c r="H24" s="80"/>
      <c r="I24" s="241">
        <v>0</v>
      </c>
      <c r="J24" s="308"/>
      <c r="K24" s="75"/>
      <c r="L24" s="171">
        <f>+J24*'Цени капацитети'!$F$45+K24*'Цени капацитети'!$F$59</f>
        <v>0</v>
      </c>
      <c r="M24" s="171">
        <f>+J24*'Цени капацитети'!$E$45+K24*'Цени капацитети'!$E$59</f>
        <v>0</v>
      </c>
      <c r="N24" s="171">
        <f>$P$3*'Цени капацитети'!$E$4+'Враца 1'!$Q$3*'Цени капацитети'!$E$21+$R$3*'Цени капацитети'!$E$8+'Враца 1'!M24</f>
        <v>63.524999999999999</v>
      </c>
      <c r="O24" s="122"/>
      <c r="S24" s="16"/>
    </row>
    <row r="25" spans="2:19" x14ac:dyDescent="0.25">
      <c r="B25" s="47">
        <f t="shared" si="1"/>
        <v>45648</v>
      </c>
      <c r="C25" s="22">
        <v>485</v>
      </c>
      <c r="D25" s="22"/>
      <c r="E25" s="70">
        <f t="shared" si="0"/>
        <v>0</v>
      </c>
      <c r="F25" s="22">
        <v>500</v>
      </c>
      <c r="G25" s="22"/>
      <c r="H25" s="80"/>
      <c r="I25" s="241">
        <v>0</v>
      </c>
      <c r="J25" s="308"/>
      <c r="K25" s="75"/>
      <c r="L25" s="171">
        <f>+J25*'Цени капацитети'!$F$45+K25*'Цени капацитети'!$F$59</f>
        <v>0</v>
      </c>
      <c r="M25" s="171">
        <f>+J25*'Цени капацитети'!$E$45+K25*'Цени капацитети'!$E$59</f>
        <v>0</v>
      </c>
      <c r="N25" s="171">
        <f>$P$3*'Цени капацитети'!$E$4+'Враца 1'!$Q$3*'Цени капацитети'!$E$21+$R$3*'Цени капацитети'!$E$8+'Враца 1'!M25</f>
        <v>63.524999999999999</v>
      </c>
      <c r="O25" s="122"/>
      <c r="S25" s="16"/>
    </row>
    <row r="26" spans="2:19" x14ac:dyDescent="0.25">
      <c r="B26" s="47">
        <f t="shared" si="1"/>
        <v>45649</v>
      </c>
      <c r="C26" s="22">
        <v>485</v>
      </c>
      <c r="D26" s="22"/>
      <c r="E26" s="70">
        <f t="shared" si="0"/>
        <v>0</v>
      </c>
      <c r="F26" s="22">
        <v>500</v>
      </c>
      <c r="G26" s="22"/>
      <c r="H26" s="80"/>
      <c r="I26" s="241">
        <v>0</v>
      </c>
      <c r="J26" s="308"/>
      <c r="K26" s="75"/>
      <c r="L26" s="171">
        <f>+J26*'Цени капацитети'!$F$45+K26*'Цени капацитети'!$F$59</f>
        <v>0</v>
      </c>
      <c r="M26" s="171">
        <f>+J26*'Цени капацитети'!$E$45+K26*'Цени капацитети'!$E$59</f>
        <v>0</v>
      </c>
      <c r="N26" s="171">
        <f>$P$3*'Цени капацитети'!$E$4+'Враца 1'!$Q$3*'Цени капацитети'!$E$21+$R$3*'Цени капацитети'!$E$8+'Враца 1'!M26</f>
        <v>63.524999999999999</v>
      </c>
      <c r="O26" s="122"/>
      <c r="S26" s="16"/>
    </row>
    <row r="27" spans="2:19" x14ac:dyDescent="0.25">
      <c r="B27" s="47">
        <f t="shared" si="1"/>
        <v>45650</v>
      </c>
      <c r="C27" s="22">
        <v>485</v>
      </c>
      <c r="D27" s="22"/>
      <c r="E27" s="70">
        <f t="shared" si="0"/>
        <v>0</v>
      </c>
      <c r="F27" s="22">
        <v>500</v>
      </c>
      <c r="G27" s="22"/>
      <c r="H27" s="80"/>
      <c r="I27" s="241">
        <v>0</v>
      </c>
      <c r="J27" s="308"/>
      <c r="K27" s="75"/>
      <c r="L27" s="171">
        <f>+J27*'Цени капацитети'!$F$45+K27*'Цени капацитети'!$F$59</f>
        <v>0</v>
      </c>
      <c r="M27" s="171">
        <f>+J27*'Цени капацитети'!$E$45+K27*'Цени капацитети'!$E$59</f>
        <v>0</v>
      </c>
      <c r="N27" s="171">
        <f>$P$3*'Цени капацитети'!$E$4+'Враца 1'!$Q$3*'Цени капацитети'!$E$21+$R$3*'Цени капацитети'!$E$8+'Враца 1'!M27</f>
        <v>63.524999999999999</v>
      </c>
      <c r="O27" s="122"/>
      <c r="S27" s="16"/>
    </row>
    <row r="28" spans="2:19" x14ac:dyDescent="0.25">
      <c r="B28" s="47">
        <f t="shared" si="1"/>
        <v>45651</v>
      </c>
      <c r="C28" s="22">
        <v>485</v>
      </c>
      <c r="D28" s="22"/>
      <c r="E28" s="70">
        <f t="shared" si="0"/>
        <v>0</v>
      </c>
      <c r="F28" s="22">
        <v>500</v>
      </c>
      <c r="G28" s="22"/>
      <c r="H28" s="80"/>
      <c r="I28" s="241">
        <v>0</v>
      </c>
      <c r="J28" s="308"/>
      <c r="K28" s="75"/>
      <c r="L28" s="171">
        <f>+J28*'Цени капацитети'!$F$45+K28*'Цени капацитети'!$F$59</f>
        <v>0</v>
      </c>
      <c r="M28" s="171">
        <f>+J28*'Цени капацитети'!$E$45+K28*'Цени капацитети'!$E$59</f>
        <v>0</v>
      </c>
      <c r="N28" s="171">
        <f>$P$3*'Цени капацитети'!$E$4+'Враца 1'!$Q$3*'Цени капацитети'!$E$21+$R$3*'Цени капацитети'!$E$8+'Враца 1'!M28</f>
        <v>63.524999999999999</v>
      </c>
      <c r="O28" s="122"/>
      <c r="S28" s="16"/>
    </row>
    <row r="29" spans="2:19" x14ac:dyDescent="0.25">
      <c r="B29" s="47">
        <f t="shared" si="1"/>
        <v>45652</v>
      </c>
      <c r="C29" s="22">
        <v>485</v>
      </c>
      <c r="D29" s="22"/>
      <c r="E29" s="70">
        <f t="shared" si="0"/>
        <v>0</v>
      </c>
      <c r="F29" s="22">
        <v>500</v>
      </c>
      <c r="G29" s="22"/>
      <c r="H29" s="80"/>
      <c r="I29" s="241">
        <v>0</v>
      </c>
      <c r="J29" s="308"/>
      <c r="K29" s="75"/>
      <c r="L29" s="171">
        <f>+J29*'Цени капацитети'!$F$45+K29*'Цени капацитети'!$F$59</f>
        <v>0</v>
      </c>
      <c r="M29" s="171">
        <f>+J29*'Цени капацитети'!$E$45+K29*'Цени капацитети'!$E$59</f>
        <v>0</v>
      </c>
      <c r="N29" s="171">
        <f>$P$3*'Цени капацитети'!$E$4+'Враца 1'!$Q$3*'Цени капацитети'!$E$21+$R$3*'Цени капацитети'!$E$8+'Враца 1'!M29</f>
        <v>63.524999999999999</v>
      </c>
      <c r="O29" s="122"/>
      <c r="S29" s="16"/>
    </row>
    <row r="30" spans="2:19" x14ac:dyDescent="0.25">
      <c r="B30" s="47">
        <f t="shared" si="1"/>
        <v>45653</v>
      </c>
      <c r="C30" s="22">
        <v>485</v>
      </c>
      <c r="D30" s="22"/>
      <c r="E30" s="70">
        <f t="shared" si="0"/>
        <v>0</v>
      </c>
      <c r="F30" s="22">
        <v>500</v>
      </c>
      <c r="G30" s="22"/>
      <c r="H30" s="80"/>
      <c r="I30" s="241">
        <v>0</v>
      </c>
      <c r="J30" s="308"/>
      <c r="K30" s="75"/>
      <c r="L30" s="171">
        <f>+J30*'Цени капацитети'!$F$45+K30*'Цени капацитети'!$F$59</f>
        <v>0</v>
      </c>
      <c r="M30" s="171">
        <f>+J30*'Цени капацитети'!$E$45+K30*'Цени капацитети'!$E$59</f>
        <v>0</v>
      </c>
      <c r="N30" s="171">
        <f>$P$3*'Цени капацитети'!$E$4+'Враца 1'!$Q$3*'Цени капацитети'!$E$21+$R$3*'Цени капацитети'!$E$8+'Враца 1'!M30</f>
        <v>63.524999999999999</v>
      </c>
      <c r="O30" s="122"/>
      <c r="S30" s="16"/>
    </row>
    <row r="31" spans="2:19" x14ac:dyDescent="0.25">
      <c r="B31" s="47">
        <f t="shared" si="1"/>
        <v>45654</v>
      </c>
      <c r="C31" s="22">
        <v>485</v>
      </c>
      <c r="D31" s="22"/>
      <c r="E31" s="70">
        <f t="shared" si="0"/>
        <v>0</v>
      </c>
      <c r="F31" s="22">
        <v>500</v>
      </c>
      <c r="G31" s="22"/>
      <c r="H31" s="80"/>
      <c r="I31" s="241">
        <v>0</v>
      </c>
      <c r="J31" s="308"/>
      <c r="K31" s="75"/>
      <c r="L31" s="171">
        <f>+J31*'Цени капацитети'!$F$45+K31*'Цени капацитети'!$F$59</f>
        <v>0</v>
      </c>
      <c r="M31" s="171">
        <f>+J31*'Цени капацитети'!$E$45+K31*'Цени капацитети'!$E$59</f>
        <v>0</v>
      </c>
      <c r="N31" s="171">
        <f>$P$3*'Цени капацитети'!$E$4+'Враца 1'!$Q$3*'Цени капацитети'!$E$21+$R$3*'Цени капацитети'!$E$8+'Враца 1'!M31</f>
        <v>63.524999999999999</v>
      </c>
      <c r="O31" s="122"/>
      <c r="S31" s="16"/>
    </row>
    <row r="32" spans="2:19" x14ac:dyDescent="0.25">
      <c r="B32" s="47">
        <f t="shared" si="1"/>
        <v>45655</v>
      </c>
      <c r="C32" s="22">
        <v>485</v>
      </c>
      <c r="D32" s="22"/>
      <c r="E32" s="70">
        <f t="shared" si="0"/>
        <v>0</v>
      </c>
      <c r="F32" s="22">
        <v>500</v>
      </c>
      <c r="G32" s="22"/>
      <c r="H32" s="80"/>
      <c r="I32" s="241">
        <v>0</v>
      </c>
      <c r="J32" s="308"/>
      <c r="K32" s="75"/>
      <c r="L32" s="171">
        <f>+J32*'Цени капацитети'!$F$45+K32*'Цени капацитети'!$F$59</f>
        <v>0</v>
      </c>
      <c r="M32" s="171">
        <f>+J32*'Цени капацитети'!$E$45+K32*'Цени капацитети'!$E$59</f>
        <v>0</v>
      </c>
      <c r="N32" s="171">
        <f>$P$3*'Цени капацитети'!$E$4+'Враца 1'!$Q$3*'Цени капацитети'!$E$21+$R$3*'Цени капацитети'!$E$8+'Враца 1'!M32</f>
        <v>63.524999999999999</v>
      </c>
      <c r="O32" s="122"/>
      <c r="S32" s="16"/>
    </row>
    <row r="33" spans="2:19" x14ac:dyDescent="0.25">
      <c r="B33" s="47">
        <f t="shared" si="1"/>
        <v>45656</v>
      </c>
      <c r="C33" s="22">
        <v>485</v>
      </c>
      <c r="D33" s="22"/>
      <c r="E33" s="70">
        <f t="shared" si="0"/>
        <v>0</v>
      </c>
      <c r="F33" s="22">
        <v>500</v>
      </c>
      <c r="G33" s="22"/>
      <c r="H33" s="80"/>
      <c r="I33" s="241">
        <v>0</v>
      </c>
      <c r="J33" s="308"/>
      <c r="K33" s="75"/>
      <c r="L33" s="171">
        <f>+J33*'Цени капацитети'!$F$45+K33*'Цени капацитети'!$F$59</f>
        <v>0</v>
      </c>
      <c r="M33" s="171">
        <f>+J33*'Цени капацитети'!$E$45+K33*'Цени капацитети'!$E$59</f>
        <v>0</v>
      </c>
      <c r="N33" s="171">
        <f>$P$3*'Цени капацитети'!$E$4+'Враца 1'!$Q$3*'Цени капацитети'!$E$21+$R$3*'Цени капацитети'!$E$8+'Враца 1'!M33</f>
        <v>63.524999999999999</v>
      </c>
      <c r="O33" s="122"/>
      <c r="S33" s="16"/>
    </row>
    <row r="34" spans="2:19" x14ac:dyDescent="0.25">
      <c r="B34" s="47">
        <f t="shared" si="1"/>
        <v>45657</v>
      </c>
      <c r="C34" s="22">
        <v>485</v>
      </c>
      <c r="D34" s="22"/>
      <c r="E34" s="70">
        <f t="shared" si="0"/>
        <v>0</v>
      </c>
      <c r="F34" s="22">
        <v>500</v>
      </c>
      <c r="G34" s="22"/>
      <c r="H34" s="80"/>
      <c r="I34" s="241">
        <v>0</v>
      </c>
      <c r="J34" s="308"/>
      <c r="K34" s="75"/>
      <c r="L34" s="171">
        <f>+J34*'Цени капацитети'!$F$45+K34*'Цени капацитети'!$F$59</f>
        <v>0</v>
      </c>
      <c r="M34" s="171">
        <f>+J34*'Цени капацитети'!$E$45+K34*'Цени капацитети'!$E$59</f>
        <v>0</v>
      </c>
      <c r="N34" s="171">
        <f>$P$3*'Цени капацитети'!$E$4+'Враца 1'!$Q$3*'Цени капацитети'!$E$21+$R$3*'Цени капацитети'!$E$8+'Враца 1'!M34</f>
        <v>63.524999999999999</v>
      </c>
      <c r="O34" s="122"/>
      <c r="S34" s="16"/>
    </row>
    <row r="35" spans="2:19" x14ac:dyDescent="0.25">
      <c r="E35" s="16">
        <f>SUM(E4:E34)</f>
        <v>7740.4569999999994</v>
      </c>
      <c r="F35" s="16"/>
      <c r="G35" s="16">
        <f t="shared" ref="G35:L35" si="2">SUM(G4:G34)</f>
        <v>650</v>
      </c>
      <c r="H35" s="16">
        <f t="shared" si="2"/>
        <v>531.91200000000003</v>
      </c>
      <c r="I35" s="16">
        <f t="shared" si="2"/>
        <v>0</v>
      </c>
      <c r="J35" s="16">
        <f t="shared" si="2"/>
        <v>0</v>
      </c>
      <c r="K35" s="16">
        <f t="shared" si="2"/>
        <v>255</v>
      </c>
      <c r="L35" s="16">
        <f t="shared" si="2"/>
        <v>750.82199999999989</v>
      </c>
      <c r="N35" s="155">
        <f>SUM(N4:N34)</f>
        <v>3126.3375000000015</v>
      </c>
      <c r="O35" s="226">
        <f>SUM(O4:O34)</f>
        <v>0</v>
      </c>
    </row>
    <row r="36" spans="2:19" x14ac:dyDescent="0.25">
      <c r="E36" s="16">
        <f>+E35+'Враца 2'!E35</f>
        <v>11094.483</v>
      </c>
      <c r="H36" s="16">
        <f>+H35+'Враца 2'!H35</f>
        <v>1602.7719999999999</v>
      </c>
      <c r="J36" s="242"/>
    </row>
    <row r="37" spans="2:19" x14ac:dyDescent="0.25">
      <c r="E37" s="1">
        <f>+E35/31</f>
        <v>249.69216129032256</v>
      </c>
      <c r="G37" s="1">
        <f>+H35/31</f>
        <v>17.158451612903228</v>
      </c>
      <c r="H37" s="1">
        <f>+H35/31</f>
        <v>17.158451612903228</v>
      </c>
    </row>
    <row r="38" spans="2:19" x14ac:dyDescent="0.25">
      <c r="E38" s="16"/>
      <c r="H38" s="16"/>
    </row>
    <row r="39" spans="2:19" x14ac:dyDescent="0.25">
      <c r="G39" s="16"/>
    </row>
  </sheetData>
  <mergeCells count="4">
    <mergeCell ref="B2:H2"/>
    <mergeCell ref="K2:M2"/>
    <mergeCell ref="P1:Q1"/>
    <mergeCell ref="P6:Q8"/>
  </mergeCells>
  <pageMargins left="1.0899999999999999" right="0.7" top="0.75" bottom="0.75" header="0.3" footer="0.3"/>
  <pageSetup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B1:R37"/>
  <sheetViews>
    <sheetView zoomScale="80" zoomScaleNormal="80" workbookViewId="0">
      <selection activeCell="G19" sqref="G19:H19"/>
    </sheetView>
  </sheetViews>
  <sheetFormatPr defaultColWidth="8.85546875" defaultRowHeight="15" x14ac:dyDescent="0.25"/>
  <cols>
    <col min="1" max="1" width="8.85546875" style="1"/>
    <col min="2" max="2" width="16.7109375" style="1" customWidth="1"/>
    <col min="3" max="3" width="9" style="1" bestFit="1" customWidth="1"/>
    <col min="4" max="4" width="16.28515625" style="1" bestFit="1" customWidth="1"/>
    <col min="5" max="5" width="13.28515625" style="1" customWidth="1"/>
    <col min="6" max="6" width="9" style="1" customWidth="1"/>
    <col min="7" max="7" width="11.42578125" style="1" bestFit="1" customWidth="1"/>
    <col min="8" max="8" width="11.140625" style="1" bestFit="1" customWidth="1"/>
    <col min="9" max="10" width="13.7109375" style="1" customWidth="1"/>
    <col min="11" max="11" width="15.42578125" style="1" bestFit="1" customWidth="1"/>
    <col min="12" max="12" width="13" style="1" customWidth="1"/>
    <col min="13" max="14" width="17.5703125" style="69" customWidth="1"/>
    <col min="15" max="15" width="9.140625" style="1" bestFit="1" customWidth="1"/>
    <col min="16" max="16" width="14.7109375" style="1" bestFit="1" customWidth="1"/>
    <col min="17" max="17" width="19.28515625" style="1" bestFit="1" customWidth="1"/>
    <col min="18" max="18" width="7.5703125" style="1" bestFit="1" customWidth="1"/>
    <col min="19" max="19" width="10.28515625" style="1" customWidth="1"/>
    <col min="20" max="20" width="10.7109375" style="1" customWidth="1"/>
    <col min="21" max="16384" width="8.85546875" style="1"/>
  </cols>
  <sheetData>
    <row r="1" spans="2:18" ht="15.75" thickBot="1" x14ac:dyDescent="0.3">
      <c r="K1" s="77"/>
      <c r="L1" s="78"/>
      <c r="M1" s="78"/>
      <c r="N1" s="13"/>
      <c r="P1" s="653" t="s">
        <v>28</v>
      </c>
      <c r="Q1" s="653"/>
    </row>
    <row r="2" spans="2:18" ht="28.9" customHeight="1" x14ac:dyDescent="0.25">
      <c r="B2" s="658" t="s">
        <v>17</v>
      </c>
      <c r="C2" s="659"/>
      <c r="D2" s="659"/>
      <c r="E2" s="659"/>
      <c r="F2" s="659"/>
      <c r="G2" s="659"/>
      <c r="H2" s="660"/>
      <c r="I2" s="232"/>
      <c r="J2" s="232"/>
      <c r="K2" s="652" t="s">
        <v>70</v>
      </c>
      <c r="L2" s="652"/>
      <c r="M2" s="652"/>
      <c r="N2" s="52"/>
      <c r="P2" s="2" t="s">
        <v>99</v>
      </c>
      <c r="Q2" s="2" t="s">
        <v>80</v>
      </c>
      <c r="R2" s="2" t="s">
        <v>111</v>
      </c>
    </row>
    <row r="3" spans="2:18" ht="43.5" x14ac:dyDescent="0.25">
      <c r="B3" s="12" t="s">
        <v>8</v>
      </c>
      <c r="C3" s="2" t="s">
        <v>21</v>
      </c>
      <c r="D3" s="40" t="s">
        <v>22</v>
      </c>
      <c r="E3" s="40" t="s">
        <v>18</v>
      </c>
      <c r="F3" s="40" t="s">
        <v>20</v>
      </c>
      <c r="G3" s="13" t="s">
        <v>26</v>
      </c>
      <c r="H3" s="79" t="s">
        <v>6</v>
      </c>
      <c r="I3" s="233" t="s">
        <v>55</v>
      </c>
      <c r="J3" s="119" t="s">
        <v>136</v>
      </c>
      <c r="K3" s="119" t="s">
        <v>137</v>
      </c>
      <c r="L3" s="77" t="s">
        <v>102</v>
      </c>
      <c r="M3" s="77" t="s">
        <v>82</v>
      </c>
      <c r="N3" s="77" t="s">
        <v>103</v>
      </c>
      <c r="O3" s="69" t="s">
        <v>121</v>
      </c>
      <c r="P3" s="245"/>
      <c r="Q3" s="109">
        <v>75</v>
      </c>
      <c r="R3" s="109"/>
    </row>
    <row r="4" spans="2:18" x14ac:dyDescent="0.25">
      <c r="B4" s="47">
        <v>45627</v>
      </c>
      <c r="C4" s="49">
        <v>250</v>
      </c>
      <c r="D4" s="22">
        <v>255.732</v>
      </c>
      <c r="E4" s="70">
        <f>+D4-H4</f>
        <v>250</v>
      </c>
      <c r="F4" s="49">
        <v>200</v>
      </c>
      <c r="G4" s="49">
        <v>0</v>
      </c>
      <c r="H4" s="140">
        <v>5.7319999999999993</v>
      </c>
      <c r="I4" s="241">
        <v>0</v>
      </c>
      <c r="J4" s="308"/>
      <c r="K4" s="75"/>
      <c r="L4" s="171">
        <f>+J4*'Цени капацитети'!$F$45+K4*'Цени капацитети'!$F$59</f>
        <v>0</v>
      </c>
      <c r="M4" s="171">
        <f>+J4*'Цени капацитети'!$E$45+K4*'Цени капацитети'!$E$59</f>
        <v>0</v>
      </c>
      <c r="N4" s="113">
        <f>$P$3*'Цени капацитети'!$E$4+'Враца 2'!$Q$3*'Цени капацитети'!$E$21+$R$3*'Цени капацитети'!$E$8+'Враца 2'!M4</f>
        <v>190.57499999999999</v>
      </c>
      <c r="O4" s="123"/>
    </row>
    <row r="5" spans="2:18" x14ac:dyDescent="0.25">
      <c r="B5" s="47">
        <f>+B4+1</f>
        <v>45628</v>
      </c>
      <c r="C5" s="49">
        <v>280</v>
      </c>
      <c r="D5" s="22">
        <v>289.27699999999999</v>
      </c>
      <c r="E5" s="70">
        <f t="shared" ref="E5:E34" si="0">+D5-H5</f>
        <v>235</v>
      </c>
      <c r="F5" s="49">
        <v>200</v>
      </c>
      <c r="G5" s="49">
        <v>90</v>
      </c>
      <c r="H5" s="140">
        <v>54.276999999999987</v>
      </c>
      <c r="I5" s="241">
        <v>0</v>
      </c>
      <c r="J5" s="308"/>
      <c r="K5" s="75">
        <v>20</v>
      </c>
      <c r="L5" s="171">
        <f>+J5*'Цени капацитети'!$F$45+K5*'Цени капацитети'!$F$59</f>
        <v>58.887999999999998</v>
      </c>
      <c r="M5" s="171">
        <f>+J5*'Цени капацитети'!$E$45+K5*'Цени капацитети'!$E$59</f>
        <v>90.75</v>
      </c>
      <c r="N5" s="113">
        <f>$P$3*'Цени капацитети'!$E$4+'Враца 2'!$Q$3*'Цени капацитети'!$E$21+$R$3*'Цени капацитети'!$E$8+'Враца 2'!M5</f>
        <v>281.32499999999999</v>
      </c>
      <c r="O5" s="123"/>
    </row>
    <row r="6" spans="2:18" x14ac:dyDescent="0.25">
      <c r="B6" s="47">
        <f t="shared" ref="B6:B34" si="1">+B5+1</f>
        <v>45629</v>
      </c>
      <c r="C6" s="49">
        <v>350</v>
      </c>
      <c r="D6" s="22">
        <v>399.17200000000003</v>
      </c>
      <c r="E6" s="70">
        <f t="shared" si="0"/>
        <v>320</v>
      </c>
      <c r="F6" s="49">
        <v>200</v>
      </c>
      <c r="G6" s="49">
        <v>60</v>
      </c>
      <c r="H6" s="140">
        <v>79.172000000000025</v>
      </c>
      <c r="I6" s="241">
        <v>0</v>
      </c>
      <c r="J6" s="308"/>
      <c r="K6" s="75"/>
      <c r="L6" s="171">
        <f>+J6*'Цени капацитети'!$F$45+K6*'Цени капацитети'!$F$59</f>
        <v>0</v>
      </c>
      <c r="M6" s="171">
        <f>+J6*'Цени капацитети'!$E$45+K6*'Цени капацитети'!$E$59</f>
        <v>0</v>
      </c>
      <c r="N6" s="113">
        <f>$P$3*'Цени капацитети'!$E$4+'Враца 2'!$Q$3*'Цени капацитети'!$E$21+$R$3*'Цени капацитети'!$E$8+'Враца 2'!M6</f>
        <v>190.57499999999999</v>
      </c>
      <c r="O6" s="123"/>
      <c r="P6" s="654" t="s">
        <v>105</v>
      </c>
      <c r="Q6" s="654"/>
    </row>
    <row r="7" spans="2:18" x14ac:dyDescent="0.25">
      <c r="B7" s="47">
        <f t="shared" si="1"/>
        <v>45630</v>
      </c>
      <c r="C7" s="49">
        <v>265</v>
      </c>
      <c r="D7" s="22">
        <v>232.59800000000001</v>
      </c>
      <c r="E7" s="70">
        <f t="shared" si="0"/>
        <v>200</v>
      </c>
      <c r="F7" s="49">
        <v>200</v>
      </c>
      <c r="G7" s="49">
        <v>60</v>
      </c>
      <c r="H7" s="140">
        <v>32.598000000000013</v>
      </c>
      <c r="I7" s="241">
        <v>0</v>
      </c>
      <c r="J7" s="308"/>
      <c r="K7" s="75"/>
      <c r="L7" s="171">
        <f>+J7*'Цени капацитети'!$F$45+K7*'Цени капацитети'!$F$59</f>
        <v>0</v>
      </c>
      <c r="M7" s="171">
        <f>+J7*'Цени капацитети'!$E$45+K7*'Цени капацитети'!$E$59</f>
        <v>0</v>
      </c>
      <c r="N7" s="113">
        <f>$P$3*'Цени капацитети'!$E$4+'Враца 2'!$Q$3*'Цени капацитети'!$E$21+$R$3*'Цени капацитети'!$E$8+'Враца 2'!M7</f>
        <v>190.57499999999999</v>
      </c>
      <c r="O7" s="123"/>
      <c r="P7" s="654"/>
      <c r="Q7" s="654"/>
    </row>
    <row r="8" spans="2:18" x14ac:dyDescent="0.25">
      <c r="B8" s="47">
        <f t="shared" si="1"/>
        <v>45631</v>
      </c>
      <c r="C8" s="49">
        <v>250</v>
      </c>
      <c r="D8" s="22">
        <v>231.39400000000001</v>
      </c>
      <c r="E8" s="70">
        <f t="shared" si="0"/>
        <v>171.39400000000001</v>
      </c>
      <c r="F8" s="49">
        <v>200</v>
      </c>
      <c r="G8" s="49">
        <v>60</v>
      </c>
      <c r="H8" s="140">
        <v>60</v>
      </c>
      <c r="I8" s="241">
        <v>0</v>
      </c>
      <c r="J8" s="308"/>
      <c r="K8" s="75"/>
      <c r="L8" s="171">
        <f>+J8*'Цени капацитети'!$F$45+K8*'Цени капацитети'!$F$59</f>
        <v>0</v>
      </c>
      <c r="M8" s="171">
        <f>+J8*'Цени капацитети'!$E$45+K8*'Цени капацитети'!$E$59</f>
        <v>0</v>
      </c>
      <c r="N8" s="113">
        <f>$P$3*'Цени капацитети'!$E$4+'Враца 2'!$Q$3*'Цени капацитети'!$E$21+$R$3*'Цени капацитети'!$E$8+'Враца 2'!M8</f>
        <v>190.57499999999999</v>
      </c>
      <c r="O8" s="123"/>
      <c r="P8" s="654"/>
      <c r="Q8" s="654"/>
    </row>
    <row r="9" spans="2:18" x14ac:dyDescent="0.25">
      <c r="B9" s="47">
        <f t="shared" si="1"/>
        <v>45632</v>
      </c>
      <c r="C9" s="49">
        <v>235</v>
      </c>
      <c r="D9" s="22">
        <v>240.90100000000001</v>
      </c>
      <c r="E9" s="70">
        <f t="shared" si="0"/>
        <v>240.90100000000001</v>
      </c>
      <c r="F9" s="49">
        <v>200</v>
      </c>
      <c r="G9" s="49">
        <v>0</v>
      </c>
      <c r="H9" s="140">
        <v>0</v>
      </c>
      <c r="I9" s="241">
        <v>0</v>
      </c>
      <c r="J9" s="308"/>
      <c r="K9" s="75"/>
      <c r="L9" s="171">
        <f>+J9*'Цени капацитети'!$F$45+K9*'Цени капацитети'!$F$59</f>
        <v>0</v>
      </c>
      <c r="M9" s="171">
        <f>+J9*'Цени капацитети'!$E$45+K9*'Цени капацитети'!$E$59</f>
        <v>0</v>
      </c>
      <c r="N9" s="113">
        <f>$P$3*'Цени капацитети'!$E$4+'Враца 2'!$Q$3*'Цени капацитети'!$E$21+$R$3*'Цени капацитети'!$E$8+'Враца 2'!M9</f>
        <v>190.57499999999999</v>
      </c>
      <c r="O9" s="123"/>
      <c r="P9" s="111" t="s">
        <v>18</v>
      </c>
      <c r="Q9" s="112" t="s">
        <v>6</v>
      </c>
    </row>
    <row r="10" spans="2:18" x14ac:dyDescent="0.25">
      <c r="B10" s="47">
        <f t="shared" si="1"/>
        <v>45633</v>
      </c>
      <c r="C10" s="49">
        <v>235</v>
      </c>
      <c r="D10" s="22">
        <v>250.30099999999999</v>
      </c>
      <c r="E10" s="70">
        <f t="shared" si="0"/>
        <v>250.30099999999999</v>
      </c>
      <c r="F10" s="49">
        <v>200</v>
      </c>
      <c r="G10" s="49">
        <v>0</v>
      </c>
      <c r="H10" s="140">
        <v>0</v>
      </c>
      <c r="I10" s="241">
        <v>0</v>
      </c>
      <c r="J10" s="308"/>
      <c r="K10" s="75"/>
      <c r="L10" s="171">
        <f>+J10*'Цени капацитети'!$F$45+K10*'Цени капацитети'!$F$59</f>
        <v>0</v>
      </c>
      <c r="M10" s="171">
        <f>+J10*'Цени капацитети'!$E$45+K10*'Цени капацитети'!$E$59</f>
        <v>0</v>
      </c>
      <c r="N10" s="113">
        <f>$P$3*'Цени капацитети'!$E$4+'Враца 2'!$Q$3*'Цени капацитети'!$E$21+$R$3*'Цени капацитети'!$E$8+'Враца 2'!M10</f>
        <v>190.57499999999999</v>
      </c>
      <c r="O10" s="123"/>
      <c r="P10" s="111"/>
      <c r="Q10" s="111"/>
    </row>
    <row r="11" spans="2:18" x14ac:dyDescent="0.25">
      <c r="B11" s="47">
        <f t="shared" si="1"/>
        <v>45634</v>
      </c>
      <c r="C11" s="49">
        <v>235</v>
      </c>
      <c r="D11" s="22">
        <v>239.09399999999999</v>
      </c>
      <c r="E11" s="70">
        <f t="shared" si="0"/>
        <v>239.09399999999999</v>
      </c>
      <c r="F11" s="49">
        <v>200</v>
      </c>
      <c r="G11" s="49">
        <v>0</v>
      </c>
      <c r="H11" s="140">
        <v>0</v>
      </c>
      <c r="I11" s="241">
        <v>0</v>
      </c>
      <c r="J11" s="308"/>
      <c r="K11" s="75"/>
      <c r="L11" s="171">
        <f>+J11*'Цени капацитети'!$F$45+K11*'Цени капацитети'!$F$59</f>
        <v>0</v>
      </c>
      <c r="M11" s="171">
        <f>+J11*'Цени капацитети'!$E$45+K11*'Цени капацитети'!$E$59</f>
        <v>0</v>
      </c>
      <c r="N11" s="113">
        <f>$P$3*'Цени капацитети'!$E$4+'Враца 2'!$Q$3*'Цени капацитети'!$E$21+$R$3*'Цени капацитети'!$E$8+'Враца 2'!M11</f>
        <v>190.57499999999999</v>
      </c>
      <c r="O11" s="123"/>
    </row>
    <row r="12" spans="2:18" x14ac:dyDescent="0.25">
      <c r="B12" s="47">
        <f t="shared" si="1"/>
        <v>45635</v>
      </c>
      <c r="C12" s="49">
        <v>235</v>
      </c>
      <c r="D12" s="22">
        <v>394.96699999999998</v>
      </c>
      <c r="E12" s="70">
        <f t="shared" si="0"/>
        <v>220</v>
      </c>
      <c r="F12" s="49">
        <v>200</v>
      </c>
      <c r="G12" s="49">
        <v>180</v>
      </c>
      <c r="H12" s="140">
        <v>174.96699999999998</v>
      </c>
      <c r="I12" s="241">
        <v>0</v>
      </c>
      <c r="J12" s="308"/>
      <c r="K12" s="75">
        <v>108</v>
      </c>
      <c r="L12" s="171">
        <f>+J12*'Цени капацитети'!$F$45+K12*'Цени капацитети'!$F$59</f>
        <v>317.99520000000001</v>
      </c>
      <c r="M12" s="171">
        <f>+J12*'Цени капацитети'!$E$45+K12*'Цени капацитети'!$E$59</f>
        <v>490.04999999999995</v>
      </c>
      <c r="N12" s="113">
        <f>$P$3*'Цени капацитети'!$E$4+'Враца 2'!$Q$3*'Цени капацитети'!$E$21+$R$3*'Цени капацитети'!$E$8+'Враца 2'!M12</f>
        <v>680.625</v>
      </c>
      <c r="O12" s="123"/>
    </row>
    <row r="13" spans="2:18" x14ac:dyDescent="0.25">
      <c r="B13" s="47">
        <f t="shared" si="1"/>
        <v>45636</v>
      </c>
      <c r="C13" s="49">
        <v>235</v>
      </c>
      <c r="D13" s="22">
        <v>409.66899999999998</v>
      </c>
      <c r="E13" s="70">
        <f t="shared" si="0"/>
        <v>200</v>
      </c>
      <c r="F13" s="49">
        <v>200</v>
      </c>
      <c r="G13" s="49">
        <v>220</v>
      </c>
      <c r="H13" s="140">
        <v>209.66899999999998</v>
      </c>
      <c r="I13" s="241">
        <v>0</v>
      </c>
      <c r="J13" s="308"/>
      <c r="K13" s="75">
        <v>145</v>
      </c>
      <c r="L13" s="171">
        <f>+J13*'Цени капацитети'!$F$45+K13*'Цени капацитети'!$F$59</f>
        <v>426.93799999999999</v>
      </c>
      <c r="M13" s="171">
        <f>+J13*'Цени капацитети'!$E$45+K13*'Цени капацитети'!$E$59</f>
        <v>657.9375</v>
      </c>
      <c r="N13" s="113">
        <f>$P$3*'Цени капацитети'!$E$4+'Враца 2'!$Q$3*'Цени капацитети'!$E$21+$R$3*'Цени капацитети'!$E$8+'Враца 2'!M13</f>
        <v>848.51250000000005</v>
      </c>
      <c r="O13" s="123"/>
      <c r="P13" s="23"/>
    </row>
    <row r="14" spans="2:18" x14ac:dyDescent="0.25">
      <c r="B14" s="47">
        <f t="shared" si="1"/>
        <v>45637</v>
      </c>
      <c r="C14" s="49">
        <v>235</v>
      </c>
      <c r="D14" s="22">
        <v>257.61500000000001</v>
      </c>
      <c r="E14" s="70">
        <f t="shared" si="0"/>
        <v>160</v>
      </c>
      <c r="F14" s="49">
        <v>200</v>
      </c>
      <c r="G14" s="49">
        <v>110</v>
      </c>
      <c r="H14" s="140">
        <v>97.615000000000009</v>
      </c>
      <c r="I14" s="241">
        <v>0</v>
      </c>
      <c r="J14" s="308"/>
      <c r="K14" s="75">
        <v>35</v>
      </c>
      <c r="L14" s="171">
        <f>+J14*'Цени капацитети'!$F$45+K14*'Цени капацитети'!$F$59</f>
        <v>103.054</v>
      </c>
      <c r="M14" s="171">
        <f>+J14*'Цени капацитети'!$E$45+K14*'Цени капацитети'!$E$59</f>
        <v>158.8125</v>
      </c>
      <c r="N14" s="113">
        <f>$P$3*'Цени капацитети'!$E$4+'Враца 2'!$Q$3*'Цени капацитети'!$E$21+$R$3*'Цени капацитети'!$E$8+'Враца 2'!M14</f>
        <v>349.38749999999999</v>
      </c>
      <c r="O14" s="123"/>
    </row>
    <row r="15" spans="2:18" x14ac:dyDescent="0.25">
      <c r="B15" s="47">
        <f t="shared" si="1"/>
        <v>45638</v>
      </c>
      <c r="C15" s="49">
        <v>235</v>
      </c>
      <c r="D15" s="22">
        <v>244.827</v>
      </c>
      <c r="E15" s="70">
        <f t="shared" si="0"/>
        <v>169.827</v>
      </c>
      <c r="F15" s="49">
        <v>200</v>
      </c>
      <c r="G15" s="49">
        <v>70</v>
      </c>
      <c r="H15" s="140">
        <v>75</v>
      </c>
      <c r="I15" s="241">
        <v>0</v>
      </c>
      <c r="J15" s="308"/>
      <c r="K15" s="75"/>
      <c r="L15" s="171">
        <f>+J15*'Цени капацитети'!$F$45+K15*'Цени капацитети'!$F$59</f>
        <v>0</v>
      </c>
      <c r="M15" s="171">
        <f>+J15*'Цени капацитети'!$E$45+K15*'Цени капацитети'!$E$59</f>
        <v>0</v>
      </c>
      <c r="N15" s="113">
        <f>$P$3*'Цени капацитети'!$E$4+'Враца 2'!$Q$3*'Цени капацитети'!$E$21+$R$3*'Цени капацитети'!$E$8+'Враца 2'!M15</f>
        <v>190.57499999999999</v>
      </c>
      <c r="O15" s="123"/>
    </row>
    <row r="16" spans="2:18" x14ac:dyDescent="0.25">
      <c r="B16" s="47">
        <f t="shared" si="1"/>
        <v>45639</v>
      </c>
      <c r="C16" s="49">
        <v>235</v>
      </c>
      <c r="D16" s="22">
        <v>246.24600000000001</v>
      </c>
      <c r="E16" s="70">
        <f t="shared" si="0"/>
        <v>190</v>
      </c>
      <c r="F16" s="49">
        <v>200</v>
      </c>
      <c r="G16" s="49">
        <v>60</v>
      </c>
      <c r="H16" s="140">
        <v>56.246000000000009</v>
      </c>
      <c r="I16" s="241">
        <v>0</v>
      </c>
      <c r="J16" s="308"/>
      <c r="K16" s="75"/>
      <c r="L16" s="171">
        <f>+J16*'Цени капацитети'!$F$45+K16*'Цени капацитети'!$F$59</f>
        <v>0</v>
      </c>
      <c r="M16" s="171">
        <f>+J16*'Цени капацитети'!$E$45+K16*'Цени капацитети'!$E$59</f>
        <v>0</v>
      </c>
      <c r="N16" s="113">
        <f>$P$3*'Цени капацитети'!$E$4+'Враца 2'!$Q$3*'Цени капацитети'!$E$21+$R$3*'Цени капацитети'!$E$8+'Враца 2'!M16</f>
        <v>190.57499999999999</v>
      </c>
      <c r="O16" s="123"/>
    </row>
    <row r="17" spans="2:17" x14ac:dyDescent="0.25">
      <c r="B17" s="47">
        <f t="shared" si="1"/>
        <v>45640</v>
      </c>
      <c r="C17" s="49">
        <v>235</v>
      </c>
      <c r="D17" s="22">
        <v>265.584</v>
      </c>
      <c r="E17" s="70">
        <f t="shared" si="0"/>
        <v>190</v>
      </c>
      <c r="F17" s="49">
        <v>200</v>
      </c>
      <c r="G17" s="49">
        <v>70</v>
      </c>
      <c r="H17" s="140">
        <v>75.584000000000003</v>
      </c>
      <c r="I17" s="241">
        <v>0</v>
      </c>
      <c r="J17" s="308"/>
      <c r="K17" s="75">
        <v>3</v>
      </c>
      <c r="L17" s="171">
        <f>+J17*'Цени капацитети'!$F$45+K17*'Цени капацитети'!$F$59</f>
        <v>8.8331999999999997</v>
      </c>
      <c r="M17" s="171">
        <f>+J17*'Цени капацитети'!$E$45+K17*'Цени капацитети'!$E$59</f>
        <v>13.612499999999999</v>
      </c>
      <c r="N17" s="113">
        <f>$P$3*'Цени капацитети'!$E$4+'Враца 2'!$Q$3*'Цени капацитети'!$E$21+$R$3*'Цени капацитети'!$E$8+'Враца 2'!M17</f>
        <v>204.1875</v>
      </c>
      <c r="O17" s="123"/>
    </row>
    <row r="18" spans="2:17" x14ac:dyDescent="0.25">
      <c r="B18" s="47">
        <f t="shared" si="1"/>
        <v>45641</v>
      </c>
      <c r="C18" s="49">
        <v>235</v>
      </c>
      <c r="D18" s="22">
        <v>253.03299999999999</v>
      </c>
      <c r="E18" s="70">
        <f t="shared" si="0"/>
        <v>153.03299999999999</v>
      </c>
      <c r="F18" s="49">
        <v>200</v>
      </c>
      <c r="G18" s="49">
        <v>90</v>
      </c>
      <c r="H18" s="140">
        <v>100</v>
      </c>
      <c r="I18" s="241">
        <v>0</v>
      </c>
      <c r="J18" s="308"/>
      <c r="K18" s="75">
        <v>25</v>
      </c>
      <c r="L18" s="171">
        <f>+J18*'Цени капацитети'!$F$45+K18*'Цени капацитети'!$F$59</f>
        <v>73.61</v>
      </c>
      <c r="M18" s="171">
        <f>+J18*'Цени капацитети'!$E$45+K18*'Цени капацитети'!$E$59</f>
        <v>113.43749999999999</v>
      </c>
      <c r="N18" s="113">
        <f>$P$3*'Цени капацитети'!$E$4+'Враца 2'!$Q$3*'Цени капацитети'!$E$21+$R$3*'Цени капацитети'!$E$8+'Враца 2'!M18</f>
        <v>304.01249999999999</v>
      </c>
      <c r="O18" s="123"/>
    </row>
    <row r="19" spans="2:17" x14ac:dyDescent="0.25">
      <c r="B19" s="47">
        <f t="shared" si="1"/>
        <v>45642</v>
      </c>
      <c r="C19" s="49">
        <v>235</v>
      </c>
      <c r="D19" s="22">
        <v>214.476</v>
      </c>
      <c r="E19" s="70">
        <f t="shared" si="0"/>
        <v>164.476</v>
      </c>
      <c r="F19" s="49">
        <v>200</v>
      </c>
      <c r="G19" s="49">
        <v>45</v>
      </c>
      <c r="H19" s="140">
        <v>50</v>
      </c>
      <c r="I19" s="241">
        <v>0</v>
      </c>
      <c r="J19" s="308"/>
      <c r="K19" s="75"/>
      <c r="L19" s="171">
        <f>+J19*'Цени капацитети'!$F$45+K19*'Цени капацитети'!$F$59</f>
        <v>0</v>
      </c>
      <c r="M19" s="171">
        <f>+J19*'Цени капацитети'!$E$45+K19*'Цени капацитети'!$E$59</f>
        <v>0</v>
      </c>
      <c r="N19" s="113">
        <f>$P$3*'Цени капацитети'!$E$4+'Враца 2'!$Q$3*'Цени капацитети'!$E$21+$R$3*'Цени капацитети'!$E$8+'Враца 2'!M19</f>
        <v>190.57499999999999</v>
      </c>
      <c r="O19" s="123"/>
      <c r="Q19" s="3"/>
    </row>
    <row r="20" spans="2:17" x14ac:dyDescent="0.25">
      <c r="B20" s="47">
        <f t="shared" si="1"/>
        <v>45643</v>
      </c>
      <c r="C20" s="49">
        <v>235</v>
      </c>
      <c r="D20" s="22"/>
      <c r="E20" s="70">
        <f t="shared" si="0"/>
        <v>0</v>
      </c>
      <c r="F20" s="49">
        <v>200</v>
      </c>
      <c r="G20" s="49"/>
      <c r="H20" s="140"/>
      <c r="I20" s="241">
        <v>0</v>
      </c>
      <c r="J20" s="308"/>
      <c r="K20" s="75"/>
      <c r="L20" s="171">
        <f>+J20*'Цени капацитети'!$F$45+K20*'Цени капацитети'!$F$59</f>
        <v>0</v>
      </c>
      <c r="M20" s="171">
        <f>+J20*'Цени капацитети'!$E$45+K20*'Цени капацитети'!$E$59</f>
        <v>0</v>
      </c>
      <c r="N20" s="113">
        <f>$P$3*'Цени капацитети'!$E$4+'Враца 2'!$Q$3*'Цени капацитети'!$E$21+$R$3*'Цени капацитети'!$E$8+'Враца 2'!M20</f>
        <v>190.57499999999999</v>
      </c>
      <c r="O20" s="123"/>
      <c r="Q20" s="17"/>
    </row>
    <row r="21" spans="2:17" x14ac:dyDescent="0.25">
      <c r="B21" s="47">
        <f t="shared" si="1"/>
        <v>45644</v>
      </c>
      <c r="C21" s="49">
        <v>235</v>
      </c>
      <c r="D21" s="22"/>
      <c r="E21" s="70">
        <f t="shared" si="0"/>
        <v>0</v>
      </c>
      <c r="F21" s="49">
        <v>200</v>
      </c>
      <c r="G21" s="49"/>
      <c r="H21" s="140"/>
      <c r="I21" s="241">
        <v>0</v>
      </c>
      <c r="J21" s="308"/>
      <c r="K21" s="75"/>
      <c r="L21" s="171">
        <f>+J21*'Цени капацитети'!$F$45+K21*'Цени капацитети'!$F$59</f>
        <v>0</v>
      </c>
      <c r="M21" s="171">
        <f>+J21*'Цени капацитети'!$E$45+K21*'Цени капацитети'!$E$59</f>
        <v>0</v>
      </c>
      <c r="N21" s="113">
        <f>$P$3*'Цени капацитети'!$E$4+'Враца 2'!$Q$3*'Цени капацитети'!$E$21+$R$3*'Цени капацитети'!$E$8+'Враца 2'!M21</f>
        <v>190.57499999999999</v>
      </c>
      <c r="O21" s="123"/>
      <c r="Q21" s="17"/>
    </row>
    <row r="22" spans="2:17" x14ac:dyDescent="0.25">
      <c r="B22" s="47">
        <f t="shared" si="1"/>
        <v>45645</v>
      </c>
      <c r="C22" s="49">
        <v>235</v>
      </c>
      <c r="D22" s="22"/>
      <c r="E22" s="70">
        <f t="shared" si="0"/>
        <v>0</v>
      </c>
      <c r="F22" s="49">
        <v>200</v>
      </c>
      <c r="G22" s="49"/>
      <c r="H22" s="140"/>
      <c r="I22" s="241">
        <v>0</v>
      </c>
      <c r="J22" s="308"/>
      <c r="K22" s="75"/>
      <c r="L22" s="171">
        <f>+J22*'Цени капацитети'!$F$45+K22*'Цени капацитети'!$F$59</f>
        <v>0</v>
      </c>
      <c r="M22" s="171">
        <f>+J22*'Цени капацитети'!$E$45+K22*'Цени капацитети'!$E$59</f>
        <v>0</v>
      </c>
      <c r="N22" s="113">
        <f>$P$3*'Цени капацитети'!$E$4+'Враца 2'!$Q$3*'Цени капацитети'!$E$21+$R$3*'Цени капацитети'!$E$8+'Враца 2'!M22</f>
        <v>190.57499999999999</v>
      </c>
      <c r="O22" s="123"/>
    </row>
    <row r="23" spans="2:17" x14ac:dyDescent="0.25">
      <c r="B23" s="47">
        <f t="shared" si="1"/>
        <v>45646</v>
      </c>
      <c r="C23" s="49">
        <v>235</v>
      </c>
      <c r="D23" s="22"/>
      <c r="E23" s="70">
        <f t="shared" si="0"/>
        <v>0</v>
      </c>
      <c r="F23" s="49">
        <v>200</v>
      </c>
      <c r="G23" s="49"/>
      <c r="H23" s="140"/>
      <c r="I23" s="241">
        <v>0</v>
      </c>
      <c r="J23" s="308"/>
      <c r="K23" s="75"/>
      <c r="L23" s="171">
        <f>+J23*'Цени капацитети'!$F$45+K23*'Цени капацитети'!$F$59</f>
        <v>0</v>
      </c>
      <c r="M23" s="171">
        <f>+J23*'Цени капацитети'!$E$45+K23*'Цени капацитети'!$E$59</f>
        <v>0</v>
      </c>
      <c r="N23" s="113">
        <f>$P$3*'Цени капацитети'!$E$4+'Враца 2'!$Q$3*'Цени капацитети'!$E$21+$R$3*'Цени капацитети'!$E$8+'Враца 2'!M23</f>
        <v>190.57499999999999</v>
      </c>
      <c r="O23" s="123"/>
    </row>
    <row r="24" spans="2:17" x14ac:dyDescent="0.25">
      <c r="B24" s="47">
        <f t="shared" si="1"/>
        <v>45647</v>
      </c>
      <c r="C24" s="49">
        <v>235</v>
      </c>
      <c r="D24" s="22"/>
      <c r="E24" s="70">
        <f t="shared" si="0"/>
        <v>0</v>
      </c>
      <c r="F24" s="49">
        <v>200</v>
      </c>
      <c r="G24" s="49"/>
      <c r="H24" s="140"/>
      <c r="I24" s="241">
        <v>0</v>
      </c>
      <c r="J24" s="308"/>
      <c r="K24" s="75"/>
      <c r="L24" s="171">
        <f>+J24*'Цени капацитети'!$F$45+K24*'Цени капацитети'!$F$59</f>
        <v>0</v>
      </c>
      <c r="M24" s="171">
        <f>+J24*'Цени капацитети'!$E$45+K24*'Цени капацитети'!$E$59</f>
        <v>0</v>
      </c>
      <c r="N24" s="113">
        <f>$P$3*'Цени капацитети'!$E$4+'Враца 2'!$Q$3*'Цени капацитети'!$E$21+$R$3*'Цени капацитети'!$E$8+'Враца 2'!M24</f>
        <v>190.57499999999999</v>
      </c>
      <c r="O24" s="123"/>
    </row>
    <row r="25" spans="2:17" x14ac:dyDescent="0.25">
      <c r="B25" s="47">
        <f t="shared" si="1"/>
        <v>45648</v>
      </c>
      <c r="C25" s="49">
        <v>235</v>
      </c>
      <c r="D25" s="22"/>
      <c r="E25" s="70">
        <f t="shared" si="0"/>
        <v>0</v>
      </c>
      <c r="F25" s="49">
        <v>200</v>
      </c>
      <c r="G25" s="49"/>
      <c r="H25" s="140"/>
      <c r="I25" s="241">
        <v>0</v>
      </c>
      <c r="J25" s="308"/>
      <c r="K25" s="75"/>
      <c r="L25" s="171">
        <f>+J25*'Цени капацитети'!$F$45+K25*'Цени капацитети'!$F$59</f>
        <v>0</v>
      </c>
      <c r="M25" s="171">
        <f>+J25*'Цени капацитети'!$E$45+K25*'Цени капацитети'!$E$59</f>
        <v>0</v>
      </c>
      <c r="N25" s="113">
        <f>$P$3*'Цени капацитети'!$E$4+'Враца 2'!$Q$3*'Цени капацитети'!$E$21+$R$3*'Цени капацитети'!$E$8+'Враца 2'!M25</f>
        <v>190.57499999999999</v>
      </c>
      <c r="O25" s="123"/>
    </row>
    <row r="26" spans="2:17" x14ac:dyDescent="0.25">
      <c r="B26" s="47">
        <f t="shared" si="1"/>
        <v>45649</v>
      </c>
      <c r="C26" s="49">
        <v>235</v>
      </c>
      <c r="D26" s="22"/>
      <c r="E26" s="70">
        <f t="shared" si="0"/>
        <v>0</v>
      </c>
      <c r="F26" s="49">
        <v>200</v>
      </c>
      <c r="G26" s="49"/>
      <c r="H26" s="140"/>
      <c r="I26" s="241">
        <v>0</v>
      </c>
      <c r="J26" s="308"/>
      <c r="K26" s="75"/>
      <c r="L26" s="171">
        <f>+J26*'Цени капацитети'!$F$45+K26*'Цени капацитети'!$F$59</f>
        <v>0</v>
      </c>
      <c r="M26" s="171">
        <f>+J26*'Цени капацитети'!$E$45+K26*'Цени капацитети'!$E$59</f>
        <v>0</v>
      </c>
      <c r="N26" s="113">
        <f>$P$3*'Цени капацитети'!$E$4+'Враца 2'!$Q$3*'Цени капацитети'!$E$21+$R$3*'Цени капацитети'!$E$8+'Враца 2'!M26</f>
        <v>190.57499999999999</v>
      </c>
      <c r="O26" s="123"/>
    </row>
    <row r="27" spans="2:17" x14ac:dyDescent="0.25">
      <c r="B27" s="47">
        <f t="shared" si="1"/>
        <v>45650</v>
      </c>
      <c r="C27" s="49">
        <v>235</v>
      </c>
      <c r="D27" s="22"/>
      <c r="E27" s="70">
        <f t="shared" si="0"/>
        <v>0</v>
      </c>
      <c r="F27" s="49">
        <v>200</v>
      </c>
      <c r="G27" s="49"/>
      <c r="H27" s="140"/>
      <c r="I27" s="241">
        <v>0</v>
      </c>
      <c r="J27" s="308"/>
      <c r="K27" s="75"/>
      <c r="L27" s="171">
        <f>+J27*'Цени капацитети'!$F$45+K27*'Цени капацитети'!$F$59</f>
        <v>0</v>
      </c>
      <c r="M27" s="171">
        <f>+J27*'Цени капацитети'!$E$45+K27*'Цени капацитети'!$E$59</f>
        <v>0</v>
      </c>
      <c r="N27" s="113">
        <f>$P$3*'Цени капацитети'!$E$4+'Враца 2'!$Q$3*'Цени капацитети'!$E$21+$R$3*'Цени капацитети'!$E$8+'Враца 2'!M27</f>
        <v>190.57499999999999</v>
      </c>
      <c r="O27" s="123"/>
    </row>
    <row r="28" spans="2:17" x14ac:dyDescent="0.25">
      <c r="B28" s="47">
        <f t="shared" si="1"/>
        <v>45651</v>
      </c>
      <c r="C28" s="49">
        <v>235</v>
      </c>
      <c r="D28" s="22"/>
      <c r="E28" s="70">
        <f t="shared" si="0"/>
        <v>0</v>
      </c>
      <c r="F28" s="49">
        <v>200</v>
      </c>
      <c r="G28" s="49"/>
      <c r="H28" s="140"/>
      <c r="I28" s="241">
        <v>0</v>
      </c>
      <c r="J28" s="308"/>
      <c r="K28" s="75"/>
      <c r="L28" s="171">
        <f>+J28*'Цени капацитети'!$F$45+K28*'Цени капацитети'!$F$59</f>
        <v>0</v>
      </c>
      <c r="M28" s="171">
        <f>+J28*'Цени капацитети'!$E$45+K28*'Цени капацитети'!$E$59</f>
        <v>0</v>
      </c>
      <c r="N28" s="113">
        <f>$P$3*'Цени капацитети'!$E$4+'Враца 2'!$Q$3*'Цени капацитети'!$E$21+$R$3*'Цени капацитети'!$E$8+'Враца 2'!M28</f>
        <v>190.57499999999999</v>
      </c>
      <c r="O28" s="123"/>
    </row>
    <row r="29" spans="2:17" x14ac:dyDescent="0.25">
      <c r="B29" s="47">
        <f t="shared" si="1"/>
        <v>45652</v>
      </c>
      <c r="C29" s="49">
        <v>235</v>
      </c>
      <c r="D29" s="22"/>
      <c r="E29" s="70">
        <f t="shared" si="0"/>
        <v>0</v>
      </c>
      <c r="F29" s="49">
        <v>200</v>
      </c>
      <c r="G29" s="49"/>
      <c r="H29" s="140"/>
      <c r="I29" s="241">
        <v>0</v>
      </c>
      <c r="J29" s="308"/>
      <c r="K29" s="75"/>
      <c r="L29" s="171">
        <f>+J29*'Цени капацитети'!$F$45+K29*'Цени капацитети'!$F$59</f>
        <v>0</v>
      </c>
      <c r="M29" s="171">
        <f>+J29*'Цени капацитети'!$E$45+K29*'Цени капацитети'!$E$59</f>
        <v>0</v>
      </c>
      <c r="N29" s="113">
        <f>$P$3*'Цени капацитети'!$E$4+'Враца 2'!$Q$3*'Цени капацитети'!$E$21+$R$3*'Цени капацитети'!$E$8+'Враца 2'!M29</f>
        <v>190.57499999999999</v>
      </c>
      <c r="O29" s="123"/>
    </row>
    <row r="30" spans="2:17" x14ac:dyDescent="0.25">
      <c r="B30" s="47">
        <f t="shared" si="1"/>
        <v>45653</v>
      </c>
      <c r="C30" s="49">
        <v>235</v>
      </c>
      <c r="D30" s="22"/>
      <c r="E30" s="70">
        <f t="shared" si="0"/>
        <v>0</v>
      </c>
      <c r="F30" s="49">
        <v>200</v>
      </c>
      <c r="G30" s="49"/>
      <c r="H30" s="140"/>
      <c r="I30" s="241">
        <v>0</v>
      </c>
      <c r="J30" s="308"/>
      <c r="K30" s="75"/>
      <c r="L30" s="171">
        <f>+J30*'Цени капацитети'!$F$45+K30*'Цени капацитети'!$F$59</f>
        <v>0</v>
      </c>
      <c r="M30" s="171">
        <f>+J30*'Цени капацитети'!$E$45+K30*'Цени капацитети'!$E$59</f>
        <v>0</v>
      </c>
      <c r="N30" s="113">
        <f>$P$3*'Цени капацитети'!$E$4+'Враца 2'!$Q$3*'Цени капацитети'!$E$21+$R$3*'Цени капацитети'!$E$8+'Враца 2'!M30</f>
        <v>190.57499999999999</v>
      </c>
      <c r="O30" s="123"/>
    </row>
    <row r="31" spans="2:17" x14ac:dyDescent="0.25">
      <c r="B31" s="47">
        <f t="shared" si="1"/>
        <v>45654</v>
      </c>
      <c r="C31" s="49">
        <v>235</v>
      </c>
      <c r="D31" s="22"/>
      <c r="E31" s="70">
        <f t="shared" si="0"/>
        <v>0</v>
      </c>
      <c r="F31" s="49">
        <v>200</v>
      </c>
      <c r="G31" s="49"/>
      <c r="H31" s="140"/>
      <c r="I31" s="241">
        <v>0</v>
      </c>
      <c r="J31" s="308"/>
      <c r="K31" s="75"/>
      <c r="L31" s="171">
        <f>+J31*'Цени капацитети'!$F$45+K31*'Цени капацитети'!$F$59</f>
        <v>0</v>
      </c>
      <c r="M31" s="171">
        <f>+J31*'Цени капацитети'!$E$45+K31*'Цени капацитети'!$E$59</f>
        <v>0</v>
      </c>
      <c r="N31" s="113">
        <f>$P$3*'Цени капацитети'!$E$4+'Враца 2'!$Q$3*'Цени капацитети'!$E$21+$R$3*'Цени капацитети'!$E$8+'Враца 2'!M31</f>
        <v>190.57499999999999</v>
      </c>
      <c r="O31" s="123"/>
    </row>
    <row r="32" spans="2:17" ht="17.25" customHeight="1" x14ac:dyDescent="0.25">
      <c r="B32" s="47">
        <f t="shared" si="1"/>
        <v>45655</v>
      </c>
      <c r="C32" s="49">
        <v>235</v>
      </c>
      <c r="D32" s="22"/>
      <c r="E32" s="70">
        <f t="shared" si="0"/>
        <v>0</v>
      </c>
      <c r="F32" s="49">
        <v>200</v>
      </c>
      <c r="G32" s="49"/>
      <c r="H32" s="140"/>
      <c r="I32" s="241">
        <v>0</v>
      </c>
      <c r="J32" s="308"/>
      <c r="K32" s="75"/>
      <c r="L32" s="171">
        <f>+J32*'Цени капацитети'!$F$45+K32*'Цени капацитети'!$F$59</f>
        <v>0</v>
      </c>
      <c r="M32" s="171">
        <f>+J32*'Цени капацитети'!$E$45+K32*'Цени капацитети'!$E$59</f>
        <v>0</v>
      </c>
      <c r="N32" s="113">
        <f>$P$3*'Цени капацитети'!$E$4+'Враца 2'!$Q$3*'Цени капацитети'!$E$21+$R$3*'Цени капацитети'!$E$8+'Враца 2'!M32</f>
        <v>190.57499999999999</v>
      </c>
      <c r="O32" s="123"/>
    </row>
    <row r="33" spans="2:15" x14ac:dyDescent="0.25">
      <c r="B33" s="47">
        <f t="shared" si="1"/>
        <v>45656</v>
      </c>
      <c r="C33" s="49">
        <v>235</v>
      </c>
      <c r="D33" s="22"/>
      <c r="E33" s="70">
        <f t="shared" si="0"/>
        <v>0</v>
      </c>
      <c r="F33" s="49">
        <v>200</v>
      </c>
      <c r="G33" s="49"/>
      <c r="H33" s="140"/>
      <c r="I33" s="241">
        <v>0</v>
      </c>
      <c r="J33" s="308"/>
      <c r="K33" s="75"/>
      <c r="L33" s="171">
        <f>+J33*'Цени капацитети'!$F$45+K33*'Цени капацитети'!$F$59</f>
        <v>0</v>
      </c>
      <c r="M33" s="171">
        <f>+J33*'Цени капацитети'!$E$45+K33*'Цени капацитети'!$E$59</f>
        <v>0</v>
      </c>
      <c r="N33" s="113">
        <f>$P$3*'Цени капацитети'!$E$4+'Враца 2'!$Q$3*'Цени капацитети'!$E$21+$R$3*'Цени капацитети'!$E$8+'Враца 2'!M33</f>
        <v>190.57499999999999</v>
      </c>
      <c r="O33" s="123"/>
    </row>
    <row r="34" spans="2:15" x14ac:dyDescent="0.25">
      <c r="B34" s="47">
        <f t="shared" si="1"/>
        <v>45657</v>
      </c>
      <c r="C34" s="49">
        <v>235</v>
      </c>
      <c r="D34" s="22"/>
      <c r="E34" s="70">
        <f t="shared" si="0"/>
        <v>0</v>
      </c>
      <c r="F34" s="49">
        <v>200</v>
      </c>
      <c r="G34" s="49"/>
      <c r="H34" s="140"/>
      <c r="I34" s="241">
        <v>0</v>
      </c>
      <c r="J34" s="308"/>
      <c r="K34" s="75"/>
      <c r="L34" s="171">
        <f>+J34*'Цени капацитети'!$F$45+K34*'Цени капацитети'!$F$59</f>
        <v>0</v>
      </c>
      <c r="M34" s="171">
        <f>+J34*'Цени капацитети'!$E$45+K34*'Цени капацитети'!$E$59</f>
        <v>0</v>
      </c>
      <c r="N34" s="113">
        <f>$P$3*'Цени капацитети'!$E$4+'Враца 2'!$Q$3*'Цени капацитети'!$E$21+$R$3*'Цени капацитети'!$E$8+'Враца 2'!M34</f>
        <v>190.57499999999999</v>
      </c>
      <c r="O34" s="123"/>
    </row>
    <row r="35" spans="2:15" x14ac:dyDescent="0.25">
      <c r="E35" s="16">
        <f>SUM(E4:E34)</f>
        <v>3354.0259999999998</v>
      </c>
      <c r="F35" s="16"/>
      <c r="G35" s="16">
        <f t="shared" ref="G35:L35" si="2">SUM(G4:G34)</f>
        <v>1115</v>
      </c>
      <c r="H35" s="16">
        <f t="shared" si="2"/>
        <v>1070.8599999999999</v>
      </c>
      <c r="I35" s="16">
        <f t="shared" si="2"/>
        <v>0</v>
      </c>
      <c r="J35" s="16">
        <f t="shared" si="2"/>
        <v>0</v>
      </c>
      <c r="K35" s="16">
        <f t="shared" si="2"/>
        <v>336</v>
      </c>
      <c r="L35" s="16">
        <f t="shared" si="2"/>
        <v>989.3184</v>
      </c>
      <c r="N35" s="69">
        <f>SUM(N4:N34)</f>
        <v>7432.4249999999965</v>
      </c>
      <c r="O35" s="246">
        <f>SUM(O4:O34)</f>
        <v>0</v>
      </c>
    </row>
    <row r="36" spans="2:15" x14ac:dyDescent="0.25">
      <c r="E36" s="16">
        <f>+E35/31</f>
        <v>108.19438709677419</v>
      </c>
      <c r="F36" s="16"/>
      <c r="H36" s="16">
        <f>+H35/31</f>
        <v>34.543870967741931</v>
      </c>
    </row>
    <row r="37" spans="2:15" x14ac:dyDescent="0.25">
      <c r="G37" s="16"/>
      <c r="H37" s="16"/>
    </row>
  </sheetData>
  <mergeCells count="4">
    <mergeCell ref="B2:H2"/>
    <mergeCell ref="K2:M2"/>
    <mergeCell ref="P1:Q1"/>
    <mergeCell ref="P6:Q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B1:V47"/>
  <sheetViews>
    <sheetView zoomScale="70" zoomScaleNormal="70" workbookViewId="0">
      <selection activeCell="F19" sqref="F19:H19"/>
    </sheetView>
  </sheetViews>
  <sheetFormatPr defaultColWidth="8.85546875" defaultRowHeight="15" x14ac:dyDescent="0.25"/>
  <cols>
    <col min="1" max="1" width="8.85546875" style="1"/>
    <col min="2" max="2" width="12.7109375" style="1" bestFit="1" customWidth="1"/>
    <col min="3" max="3" width="9.7109375" style="1" bestFit="1" customWidth="1"/>
    <col min="4" max="4" width="16.85546875" style="1" bestFit="1" customWidth="1"/>
    <col min="5" max="5" width="10.140625" style="1" bestFit="1" customWidth="1"/>
    <col min="6" max="6" width="12.140625" style="1" bestFit="1" customWidth="1"/>
    <col min="7" max="7" width="12.5703125" style="1" bestFit="1" customWidth="1"/>
    <col min="8" max="8" width="10.7109375" style="1" customWidth="1"/>
    <col min="9" max="9" width="10.7109375" style="1" bestFit="1" customWidth="1"/>
    <col min="10" max="11" width="15.42578125" style="1" bestFit="1" customWidth="1"/>
    <col min="12" max="12" width="13" style="1" customWidth="1"/>
    <col min="13" max="14" width="17.5703125" style="69" customWidth="1"/>
    <col min="15" max="15" width="13.28515625" style="1" customWidth="1"/>
    <col min="16" max="16" width="17.42578125" style="1" customWidth="1"/>
    <col min="17" max="17" width="19.42578125" style="1" bestFit="1" customWidth="1"/>
    <col min="18" max="18" width="12.5703125" style="1" bestFit="1" customWidth="1"/>
    <col min="19" max="20" width="8.85546875" style="1"/>
    <col min="21" max="21" width="13" style="1" customWidth="1"/>
    <col min="22" max="22" width="13.28515625" style="1" customWidth="1"/>
    <col min="23" max="16384" width="8.85546875" style="1"/>
  </cols>
  <sheetData>
    <row r="1" spans="2:22" ht="15.75" thickBot="1" x14ac:dyDescent="0.3">
      <c r="J1" s="81"/>
      <c r="K1" s="81"/>
      <c r="L1" s="78"/>
      <c r="M1" s="78"/>
      <c r="N1" s="13"/>
    </row>
    <row r="2" spans="2:22" x14ac:dyDescent="0.25">
      <c r="B2" s="661" t="s">
        <v>37</v>
      </c>
      <c r="C2" s="662"/>
      <c r="D2" s="662"/>
      <c r="E2" s="662"/>
      <c r="F2" s="662"/>
      <c r="G2" s="662"/>
      <c r="H2" s="662"/>
      <c r="I2" s="663"/>
      <c r="J2" s="243"/>
      <c r="K2" s="664" t="s">
        <v>70</v>
      </c>
      <c r="L2" s="652"/>
      <c r="M2" s="665"/>
      <c r="N2" s="13"/>
      <c r="P2" s="2" t="s">
        <v>99</v>
      </c>
      <c r="Q2" s="2" t="s">
        <v>80</v>
      </c>
      <c r="R2" s="2" t="s">
        <v>111</v>
      </c>
      <c r="U2" s="654" t="s">
        <v>105</v>
      </c>
      <c r="V2" s="654"/>
    </row>
    <row r="3" spans="2:22" ht="44.25" thickBot="1" x14ac:dyDescent="0.3">
      <c r="B3" s="26" t="s">
        <v>8</v>
      </c>
      <c r="C3" s="46" t="s">
        <v>21</v>
      </c>
      <c r="D3" s="52" t="s">
        <v>22</v>
      </c>
      <c r="E3" s="52" t="s">
        <v>18</v>
      </c>
      <c r="F3" s="52" t="s">
        <v>26</v>
      </c>
      <c r="G3" s="52" t="s">
        <v>6</v>
      </c>
      <c r="H3" s="52" t="s">
        <v>20</v>
      </c>
      <c r="I3" s="35" t="s">
        <v>27</v>
      </c>
      <c r="J3" s="119" t="s">
        <v>136</v>
      </c>
      <c r="K3" s="119" t="s">
        <v>137</v>
      </c>
      <c r="L3" s="77" t="s">
        <v>102</v>
      </c>
      <c r="M3" s="77" t="s">
        <v>82</v>
      </c>
      <c r="N3" s="77" t="s">
        <v>103</v>
      </c>
      <c r="O3" s="69"/>
      <c r="P3" s="19"/>
      <c r="Q3" s="20">
        <v>50</v>
      </c>
      <c r="R3" s="8"/>
      <c r="U3" s="654"/>
      <c r="V3" s="654"/>
    </row>
    <row r="4" spans="2:22" x14ac:dyDescent="0.25">
      <c r="B4" s="47">
        <v>45627</v>
      </c>
      <c r="C4" s="22">
        <v>1200</v>
      </c>
      <c r="D4" s="22">
        <v>1009.206</v>
      </c>
      <c r="E4" s="5">
        <f>D4-G4</f>
        <v>989.20600000000002</v>
      </c>
      <c r="F4" s="22">
        <v>80</v>
      </c>
      <c r="G4" s="22">
        <v>20</v>
      </c>
      <c r="H4" s="22">
        <v>960</v>
      </c>
      <c r="I4" s="80"/>
      <c r="J4" s="308">
        <v>200</v>
      </c>
      <c r="K4" s="75"/>
      <c r="L4" s="171">
        <f>+J4*'Цени капацитети'!$F$45+K4*'Цени капацитети'!$F$59</f>
        <v>471.12</v>
      </c>
      <c r="M4" s="171">
        <f>+J4*'Цени капацитети'!$E$45+K4*'Цени капацитети'!$E$59</f>
        <v>726</v>
      </c>
      <c r="N4" s="76">
        <f>+M4+$P$3*'Цени капацитети'!$E$4+$Q$3*'Цени капацитети'!$E$21+$R$3*'Цени капацитети'!$E$8</f>
        <v>853.05</v>
      </c>
      <c r="O4" s="122"/>
      <c r="U4" s="654"/>
      <c r="V4" s="654"/>
    </row>
    <row r="5" spans="2:22" x14ac:dyDescent="0.25">
      <c r="B5" s="47">
        <f>+B4+1</f>
        <v>45628</v>
      </c>
      <c r="C5" s="22">
        <v>720</v>
      </c>
      <c r="D5" s="22">
        <v>738.43799999999999</v>
      </c>
      <c r="E5" s="5">
        <f t="shared" ref="E5:E34" si="0">D5-G5</f>
        <v>738.43799999999999</v>
      </c>
      <c r="F5" s="22">
        <v>0</v>
      </c>
      <c r="G5" s="22">
        <v>0</v>
      </c>
      <c r="H5" s="22">
        <v>960</v>
      </c>
      <c r="I5" s="80"/>
      <c r="J5" s="308"/>
      <c r="K5" s="75"/>
      <c r="L5" s="171">
        <f>+J5*'Цени капацитети'!$F$45+K5*'Цени капацитети'!$F$59</f>
        <v>0</v>
      </c>
      <c r="M5" s="171">
        <f>+J5*'Цени капацитети'!$E$45+K5*'Цени капацитети'!$E$59</f>
        <v>0</v>
      </c>
      <c r="N5" s="76">
        <f>+M5+$P$3*'Цени капацитети'!$E$4+$Q$3*'Цени капацитети'!$E$21+$R$3*'Цени капацитети'!$E$8</f>
        <v>127.05</v>
      </c>
      <c r="O5" s="122"/>
      <c r="U5" s="111" t="s">
        <v>18</v>
      </c>
      <c r="V5" s="112" t="s">
        <v>6</v>
      </c>
    </row>
    <row r="6" spans="2:22" x14ac:dyDescent="0.25">
      <c r="B6" s="47">
        <f t="shared" ref="B6:B34" si="1">+B5+1</f>
        <v>45629</v>
      </c>
      <c r="C6" s="22">
        <v>720</v>
      </c>
      <c r="D6" s="22">
        <v>738.14800000000002</v>
      </c>
      <c r="E6" s="5">
        <f t="shared" si="0"/>
        <v>738.14800000000002</v>
      </c>
      <c r="F6" s="22">
        <v>0</v>
      </c>
      <c r="G6" s="22">
        <v>0</v>
      </c>
      <c r="H6" s="22">
        <v>960</v>
      </c>
      <c r="I6" s="80"/>
      <c r="J6" s="308"/>
      <c r="K6" s="75"/>
      <c r="L6" s="171">
        <f>+J6*'Цени капацитети'!$F$45+K6*'Цени капацитети'!$F$59</f>
        <v>0</v>
      </c>
      <c r="M6" s="171">
        <f>+J6*'Цени капацитети'!$E$45+K6*'Цени капацитети'!$E$59</f>
        <v>0</v>
      </c>
      <c r="N6" s="76">
        <f>+M6+$P$3*'Цени капацитети'!$E$4+$Q$3*'Цени капацитети'!$E$21+$R$3*'Цени капацитети'!$E$8</f>
        <v>127.05</v>
      </c>
      <c r="O6" s="122"/>
      <c r="Q6" s="1" t="s">
        <v>166</v>
      </c>
      <c r="R6" s="307">
        <f>+Цени!T40*0.1</f>
        <v>7.5890000000000004</v>
      </c>
      <c r="U6" s="76"/>
      <c r="V6" s="75"/>
    </row>
    <row r="7" spans="2:22" x14ac:dyDescent="0.25">
      <c r="B7" s="47">
        <f t="shared" si="1"/>
        <v>45630</v>
      </c>
      <c r="C7" s="22">
        <v>720</v>
      </c>
      <c r="D7" s="22">
        <v>752.60299999999995</v>
      </c>
      <c r="E7" s="5">
        <f t="shared" si="0"/>
        <v>752.60299999999995</v>
      </c>
      <c r="F7" s="22">
        <v>0</v>
      </c>
      <c r="G7" s="22">
        <v>0</v>
      </c>
      <c r="H7" s="22">
        <v>885</v>
      </c>
      <c r="I7" s="80"/>
      <c r="J7" s="75"/>
      <c r="K7" s="75"/>
      <c r="L7" s="171">
        <f>+J7*'Цени капацитети'!$F$45+K7*'Цени капацитети'!$F$59</f>
        <v>0</v>
      </c>
      <c r="M7" s="171">
        <f>+J7*'Цени капацитети'!$E$45+K7*'Цени капацитети'!$E$59</f>
        <v>0</v>
      </c>
      <c r="N7" s="76">
        <f>+M7+$P$3*'Цени капацитети'!$E$4+$Q$3*'Цени капацитети'!$E$21+$R$3*'Цени капацитети'!$E$8</f>
        <v>127.05</v>
      </c>
      <c r="O7" s="122"/>
      <c r="Q7" s="1" t="s">
        <v>167</v>
      </c>
      <c r="R7" s="1">
        <f>+'Цени капацитети'!B40</f>
        <v>5.2229999999999999</v>
      </c>
    </row>
    <row r="8" spans="2:22" x14ac:dyDescent="0.25">
      <c r="B8" s="47">
        <f t="shared" si="1"/>
        <v>45631</v>
      </c>
      <c r="C8" s="22">
        <v>720</v>
      </c>
      <c r="D8" s="22">
        <v>743.52499999999998</v>
      </c>
      <c r="E8" s="5">
        <f t="shared" si="0"/>
        <v>693.52499999999998</v>
      </c>
      <c r="F8" s="22">
        <v>40</v>
      </c>
      <c r="G8" s="22">
        <v>50</v>
      </c>
      <c r="H8" s="22">
        <v>960</v>
      </c>
      <c r="I8" s="80"/>
      <c r="J8" s="75"/>
      <c r="K8" s="75"/>
      <c r="L8" s="171">
        <f>+J8*'Цени капацитети'!$F$45+K8*'Цени капацитети'!$F$59</f>
        <v>0</v>
      </c>
      <c r="M8" s="171">
        <f>+J8*'Цени капацитети'!$E$45+K8*'Цени капацитети'!$E$59</f>
        <v>0</v>
      </c>
      <c r="N8" s="76">
        <f>+M8+$P$3*'Цени капацитети'!$E$4+$Q$3*'Цени капацитети'!$E$21+$R$3*'Цени капацитети'!$E$8</f>
        <v>127.05</v>
      </c>
      <c r="O8" s="122"/>
    </row>
    <row r="9" spans="2:22" x14ac:dyDescent="0.25">
      <c r="B9" s="47">
        <f t="shared" si="1"/>
        <v>45632</v>
      </c>
      <c r="C9" s="22">
        <v>720</v>
      </c>
      <c r="D9" s="22">
        <v>1129.0709999999999</v>
      </c>
      <c r="E9" s="5">
        <f t="shared" si="0"/>
        <v>1129.0709999999999</v>
      </c>
      <c r="F9" s="22">
        <v>0</v>
      </c>
      <c r="G9" s="22">
        <v>0</v>
      </c>
      <c r="H9" s="22">
        <v>1100</v>
      </c>
      <c r="I9" s="80"/>
      <c r="J9" s="75"/>
      <c r="K9" s="75"/>
      <c r="L9" s="171">
        <f>+J9*'Цени капацитети'!$F$45+K9*'Цени капацитети'!$F$59</f>
        <v>0</v>
      </c>
      <c r="M9" s="171">
        <f>+J9*'Цени капацитети'!$E$45+K9*'Цени капацитети'!$E$59</f>
        <v>0</v>
      </c>
      <c r="N9" s="76">
        <f>+M9+$P$3*'Цени капацитети'!$E$4+$Q$3*'Цени капацитети'!$E$21+$R$3*'Цени капацитети'!$E$8</f>
        <v>127.05</v>
      </c>
      <c r="O9" s="122"/>
      <c r="P9" s="1" t="s">
        <v>75</v>
      </c>
      <c r="Q9" s="1">
        <f>+'Цени капацитети'!$E$37</f>
        <v>0</v>
      </c>
      <c r="R9" s="1">
        <f>+R8*G4</f>
        <v>0</v>
      </c>
    </row>
    <row r="10" spans="2:22" x14ac:dyDescent="0.25">
      <c r="B10" s="47">
        <f t="shared" si="1"/>
        <v>45633</v>
      </c>
      <c r="C10" s="22">
        <v>720</v>
      </c>
      <c r="D10" s="22">
        <v>1441.0409999999999</v>
      </c>
      <c r="E10" s="5">
        <f t="shared" si="0"/>
        <v>1241.0409999999999</v>
      </c>
      <c r="F10" s="22">
        <v>200</v>
      </c>
      <c r="G10" s="22">
        <v>200</v>
      </c>
      <c r="H10" s="22">
        <v>960</v>
      </c>
      <c r="I10" s="80"/>
      <c r="J10" s="75"/>
      <c r="K10" s="75">
        <v>150</v>
      </c>
      <c r="L10" s="171">
        <f>+J10*'Цени капацитети'!$F$45+K10*'Цени капацитети'!$F$59</f>
        <v>441.65999999999997</v>
      </c>
      <c r="M10" s="171">
        <f>+J10*'Цени капацитети'!$E$45+K10*'Цени капацитети'!$E$59</f>
        <v>680.625</v>
      </c>
      <c r="N10" s="76">
        <f>+M10+$P$3*'Цени капацитети'!$E$4+$Q$3*'Цени капацитети'!$E$21+$R$3*'Цени капацитети'!$E$8</f>
        <v>807.67499999999995</v>
      </c>
      <c r="O10" s="122"/>
      <c r="P10" s="1" t="s">
        <v>76</v>
      </c>
      <c r="Q10" s="1">
        <f>+'Цени капацитети'!$E$51</f>
        <v>1.5146999999999999</v>
      </c>
    </row>
    <row r="11" spans="2:22" x14ac:dyDescent="0.25">
      <c r="B11" s="47">
        <f t="shared" si="1"/>
        <v>45634</v>
      </c>
      <c r="C11" s="22">
        <v>720</v>
      </c>
      <c r="D11" s="22">
        <v>1569.9829999999999</v>
      </c>
      <c r="E11" s="5">
        <f t="shared" si="0"/>
        <v>1516.7549999999999</v>
      </c>
      <c r="F11" s="22">
        <v>100</v>
      </c>
      <c r="G11" s="22">
        <v>53.228000000000002</v>
      </c>
      <c r="H11" s="22">
        <v>960</v>
      </c>
      <c r="I11" s="80"/>
      <c r="J11" s="75"/>
      <c r="K11" s="75">
        <v>50</v>
      </c>
      <c r="L11" s="171">
        <f>+J11*'Цени капацитети'!$F$45+K11*'Цени капацитети'!$F$59</f>
        <v>147.22</v>
      </c>
      <c r="M11" s="171">
        <f>+J11*'Цени капацитети'!$E$45+K11*'Цени капацитети'!$E$59</f>
        <v>226.87499999999997</v>
      </c>
      <c r="N11" s="76">
        <f>+M11+$P$3*'Цени капацитети'!$E$4+$Q$3*'Цени капацитети'!$E$21+$R$3*'Цени капацитети'!$E$8</f>
        <v>353.92499999999995</v>
      </c>
      <c r="O11" s="122"/>
    </row>
    <row r="12" spans="2:22" ht="15.75" thickBot="1" x14ac:dyDescent="0.3">
      <c r="B12" s="47">
        <f t="shared" si="1"/>
        <v>45635</v>
      </c>
      <c r="C12" s="22">
        <v>720</v>
      </c>
      <c r="D12" s="22">
        <v>1280.6410000000001</v>
      </c>
      <c r="E12" s="5">
        <f t="shared" si="0"/>
        <v>1280.6410000000001</v>
      </c>
      <c r="F12" s="22">
        <v>0</v>
      </c>
      <c r="G12" s="22">
        <v>0</v>
      </c>
      <c r="H12" s="22">
        <v>1400</v>
      </c>
      <c r="I12" s="80"/>
      <c r="J12" s="75"/>
      <c r="K12" s="75"/>
      <c r="L12" s="171">
        <f>+J12*'Цени капацитети'!$F$45+K12*'Цени капацитети'!$F$59</f>
        <v>0</v>
      </c>
      <c r="M12" s="171">
        <f>+J12*'Цени капацитети'!$E$45+K12*'Цени капацитети'!$E$59</f>
        <v>0</v>
      </c>
      <c r="N12" s="76">
        <f>+M12+$P$3*'Цени капацитети'!$E$4+$Q$3*'Цени капацитети'!$E$21+$R$3*'Цени капацитети'!$E$8</f>
        <v>127.05</v>
      </c>
      <c r="O12" s="122"/>
    </row>
    <row r="13" spans="2:22" x14ac:dyDescent="0.25">
      <c r="B13" s="47">
        <f t="shared" si="1"/>
        <v>45636</v>
      </c>
      <c r="C13" s="22">
        <v>720</v>
      </c>
      <c r="D13" s="22">
        <v>738.82500000000005</v>
      </c>
      <c r="E13" s="5">
        <f t="shared" si="0"/>
        <v>738.82500000000005</v>
      </c>
      <c r="F13" s="22">
        <v>0</v>
      </c>
      <c r="G13" s="22">
        <v>0</v>
      </c>
      <c r="H13" s="22">
        <v>1200</v>
      </c>
      <c r="I13" s="80"/>
      <c r="J13" s="75"/>
      <c r="K13" s="75"/>
      <c r="L13" s="171">
        <f>+J13*'Цени капацитети'!$F$45+K13*'Цени капацитети'!$F$59</f>
        <v>0</v>
      </c>
      <c r="M13" s="171">
        <f>+J13*'Цени капацитети'!$E$45+K13*'Цени капацитети'!$E$59</f>
        <v>0</v>
      </c>
      <c r="N13" s="76">
        <f>+M13+$P$3*'Цени капацитети'!$E$4+$Q$3*'Цени капацитети'!$E$21+$R$3*'Цени капацитети'!$E$8</f>
        <v>127.05</v>
      </c>
      <c r="O13" s="122"/>
      <c r="P13" s="326" t="s">
        <v>205</v>
      </c>
      <c r="Q13" s="327"/>
      <c r="R13" s="327" t="s">
        <v>27</v>
      </c>
      <c r="S13" s="327" t="s">
        <v>206</v>
      </c>
      <c r="T13" s="328" t="s">
        <v>207</v>
      </c>
    </row>
    <row r="14" spans="2:22" ht="15.75" thickBot="1" x14ac:dyDescent="0.3">
      <c r="B14" s="47">
        <f t="shared" si="1"/>
        <v>45637</v>
      </c>
      <c r="C14" s="22">
        <v>720</v>
      </c>
      <c r="D14" s="22">
        <v>1016.896</v>
      </c>
      <c r="E14" s="5">
        <f t="shared" si="0"/>
        <v>1016.896</v>
      </c>
      <c r="F14" s="22">
        <v>20</v>
      </c>
      <c r="G14" s="22">
        <v>0</v>
      </c>
      <c r="H14" s="22">
        <v>1100</v>
      </c>
      <c r="I14" s="80"/>
      <c r="J14" s="75"/>
      <c r="K14" s="75"/>
      <c r="L14" s="171">
        <f>+J14*'Цени капацитети'!$F$45+K14*'Цени капацитети'!$F$59</f>
        <v>0</v>
      </c>
      <c r="M14" s="171">
        <f>+J14*'Цени капацитети'!$E$45+K14*'Цени капацитети'!$E$59</f>
        <v>0</v>
      </c>
      <c r="N14" s="76">
        <f>+M14+$P$3*'Цени капацитети'!$E$4+$Q$3*'Цени капацитети'!$E$21+$R$3*'Цени капацитети'!$E$8</f>
        <v>127.05</v>
      </c>
      <c r="O14" s="122"/>
      <c r="P14" s="329"/>
      <c r="Q14" s="330"/>
      <c r="R14" s="331">
        <v>0.1</v>
      </c>
      <c r="S14" s="332">
        <v>5.0566000000000004</v>
      </c>
      <c r="T14" s="333"/>
    </row>
    <row r="15" spans="2:22" x14ac:dyDescent="0.25">
      <c r="B15" s="47">
        <f t="shared" si="1"/>
        <v>45638</v>
      </c>
      <c r="C15" s="22">
        <v>1080</v>
      </c>
      <c r="D15" s="22">
        <v>1080.8340000000001</v>
      </c>
      <c r="E15" s="5">
        <f t="shared" si="0"/>
        <v>1030.8340000000001</v>
      </c>
      <c r="F15" s="22">
        <v>40</v>
      </c>
      <c r="G15" s="22">
        <v>50</v>
      </c>
      <c r="H15" s="22">
        <v>1150</v>
      </c>
      <c r="I15" s="80"/>
      <c r="J15" s="75"/>
      <c r="K15" s="75"/>
      <c r="L15" s="171">
        <f>+J15*'Цени капацитети'!$F$45+K15*'Цени капацитети'!$F$59</f>
        <v>0</v>
      </c>
      <c r="M15" s="171">
        <f>+J15*'Цени капацитети'!$E$45+K15*'Цени капацитети'!$E$59</f>
        <v>0</v>
      </c>
      <c r="N15" s="76">
        <f>+M15+$P$3*'Цени капацитети'!$E$4+$Q$3*'Цени капацитети'!$E$21+$R$3*'Цени капацитети'!$E$8</f>
        <v>127.05</v>
      </c>
      <c r="O15" s="122"/>
      <c r="P15" s="457"/>
      <c r="Q15" s="334"/>
      <c r="R15" s="335"/>
      <c r="S15" s="335"/>
      <c r="T15" s="336">
        <f>+S15+R15</f>
        <v>0</v>
      </c>
    </row>
    <row r="16" spans="2:22" x14ac:dyDescent="0.25">
      <c r="B16" s="47">
        <f t="shared" si="1"/>
        <v>45639</v>
      </c>
      <c r="C16" s="22">
        <v>1080</v>
      </c>
      <c r="D16" s="22">
        <v>898.47299999999996</v>
      </c>
      <c r="E16" s="5">
        <f t="shared" si="0"/>
        <v>898.47299999999996</v>
      </c>
      <c r="F16" s="22">
        <v>0</v>
      </c>
      <c r="G16" s="22">
        <v>0</v>
      </c>
      <c r="H16" s="22">
        <v>1100</v>
      </c>
      <c r="I16" s="80"/>
      <c r="J16" s="75"/>
      <c r="K16" s="75"/>
      <c r="L16" s="171">
        <f>+J16*'Цени капацитети'!$F$45+K16*'Цени капацитети'!$F$59</f>
        <v>0</v>
      </c>
      <c r="M16" s="171">
        <f>+J16*'Цени капацитети'!$E$45+K16*'Цени капацитети'!$E$59</f>
        <v>0</v>
      </c>
      <c r="N16" s="76">
        <f>+M16+$P$3*'Цени капацитети'!$E$4+$Q$3*'Цени капацитети'!$E$21+$R$3*'Цени капацитети'!$E$8</f>
        <v>127.05</v>
      </c>
      <c r="O16" s="122"/>
      <c r="P16" s="458"/>
      <c r="Q16" s="334"/>
      <c r="R16" s="335"/>
      <c r="S16" s="335"/>
      <c r="T16" s="336">
        <f t="shared" ref="T16:T45" si="2">+S16+R16</f>
        <v>0</v>
      </c>
    </row>
    <row r="17" spans="2:20" x14ac:dyDescent="0.25">
      <c r="B17" s="47">
        <f t="shared" si="1"/>
        <v>45640</v>
      </c>
      <c r="C17" s="22">
        <v>1080</v>
      </c>
      <c r="D17" s="22">
        <v>1076.683</v>
      </c>
      <c r="E17" s="5">
        <f t="shared" si="0"/>
        <v>1040.683</v>
      </c>
      <c r="F17" s="22">
        <v>50</v>
      </c>
      <c r="G17" s="22">
        <v>36</v>
      </c>
      <c r="H17" s="22">
        <v>960</v>
      </c>
      <c r="I17" s="158"/>
      <c r="J17" s="75"/>
      <c r="K17" s="75"/>
      <c r="L17" s="171">
        <f>+J17*'Цени капацитети'!$F$45+K17*'Цени капацитети'!$F$59</f>
        <v>0</v>
      </c>
      <c r="M17" s="171">
        <f>+J17*'Цени капацитети'!$E$45+K17*'Цени капацитети'!$E$59</f>
        <v>0</v>
      </c>
      <c r="N17" s="76">
        <f>+M17+$P$3*'Цени капацитети'!$E$4+$Q$3*'Цени капацитети'!$E$21+$R$3*'Цени капацитети'!$E$8</f>
        <v>127.05</v>
      </c>
      <c r="O17" s="122"/>
      <c r="P17" s="458"/>
      <c r="Q17" s="334"/>
      <c r="R17" s="335"/>
      <c r="S17" s="335"/>
      <c r="T17" s="336">
        <f t="shared" si="2"/>
        <v>0</v>
      </c>
    </row>
    <row r="18" spans="2:20" x14ac:dyDescent="0.25">
      <c r="B18" s="47">
        <f t="shared" si="1"/>
        <v>45641</v>
      </c>
      <c r="C18" s="22">
        <v>1080</v>
      </c>
      <c r="D18" s="22">
        <v>1081.856</v>
      </c>
      <c r="E18" s="5">
        <f t="shared" si="0"/>
        <v>1031.856</v>
      </c>
      <c r="F18" s="22">
        <v>50</v>
      </c>
      <c r="G18" s="22">
        <v>50</v>
      </c>
      <c r="H18" s="22">
        <v>960</v>
      </c>
      <c r="I18" s="158"/>
      <c r="J18" s="75"/>
      <c r="K18" s="75"/>
      <c r="L18" s="171">
        <f>+J18*'Цени капацитети'!$F$45+K18*'Цени капацитети'!$F$59</f>
        <v>0</v>
      </c>
      <c r="M18" s="171">
        <f>+J18*'Цени капацитети'!$E$45+K18*'Цени капацитети'!$E$59</f>
        <v>0</v>
      </c>
      <c r="N18" s="76">
        <f>+M18+$P$3*'Цени капацитети'!$E$4+$Q$3*'Цени капацитети'!$E$21+$R$3*'Цени капацитети'!$E$8</f>
        <v>127.05</v>
      </c>
      <c r="O18" s="122"/>
      <c r="P18" s="458"/>
      <c r="Q18" s="334"/>
      <c r="R18" s="335"/>
      <c r="S18" s="335"/>
      <c r="T18" s="336">
        <f t="shared" si="2"/>
        <v>0</v>
      </c>
    </row>
    <row r="19" spans="2:20" x14ac:dyDescent="0.25">
      <c r="B19" s="47">
        <f t="shared" si="1"/>
        <v>45642</v>
      </c>
      <c r="C19" s="22">
        <v>1080</v>
      </c>
      <c r="D19" s="22">
        <v>1110.712</v>
      </c>
      <c r="E19" s="5">
        <f t="shared" si="0"/>
        <v>1060.712</v>
      </c>
      <c r="F19" s="22">
        <v>50</v>
      </c>
      <c r="G19" s="22">
        <v>50</v>
      </c>
      <c r="H19" s="22">
        <v>1200</v>
      </c>
      <c r="I19" s="158"/>
      <c r="J19" s="75"/>
      <c r="K19" s="75"/>
      <c r="L19" s="171">
        <f>+J19*'Цени капацитети'!$F$45+K19*'Цени капацитети'!$F$59</f>
        <v>0</v>
      </c>
      <c r="M19" s="171">
        <f>+J19*'Цени капацитети'!$E$45+K19*'Цени капацитети'!$E$59</f>
        <v>0</v>
      </c>
      <c r="N19" s="76">
        <f>+M19+$P$3*'Цени капацитети'!$E$4+$Q$3*'Цени капацитети'!$E$21+$R$3*'Цени капацитети'!$E$8</f>
        <v>127.05</v>
      </c>
      <c r="O19" s="122"/>
      <c r="P19" s="458"/>
      <c r="Q19" s="334"/>
      <c r="R19" s="335"/>
      <c r="S19" s="335"/>
      <c r="T19" s="336">
        <f t="shared" si="2"/>
        <v>0</v>
      </c>
    </row>
    <row r="20" spans="2:20" x14ac:dyDescent="0.25">
      <c r="B20" s="47">
        <f t="shared" si="1"/>
        <v>45643</v>
      </c>
      <c r="C20" s="22">
        <v>1080</v>
      </c>
      <c r="D20" s="22"/>
      <c r="E20" s="5">
        <f t="shared" si="0"/>
        <v>0</v>
      </c>
      <c r="F20" s="22"/>
      <c r="G20" s="22"/>
      <c r="H20" s="22">
        <v>960</v>
      </c>
      <c r="I20" s="80"/>
      <c r="J20" s="75"/>
      <c r="K20" s="75"/>
      <c r="L20" s="171">
        <f>+J20*'Цени капацитети'!$F$45+K20*'Цени капацитети'!$F$59</f>
        <v>0</v>
      </c>
      <c r="M20" s="171">
        <f>+J20*'Цени капацитети'!$E$45+K20*'Цени капацитети'!$E$59</f>
        <v>0</v>
      </c>
      <c r="N20" s="76">
        <f>+M20+$P$3*'Цени капацитети'!$E$4+$Q$3*'Цени капацитети'!$E$21+$R$3*'Цени капацитети'!$E$8</f>
        <v>127.05</v>
      </c>
      <c r="O20" s="122"/>
      <c r="P20" s="458"/>
      <c r="Q20" s="334"/>
      <c r="R20" s="335"/>
      <c r="S20" s="335"/>
      <c r="T20" s="336">
        <f t="shared" si="2"/>
        <v>0</v>
      </c>
    </row>
    <row r="21" spans="2:20" x14ac:dyDescent="0.25">
      <c r="B21" s="47">
        <f t="shared" si="1"/>
        <v>45644</v>
      </c>
      <c r="C21" s="22">
        <v>1080</v>
      </c>
      <c r="D21" s="22"/>
      <c r="E21" s="5">
        <f t="shared" si="0"/>
        <v>0</v>
      </c>
      <c r="F21" s="22"/>
      <c r="G21" s="22"/>
      <c r="H21" s="22">
        <v>960</v>
      </c>
      <c r="I21" s="158"/>
      <c r="J21" s="75"/>
      <c r="K21" s="75"/>
      <c r="L21" s="171">
        <f>+J21*'Цени капацитети'!$F$45+K21*'Цени капацитети'!$F$59</f>
        <v>0</v>
      </c>
      <c r="M21" s="171">
        <f>+J21*'Цени капацитети'!$E$45+K21*'Цени капацитети'!$E$59</f>
        <v>0</v>
      </c>
      <c r="N21" s="76">
        <f>+M21+$P$3*'Цени капацитети'!$E$4+$Q$3*'Цени капацитети'!$E$21+$R$3*'Цени капацитети'!$E$8</f>
        <v>127.05</v>
      </c>
      <c r="O21" s="122"/>
      <c r="P21" s="458"/>
      <c r="Q21" s="339"/>
      <c r="R21" s="335"/>
      <c r="S21" s="335"/>
      <c r="T21" s="336">
        <f t="shared" si="2"/>
        <v>0</v>
      </c>
    </row>
    <row r="22" spans="2:20" x14ac:dyDescent="0.25">
      <c r="B22" s="47">
        <f t="shared" si="1"/>
        <v>45645</v>
      </c>
      <c r="C22" s="22">
        <v>1080</v>
      </c>
      <c r="D22" s="22"/>
      <c r="E22" s="5">
        <f t="shared" si="0"/>
        <v>0</v>
      </c>
      <c r="F22" s="22"/>
      <c r="G22" s="22"/>
      <c r="H22" s="22">
        <v>960</v>
      </c>
      <c r="I22" s="158"/>
      <c r="J22" s="75"/>
      <c r="K22" s="75"/>
      <c r="L22" s="171">
        <f>+J22*'Цени капацитети'!$F$45+K22*'Цени капацитети'!$F$59</f>
        <v>0</v>
      </c>
      <c r="M22" s="171">
        <f>+J22*'Цени капацитети'!$E$45+K22*'Цени капацитети'!$E$59</f>
        <v>0</v>
      </c>
      <c r="N22" s="76">
        <f>+M22+$P$3*'Цени капацитети'!$E$4+$Q$3*'Цени капацитети'!$E$21+$R$3*'Цени капацитети'!$E$8</f>
        <v>127.05</v>
      </c>
      <c r="O22" s="122"/>
      <c r="P22" s="458"/>
      <c r="Q22" s="339"/>
      <c r="R22" s="335"/>
      <c r="S22" s="335"/>
      <c r="T22" s="336">
        <f t="shared" si="2"/>
        <v>0</v>
      </c>
    </row>
    <row r="23" spans="2:20" x14ac:dyDescent="0.25">
      <c r="B23" s="47">
        <f t="shared" si="1"/>
        <v>45646</v>
      </c>
      <c r="C23" s="22">
        <v>1080</v>
      </c>
      <c r="D23" s="22"/>
      <c r="E23" s="5">
        <f t="shared" si="0"/>
        <v>0</v>
      </c>
      <c r="F23" s="22"/>
      <c r="G23" s="22"/>
      <c r="H23" s="22">
        <v>960</v>
      </c>
      <c r="I23" s="158"/>
      <c r="J23" s="75"/>
      <c r="K23" s="75"/>
      <c r="L23" s="171">
        <f>+J23*'Цени капацитети'!$F$45+K23*'Цени капацитети'!$F$59</f>
        <v>0</v>
      </c>
      <c r="M23" s="171">
        <f>+J23*'Цени капацитети'!$E$45+K23*'Цени капацитети'!$E$59</f>
        <v>0</v>
      </c>
      <c r="N23" s="76">
        <f>+M23+$P$3*'Цени капацитети'!$E$4+$Q$3*'Цени капацитети'!$E$21+$R$3*'Цени капацитети'!$E$8</f>
        <v>127.05</v>
      </c>
      <c r="O23" s="122"/>
      <c r="P23" s="458"/>
      <c r="Q23" s="339"/>
      <c r="R23" s="335"/>
      <c r="S23" s="335"/>
      <c r="T23" s="336">
        <f t="shared" si="2"/>
        <v>0</v>
      </c>
    </row>
    <row r="24" spans="2:20" x14ac:dyDescent="0.25">
      <c r="B24" s="47">
        <f t="shared" si="1"/>
        <v>45647</v>
      </c>
      <c r="C24" s="22">
        <v>1080</v>
      </c>
      <c r="D24" s="22"/>
      <c r="E24" s="5">
        <f t="shared" si="0"/>
        <v>0</v>
      </c>
      <c r="F24" s="22"/>
      <c r="G24" s="22"/>
      <c r="H24" s="22">
        <v>960</v>
      </c>
      <c r="I24" s="158"/>
      <c r="J24" s="75"/>
      <c r="K24" s="75"/>
      <c r="L24" s="171">
        <f>+J24*'Цени капацитети'!$F$45+K24*'Цени капацитети'!$F$59</f>
        <v>0</v>
      </c>
      <c r="M24" s="171">
        <f>+J24*'Цени капацитети'!$E$45+K24*'Цени капацитети'!$E$59</f>
        <v>0</v>
      </c>
      <c r="N24" s="76">
        <f>+M24+$P$3*'Цени капацитети'!$E$4+$Q$3*'Цени капацитети'!$E$21+$R$3*'Цени капацитети'!$E$8</f>
        <v>127.05</v>
      </c>
      <c r="O24" s="122"/>
      <c r="P24" s="458"/>
      <c r="Q24" s="339"/>
      <c r="R24" s="335"/>
      <c r="S24" s="335"/>
      <c r="T24" s="336">
        <f t="shared" si="2"/>
        <v>0</v>
      </c>
    </row>
    <row r="25" spans="2:20" x14ac:dyDescent="0.25">
      <c r="B25" s="47">
        <f t="shared" si="1"/>
        <v>45648</v>
      </c>
      <c r="C25" s="22">
        <v>1080</v>
      </c>
      <c r="D25" s="22"/>
      <c r="E25" s="5">
        <f t="shared" si="0"/>
        <v>0</v>
      </c>
      <c r="F25" s="22"/>
      <c r="G25" s="22"/>
      <c r="H25" s="22">
        <v>960</v>
      </c>
      <c r="I25" s="158"/>
      <c r="J25" s="75"/>
      <c r="K25" s="75"/>
      <c r="L25" s="171">
        <f>+J25*'Цени капацитети'!$F$45+K25*'Цени капацитети'!$F$59</f>
        <v>0</v>
      </c>
      <c r="M25" s="171">
        <f>+J25*'Цени капацитети'!$E$45+K25*'Цени капацитети'!$E$59</f>
        <v>0</v>
      </c>
      <c r="N25" s="76">
        <f>+M25+$P$3*'Цени капацитети'!$E$4+$Q$3*'Цени капацитети'!$E$21+$R$3*'Цени капацитети'!$E$8</f>
        <v>127.05</v>
      </c>
      <c r="O25" s="122"/>
      <c r="P25" s="458"/>
      <c r="Q25" s="339"/>
      <c r="R25" s="335"/>
      <c r="S25" s="335"/>
      <c r="T25" s="336">
        <f t="shared" si="2"/>
        <v>0</v>
      </c>
    </row>
    <row r="26" spans="2:20" x14ac:dyDescent="0.25">
      <c r="B26" s="47">
        <f t="shared" si="1"/>
        <v>45649</v>
      </c>
      <c r="C26" s="22">
        <v>1080</v>
      </c>
      <c r="D26" s="22"/>
      <c r="E26" s="5">
        <f t="shared" si="0"/>
        <v>0</v>
      </c>
      <c r="F26" s="22"/>
      <c r="G26" s="22"/>
      <c r="H26" s="22">
        <v>960</v>
      </c>
      <c r="I26" s="158"/>
      <c r="J26" s="75"/>
      <c r="K26" s="75"/>
      <c r="L26" s="171">
        <f>+J26*'Цени капацитети'!$F$45+K26*'Цени капацитети'!$F$59</f>
        <v>0</v>
      </c>
      <c r="M26" s="171">
        <f>+J26*'Цени капацитети'!$E$45+K26*'Цени капацитети'!$E$59</f>
        <v>0</v>
      </c>
      <c r="N26" s="76">
        <f>+M26+$P$3*'Цени капацитети'!$E$4+$Q$3*'Цени капацитети'!$E$21+$R$3*'Цени капацитети'!$E$8</f>
        <v>127.05</v>
      </c>
      <c r="O26" s="122"/>
      <c r="P26" s="458"/>
      <c r="Q26" s="339"/>
      <c r="R26" s="335"/>
      <c r="S26" s="335"/>
      <c r="T26" s="336">
        <f t="shared" si="2"/>
        <v>0</v>
      </c>
    </row>
    <row r="27" spans="2:20" x14ac:dyDescent="0.25">
      <c r="B27" s="47">
        <f t="shared" si="1"/>
        <v>45650</v>
      </c>
      <c r="C27" s="22">
        <v>1080</v>
      </c>
      <c r="D27" s="22"/>
      <c r="E27" s="5">
        <f t="shared" si="0"/>
        <v>0</v>
      </c>
      <c r="F27" s="22"/>
      <c r="G27" s="22"/>
      <c r="H27" s="22">
        <v>960</v>
      </c>
      <c r="I27" s="158"/>
      <c r="J27" s="75"/>
      <c r="K27" s="75"/>
      <c r="L27" s="171">
        <f>+J27*'Цени капацитети'!$F$45+K27*'Цени капацитети'!$F$59</f>
        <v>0</v>
      </c>
      <c r="M27" s="171">
        <f>+J27*'Цени капацитети'!$E$45+K27*'Цени капацитети'!$E$59</f>
        <v>0</v>
      </c>
      <c r="N27" s="76">
        <f>+M27+$P$3*'Цени капацитети'!$E$4+$Q$3*'Цени капацитети'!$E$21+$R$3*'Цени капацитети'!$E$8</f>
        <v>127.05</v>
      </c>
      <c r="O27" s="122"/>
      <c r="P27" s="458"/>
      <c r="Q27" s="339"/>
      <c r="R27" s="335"/>
      <c r="S27" s="335"/>
      <c r="T27" s="336">
        <f t="shared" si="2"/>
        <v>0</v>
      </c>
    </row>
    <row r="28" spans="2:20" x14ac:dyDescent="0.25">
      <c r="B28" s="47">
        <f t="shared" si="1"/>
        <v>45651</v>
      </c>
      <c r="C28" s="22">
        <v>1080</v>
      </c>
      <c r="D28" s="22"/>
      <c r="E28" s="5">
        <f t="shared" si="0"/>
        <v>0</v>
      </c>
      <c r="F28" s="22"/>
      <c r="G28" s="22"/>
      <c r="H28" s="22">
        <v>960</v>
      </c>
      <c r="I28" s="158"/>
      <c r="J28" s="75"/>
      <c r="K28" s="75"/>
      <c r="L28" s="171">
        <f>+J28*'Цени капацитети'!$F$45+K28*'Цени капацитети'!$F$59</f>
        <v>0</v>
      </c>
      <c r="M28" s="171">
        <f>+J28*'Цени капацитети'!$E$45+K28*'Цени капацитети'!$E$59</f>
        <v>0</v>
      </c>
      <c r="N28" s="76">
        <f>+M28+$P$3*'Цени капацитети'!$E$4+$Q$3*'Цени капацитети'!$E$21+$R$3*'Цени капацитети'!$E$8</f>
        <v>127.05</v>
      </c>
      <c r="O28" s="122"/>
      <c r="P28" s="458"/>
      <c r="Q28" s="339"/>
      <c r="R28" s="335"/>
      <c r="S28" s="335"/>
      <c r="T28" s="336">
        <f t="shared" si="2"/>
        <v>0</v>
      </c>
    </row>
    <row r="29" spans="2:20" x14ac:dyDescent="0.25">
      <c r="B29" s="47">
        <f t="shared" si="1"/>
        <v>45652</v>
      </c>
      <c r="C29" s="22">
        <v>1080</v>
      </c>
      <c r="D29" s="22"/>
      <c r="E29" s="5">
        <f t="shared" si="0"/>
        <v>0</v>
      </c>
      <c r="F29" s="22"/>
      <c r="G29" s="22"/>
      <c r="H29" s="22">
        <v>960</v>
      </c>
      <c r="I29" s="158"/>
      <c r="J29" s="75"/>
      <c r="K29" s="75"/>
      <c r="L29" s="171">
        <f>+J29*'Цени капацитети'!$F$45+K29*'Цени капацитети'!$F$59</f>
        <v>0</v>
      </c>
      <c r="M29" s="171">
        <f>+J29*'Цени капацитети'!$E$45+K29*'Цени капацитети'!$E$59</f>
        <v>0</v>
      </c>
      <c r="N29" s="76">
        <f>+M29+$P$3*'Цени капацитети'!$E$4+$Q$3*'Цени капацитети'!$E$21+$R$3*'Цени капацитети'!$E$8</f>
        <v>127.05</v>
      </c>
      <c r="O29" s="122"/>
      <c r="P29" s="458"/>
      <c r="Q29" s="339"/>
      <c r="R29" s="335"/>
      <c r="S29" s="335"/>
      <c r="T29" s="336">
        <f t="shared" si="2"/>
        <v>0</v>
      </c>
    </row>
    <row r="30" spans="2:20" x14ac:dyDescent="0.25">
      <c r="B30" s="47">
        <f t="shared" si="1"/>
        <v>45653</v>
      </c>
      <c r="C30" s="22">
        <v>1080</v>
      </c>
      <c r="D30" s="22"/>
      <c r="E30" s="5">
        <f t="shared" si="0"/>
        <v>0</v>
      </c>
      <c r="F30" s="22"/>
      <c r="G30" s="22"/>
      <c r="H30" s="22">
        <v>960</v>
      </c>
      <c r="I30" s="158"/>
      <c r="J30" s="75"/>
      <c r="K30" s="75"/>
      <c r="L30" s="171">
        <f>+J30*'Цени капацитети'!$F$45+K30*'Цени капацитети'!$F$59</f>
        <v>0</v>
      </c>
      <c r="M30" s="171">
        <f>+J30*'Цени капацитети'!$E$45+K30*'Цени капацитети'!$E$59</f>
        <v>0</v>
      </c>
      <c r="N30" s="76">
        <f>+M30+$P$3*'Цени капацитети'!$E$4+$Q$3*'Цени капацитети'!$E$21+$R$3*'Цени капацитети'!$E$8</f>
        <v>127.05</v>
      </c>
      <c r="O30" s="122"/>
      <c r="P30" s="458"/>
      <c r="Q30" s="339"/>
      <c r="R30" s="335"/>
      <c r="S30" s="335"/>
      <c r="T30" s="336">
        <f t="shared" si="2"/>
        <v>0</v>
      </c>
    </row>
    <row r="31" spans="2:20" x14ac:dyDescent="0.25">
      <c r="B31" s="47">
        <f t="shared" si="1"/>
        <v>45654</v>
      </c>
      <c r="C31" s="22">
        <v>1080</v>
      </c>
      <c r="D31" s="22"/>
      <c r="E31" s="5">
        <f t="shared" si="0"/>
        <v>0</v>
      </c>
      <c r="F31" s="22"/>
      <c r="G31" s="22"/>
      <c r="H31" s="22">
        <v>960</v>
      </c>
      <c r="I31" s="158"/>
      <c r="J31" s="75"/>
      <c r="K31" s="75"/>
      <c r="L31" s="171">
        <f>+J31*'Цени капацитети'!$F$45+K31*'Цени капацитети'!$F$59</f>
        <v>0</v>
      </c>
      <c r="M31" s="171">
        <f>+J31*'Цени капацитети'!$E$45+K31*'Цени капацитети'!$E$59</f>
        <v>0</v>
      </c>
      <c r="N31" s="76">
        <f>+M31+$P$3*'Цени капацитети'!$E$4+$Q$3*'Цени капацитети'!$E$21+$R$3*'Цени капацитети'!$E$8</f>
        <v>127.05</v>
      </c>
      <c r="O31" s="122"/>
      <c r="P31" s="458"/>
      <c r="Q31" s="339"/>
      <c r="R31" s="335"/>
      <c r="S31" s="335"/>
      <c r="T31" s="336">
        <f t="shared" si="2"/>
        <v>0</v>
      </c>
    </row>
    <row r="32" spans="2:20" ht="16.149999999999999" customHeight="1" x14ac:dyDescent="0.25">
      <c r="B32" s="47">
        <f t="shared" si="1"/>
        <v>45655</v>
      </c>
      <c r="C32" s="22">
        <v>1080</v>
      </c>
      <c r="D32" s="22"/>
      <c r="E32" s="5">
        <f t="shared" si="0"/>
        <v>0</v>
      </c>
      <c r="F32" s="22"/>
      <c r="G32" s="22"/>
      <c r="H32" s="22">
        <v>960</v>
      </c>
      <c r="I32" s="158"/>
      <c r="J32" s="75"/>
      <c r="K32" s="75"/>
      <c r="L32" s="171">
        <f>+J32*'Цени капацитети'!$F$45+K32*'Цени капацитети'!$F$59</f>
        <v>0</v>
      </c>
      <c r="M32" s="171">
        <f>+J32*'Цени капацитети'!$E$45+K32*'Цени капацитети'!$E$59</f>
        <v>0</v>
      </c>
      <c r="N32" s="76">
        <f>+M32+$P$3*'Цени капацитети'!$E$4+$Q$3*'Цени капацитети'!$E$21+$R$3*'Цени капацитети'!$E$8</f>
        <v>127.05</v>
      </c>
      <c r="O32" s="122"/>
      <c r="P32" s="458"/>
      <c r="Q32" s="339"/>
      <c r="R32" s="335"/>
      <c r="S32" s="335"/>
      <c r="T32" s="336">
        <f t="shared" si="2"/>
        <v>0</v>
      </c>
    </row>
    <row r="33" spans="2:20" x14ac:dyDescent="0.25">
      <c r="B33" s="47">
        <f t="shared" si="1"/>
        <v>45656</v>
      </c>
      <c r="C33" s="22">
        <v>1080</v>
      </c>
      <c r="D33" s="22"/>
      <c r="E33" s="5">
        <f t="shared" si="0"/>
        <v>0</v>
      </c>
      <c r="F33" s="22"/>
      <c r="G33" s="22"/>
      <c r="H33" s="22">
        <v>960</v>
      </c>
      <c r="I33" s="158"/>
      <c r="J33" s="75"/>
      <c r="K33" s="75"/>
      <c r="L33" s="171">
        <f>+J33*'Цени капацитети'!$F$45+K33*'Цени капацитети'!$F$59</f>
        <v>0</v>
      </c>
      <c r="M33" s="171">
        <f>+J33*'Цени капацитети'!$E$45+K33*'Цени капацитети'!$E$59</f>
        <v>0</v>
      </c>
      <c r="N33" s="76">
        <f>+M33+$P$3*'Цени капацитети'!$E$4+$Q$3*'Цени капацитети'!$E$21+$R$3*'Цени капацитети'!$E$8</f>
        <v>127.05</v>
      </c>
      <c r="O33" s="122"/>
      <c r="P33" s="458"/>
      <c r="Q33" s="339"/>
      <c r="R33" s="335"/>
      <c r="S33" s="335"/>
      <c r="T33" s="336">
        <f t="shared" si="2"/>
        <v>0</v>
      </c>
    </row>
    <row r="34" spans="2:20" x14ac:dyDescent="0.25">
      <c r="B34" s="47">
        <f t="shared" si="1"/>
        <v>45657</v>
      </c>
      <c r="C34" s="22">
        <v>1080</v>
      </c>
      <c r="D34" s="22"/>
      <c r="E34" s="5">
        <f t="shared" si="0"/>
        <v>0</v>
      </c>
      <c r="F34" s="22"/>
      <c r="G34" s="22"/>
      <c r="H34" s="22">
        <v>960</v>
      </c>
      <c r="I34" s="158"/>
      <c r="J34" s="75"/>
      <c r="K34" s="75"/>
      <c r="L34" s="171">
        <f>+J34*'Цени капацитети'!$F$45+K34*'Цени капацитети'!$F$59</f>
        <v>0</v>
      </c>
      <c r="M34" s="171">
        <f>+J34*'Цени капацитети'!$E$45+K34*'Цени капацитети'!$E$59</f>
        <v>0</v>
      </c>
      <c r="N34" s="76">
        <f>+M34+$P$3*'Цени капацитети'!$E$4+$Q$3*'Цени капацитети'!$E$21+$R$3*'Цени капацитети'!$E$8</f>
        <v>127.05</v>
      </c>
      <c r="O34" s="589">
        <f>SUM(O4:O33)</f>
        <v>0</v>
      </c>
      <c r="P34" s="458"/>
      <c r="Q34" s="339"/>
      <c r="R34" s="335"/>
      <c r="S34" s="335"/>
      <c r="T34" s="336">
        <f t="shared" si="2"/>
        <v>0</v>
      </c>
    </row>
    <row r="35" spans="2:20" x14ac:dyDescent="0.25">
      <c r="D35" s="1">
        <f>SUM(D4:D34)</f>
        <v>16406.935000000001</v>
      </c>
      <c r="E35" s="1">
        <f>SUM(E4:E34)</f>
        <v>15897.707000000002</v>
      </c>
      <c r="G35" s="16">
        <f>SUM(G4:G34)</f>
        <v>509.22800000000001</v>
      </c>
      <c r="H35" s="16"/>
      <c r="I35" s="18">
        <f>SUM(I4:I34)</f>
        <v>0</v>
      </c>
      <c r="J35" s="18">
        <f>SUM(J4:J34)</f>
        <v>200</v>
      </c>
      <c r="K35" s="18">
        <f>SUM(K4:K34)</f>
        <v>200</v>
      </c>
      <c r="L35" s="18">
        <f>SUM(L4:L34)</f>
        <v>1060</v>
      </c>
      <c r="M35" s="69">
        <f>SUM(M4:M34)</f>
        <v>1633.5</v>
      </c>
      <c r="P35" s="458"/>
      <c r="Q35" s="339"/>
      <c r="R35" s="335"/>
      <c r="S35" s="335"/>
      <c r="T35" s="336">
        <f t="shared" si="2"/>
        <v>0</v>
      </c>
    </row>
    <row r="36" spans="2:20" x14ac:dyDescent="0.25">
      <c r="E36" s="1">
        <f>+E35/31</f>
        <v>512.82925806451624</v>
      </c>
      <c r="G36" s="1">
        <f>+G35*Цени!T42</f>
        <v>38645.312920000004</v>
      </c>
      <c r="J36" s="18"/>
      <c r="K36" s="18">
        <f>+K35+Плевен!N25</f>
        <v>200</v>
      </c>
      <c r="P36" s="458"/>
      <c r="Q36" s="339"/>
      <c r="R36" s="335"/>
      <c r="S36" s="335"/>
      <c r="T36" s="336">
        <f t="shared" si="2"/>
        <v>0</v>
      </c>
    </row>
    <row r="37" spans="2:20" x14ac:dyDescent="0.25">
      <c r="G37" s="1">
        <f>+G36*1.09</f>
        <v>42123.391082800008</v>
      </c>
      <c r="P37" s="458"/>
      <c r="Q37" s="339"/>
      <c r="R37" s="335"/>
      <c r="S37" s="335"/>
      <c r="T37" s="336">
        <f t="shared" si="2"/>
        <v>0</v>
      </c>
    </row>
    <row r="38" spans="2:20" x14ac:dyDescent="0.25">
      <c r="G38" s="1">
        <f>+G35/31</f>
        <v>16.426709677419357</v>
      </c>
      <c r="P38" s="338"/>
      <c r="Q38" s="339"/>
      <c r="R38" s="335"/>
      <c r="S38" s="335"/>
      <c r="T38" s="336">
        <f t="shared" si="2"/>
        <v>0</v>
      </c>
    </row>
    <row r="39" spans="2:20" x14ac:dyDescent="0.25">
      <c r="P39" s="337"/>
      <c r="Q39" s="339"/>
      <c r="R39" s="335"/>
      <c r="S39" s="335"/>
      <c r="T39" s="336">
        <f t="shared" si="2"/>
        <v>0</v>
      </c>
    </row>
    <row r="40" spans="2:20" x14ac:dyDescent="0.25">
      <c r="P40" s="337"/>
      <c r="Q40" s="339"/>
      <c r="R40" s="335"/>
      <c r="S40" s="335"/>
      <c r="T40" s="336">
        <f t="shared" si="2"/>
        <v>0</v>
      </c>
    </row>
    <row r="41" spans="2:20" x14ac:dyDescent="0.25">
      <c r="P41" s="337"/>
      <c r="Q41" s="339"/>
      <c r="R41" s="335"/>
      <c r="S41" s="335"/>
      <c r="T41" s="336">
        <f t="shared" si="2"/>
        <v>0</v>
      </c>
    </row>
    <row r="42" spans="2:20" x14ac:dyDescent="0.25">
      <c r="P42" s="337"/>
      <c r="Q42" s="339"/>
      <c r="R42" s="335"/>
      <c r="S42" s="335"/>
      <c r="T42" s="336">
        <f t="shared" si="2"/>
        <v>0</v>
      </c>
    </row>
    <row r="43" spans="2:20" x14ac:dyDescent="0.25">
      <c r="P43" s="337"/>
      <c r="Q43" s="339"/>
      <c r="R43" s="335"/>
      <c r="S43" s="335"/>
      <c r="T43" s="336">
        <f t="shared" si="2"/>
        <v>0</v>
      </c>
    </row>
    <row r="44" spans="2:20" x14ac:dyDescent="0.25">
      <c r="P44" s="337"/>
      <c r="Q44" s="339"/>
      <c r="R44" s="335"/>
      <c r="S44" s="335"/>
      <c r="T44" s="336">
        <f t="shared" si="2"/>
        <v>0</v>
      </c>
    </row>
    <row r="45" spans="2:20" ht="15.75" thickBot="1" x14ac:dyDescent="0.3">
      <c r="P45" s="329"/>
      <c r="Q45" s="340"/>
      <c r="R45" s="332"/>
      <c r="S45" s="332"/>
      <c r="T45" s="336">
        <f t="shared" si="2"/>
        <v>0</v>
      </c>
    </row>
    <row r="46" spans="2:20" x14ac:dyDescent="0.25">
      <c r="P46" s="341"/>
      <c r="Q46" s="341">
        <f>SUM(Q15:Q45)</f>
        <v>0</v>
      </c>
      <c r="R46" s="341">
        <f>SUM(R15:R45)</f>
        <v>0</v>
      </c>
      <c r="S46" s="341">
        <f>SUM(S15:S45)</f>
        <v>0</v>
      </c>
      <c r="T46" s="342">
        <f>SUM(T15:T45)</f>
        <v>0</v>
      </c>
    </row>
    <row r="47" spans="2:20" x14ac:dyDescent="0.25">
      <c r="Q47" s="1" t="e">
        <f>+R46/Q46</f>
        <v>#DIV/0!</v>
      </c>
    </row>
  </sheetData>
  <mergeCells count="3">
    <mergeCell ref="B2:I2"/>
    <mergeCell ref="K2:M2"/>
    <mergeCell ref="U2:V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V36"/>
  <sheetViews>
    <sheetView zoomScale="70" zoomScaleNormal="70" workbookViewId="0">
      <selection activeCell="F19" sqref="F19:H19"/>
    </sheetView>
  </sheetViews>
  <sheetFormatPr defaultColWidth="8.85546875" defaultRowHeight="15" x14ac:dyDescent="0.25"/>
  <cols>
    <col min="1" max="1" width="8.85546875" style="1"/>
    <col min="2" max="2" width="12" style="1" bestFit="1" customWidth="1"/>
    <col min="3" max="3" width="9.7109375" style="1" bestFit="1" customWidth="1"/>
    <col min="4" max="4" width="16.85546875" style="1" bestFit="1" customWidth="1"/>
    <col min="5" max="5" width="10.140625" style="1" bestFit="1" customWidth="1"/>
    <col min="6" max="6" width="12.140625" style="1" bestFit="1" customWidth="1"/>
    <col min="7" max="7" width="10.7109375" style="1" bestFit="1" customWidth="1"/>
    <col min="8" max="8" width="9.7109375" style="1" bestFit="1" customWidth="1"/>
    <col min="9" max="9" width="10.7109375" style="1" bestFit="1" customWidth="1"/>
    <col min="10" max="11" width="15.42578125" style="1" bestFit="1" customWidth="1"/>
    <col min="12" max="12" width="13" style="1" customWidth="1"/>
    <col min="13" max="14" width="17.5703125" style="69" customWidth="1"/>
    <col min="15" max="15" width="13.28515625" style="1" customWidth="1"/>
    <col min="16" max="16" width="17.42578125" style="1" customWidth="1"/>
    <col min="17" max="17" width="19.140625" style="1" bestFit="1" customWidth="1"/>
    <col min="18" max="18" width="12.5703125" style="1" bestFit="1" customWidth="1"/>
    <col min="19" max="20" width="8.85546875" style="1"/>
    <col min="21" max="21" width="11.42578125" style="1" customWidth="1"/>
    <col min="22" max="22" width="11.140625" style="1" customWidth="1"/>
    <col min="23" max="16384" width="8.85546875" style="1"/>
  </cols>
  <sheetData>
    <row r="1" spans="2:22" ht="15.75" thickBot="1" x14ac:dyDescent="0.3">
      <c r="J1" s="81"/>
      <c r="K1" s="81"/>
      <c r="L1" s="78"/>
      <c r="M1" s="78"/>
      <c r="N1" s="13"/>
    </row>
    <row r="2" spans="2:22" x14ac:dyDescent="0.25">
      <c r="B2" s="661" t="s">
        <v>74</v>
      </c>
      <c r="C2" s="662"/>
      <c r="D2" s="662"/>
      <c r="E2" s="662"/>
      <c r="F2" s="662"/>
      <c r="G2" s="662"/>
      <c r="H2" s="662"/>
      <c r="I2" s="663"/>
      <c r="J2" s="243"/>
      <c r="K2" s="664" t="s">
        <v>70</v>
      </c>
      <c r="L2" s="652"/>
      <c r="M2" s="665"/>
      <c r="N2" s="13"/>
      <c r="P2" s="9" t="s">
        <v>80</v>
      </c>
      <c r="Q2" s="10" t="s">
        <v>99</v>
      </c>
      <c r="R2" s="11" t="s">
        <v>20</v>
      </c>
      <c r="U2" s="654" t="s">
        <v>105</v>
      </c>
      <c r="V2" s="654"/>
    </row>
    <row r="3" spans="2:22" ht="44.25" thickBot="1" x14ac:dyDescent="0.3">
      <c r="B3" s="26" t="s">
        <v>8</v>
      </c>
      <c r="C3" s="46" t="s">
        <v>21</v>
      </c>
      <c r="D3" s="52" t="s">
        <v>22</v>
      </c>
      <c r="E3" s="119" t="s">
        <v>119</v>
      </c>
      <c r="F3" s="52" t="s">
        <v>26</v>
      </c>
      <c r="G3" s="52" t="s">
        <v>6</v>
      </c>
      <c r="H3" s="52" t="s">
        <v>20</v>
      </c>
      <c r="I3" s="35" t="s">
        <v>27</v>
      </c>
      <c r="J3" s="119" t="s">
        <v>136</v>
      </c>
      <c r="K3" s="119" t="s">
        <v>137</v>
      </c>
      <c r="L3" s="77" t="s">
        <v>100</v>
      </c>
      <c r="M3" s="77" t="s">
        <v>82</v>
      </c>
      <c r="N3" s="77" t="s">
        <v>103</v>
      </c>
      <c r="O3" s="69" t="s">
        <v>121</v>
      </c>
      <c r="P3" s="19"/>
      <c r="Q3" s="641"/>
      <c r="R3" s="8"/>
      <c r="U3" s="654"/>
      <c r="V3" s="654"/>
    </row>
    <row r="4" spans="2:22" x14ac:dyDescent="0.25">
      <c r="B4" s="47">
        <v>45627</v>
      </c>
      <c r="C4" s="22">
        <v>2300</v>
      </c>
      <c r="D4" s="22">
        <v>2282.7379999999998</v>
      </c>
      <c r="E4" s="5">
        <f>D4-G4</f>
        <v>1292.7399999999998</v>
      </c>
      <c r="F4" s="22">
        <v>970</v>
      </c>
      <c r="G4" s="22">
        <v>989.99800000000005</v>
      </c>
      <c r="H4" s="22">
        <v>850</v>
      </c>
      <c r="I4" s="48"/>
      <c r="J4" s="57">
        <v>310</v>
      </c>
      <c r="K4" s="57">
        <v>680</v>
      </c>
      <c r="L4" s="171">
        <f>+J4*'Цени капацитети'!$F$45+K4*'Цени капацитети'!$F$59</f>
        <v>2732.4279999999999</v>
      </c>
      <c r="M4" s="171">
        <f>+J4*'Цени капацитети'!$E$45+K4*'Цени капацитети'!$E$59+$P$3*'Цени капацитети'!$E$21+$Q$3*'Цени капацитети'!$E$4</f>
        <v>4210.7999999999993</v>
      </c>
      <c r="N4" s="76">
        <f>+M4+L4</f>
        <v>6943.2279999999992</v>
      </c>
      <c r="O4" s="122">
        <f>+$P$3+K4+J4-G4</f>
        <v>1.9999999999527063E-3</v>
      </c>
      <c r="U4" s="654"/>
      <c r="V4" s="654"/>
    </row>
    <row r="5" spans="2:22" x14ac:dyDescent="0.25">
      <c r="B5" s="47">
        <f>+B4+1</f>
        <v>45628</v>
      </c>
      <c r="C5" s="22">
        <v>2300</v>
      </c>
      <c r="D5" s="22">
        <v>2252.1619999999998</v>
      </c>
      <c r="E5" s="5">
        <f t="shared" ref="E5:E34" si="0">D5-G5</f>
        <v>2252.1619999999998</v>
      </c>
      <c r="F5" s="22">
        <v>0</v>
      </c>
      <c r="G5" s="22">
        <v>0</v>
      </c>
      <c r="H5" s="22">
        <v>2000</v>
      </c>
      <c r="I5" s="156"/>
      <c r="J5" s="57"/>
      <c r="K5" s="75"/>
      <c r="L5" s="171">
        <f>+J5*'Цени капацитети'!$F$45+K5*'Цени капацитети'!$F$59</f>
        <v>0</v>
      </c>
      <c r="M5" s="171">
        <f>+J5*'Цени капацитети'!$E$45+K5*'Цени капацитети'!$E$59+$P$3*'Цени капацитети'!$E$21+$Q$3*'Цени капацитети'!$E$4</f>
        <v>0</v>
      </c>
      <c r="N5" s="76">
        <f t="shared" ref="N5:N22" si="1">+M5+L5</f>
        <v>0</v>
      </c>
      <c r="O5" s="122">
        <f t="shared" ref="O5" si="2">+$P$3+K5+J5-G5</f>
        <v>0</v>
      </c>
      <c r="U5" s="111" t="s">
        <v>18</v>
      </c>
      <c r="V5" s="112" t="s">
        <v>6</v>
      </c>
    </row>
    <row r="6" spans="2:22" x14ac:dyDescent="0.25">
      <c r="B6" s="47">
        <f t="shared" ref="B6:B34" si="3">+B5+1</f>
        <v>45629</v>
      </c>
      <c r="C6" s="22">
        <v>785</v>
      </c>
      <c r="D6" s="22">
        <v>2960.9380000000001</v>
      </c>
      <c r="E6" s="5">
        <f t="shared" si="0"/>
        <v>2519.011</v>
      </c>
      <c r="F6" s="22">
        <v>410</v>
      </c>
      <c r="G6" s="22">
        <v>441.92700000000002</v>
      </c>
      <c r="H6" s="22">
        <v>3000</v>
      </c>
      <c r="I6" s="156"/>
      <c r="J6" s="75"/>
      <c r="K6" s="75">
        <v>450</v>
      </c>
      <c r="L6" s="171">
        <f>+J6*'Цени капацитети'!$F$45+K6*'Цени капацитети'!$F$59</f>
        <v>1324.98</v>
      </c>
      <c r="M6" s="171">
        <f>+J6*'Цени капацитети'!$E$45+K6*'Цени капацитети'!$E$59+$P$3*'Цени капацитети'!$E$21+$Q$3*'Цени капацитети'!$E$4</f>
        <v>2041.8749999999998</v>
      </c>
      <c r="N6" s="76">
        <f t="shared" si="1"/>
        <v>3366.8549999999996</v>
      </c>
      <c r="O6" s="122"/>
      <c r="U6" s="76"/>
      <c r="V6" s="75"/>
    </row>
    <row r="7" spans="2:22" x14ac:dyDescent="0.25">
      <c r="B7" s="47">
        <f t="shared" si="3"/>
        <v>45630</v>
      </c>
      <c r="C7" s="22">
        <v>785</v>
      </c>
      <c r="D7" s="22">
        <v>3328.8119999999999</v>
      </c>
      <c r="E7" s="5">
        <f t="shared" si="0"/>
        <v>3289.5859999999998</v>
      </c>
      <c r="F7" s="22">
        <v>0</v>
      </c>
      <c r="G7" s="22">
        <v>39.225999999999999</v>
      </c>
      <c r="H7" s="22">
        <v>2700</v>
      </c>
      <c r="I7" s="156"/>
      <c r="J7" s="75"/>
      <c r="K7" s="75"/>
      <c r="L7" s="171">
        <f>+J7*'Цени капацитети'!$F$45+K7*'Цени капацитети'!$F$59</f>
        <v>0</v>
      </c>
      <c r="M7" s="171">
        <f>+J7*'Цени капацитети'!$E$45+K7*'Цени капацитети'!$E$59+$P$3*'Цени капацитети'!$E$21+$Q$3*'Цени капацитети'!$E$4</f>
        <v>0</v>
      </c>
      <c r="N7" s="76">
        <f t="shared" si="1"/>
        <v>0</v>
      </c>
      <c r="O7" s="122"/>
    </row>
    <row r="8" spans="2:22" x14ac:dyDescent="0.25">
      <c r="B8" s="47">
        <f t="shared" si="3"/>
        <v>45631</v>
      </c>
      <c r="C8" s="22">
        <v>785</v>
      </c>
      <c r="D8" s="49">
        <v>2461.2930000000001</v>
      </c>
      <c r="E8" s="235">
        <f t="shared" si="0"/>
        <v>2461.2930000000001</v>
      </c>
      <c r="F8" s="22">
        <v>0</v>
      </c>
      <c r="G8" s="22">
        <v>0</v>
      </c>
      <c r="H8" s="22">
        <v>2700</v>
      </c>
      <c r="I8" s="157"/>
      <c r="J8" s="75"/>
      <c r="K8" s="75"/>
      <c r="L8" s="171">
        <f>+J8*'Цени капацитети'!$F$45+K8*'Цени капацитети'!$F$59</f>
        <v>0</v>
      </c>
      <c r="M8" s="171">
        <f>+J8*'Цени капацитети'!$E$45+K8*'Цени капацитети'!$E$59+$P$3*'Цени капацитети'!$E$21+$Q$3*'Цени капацитети'!$E$4</f>
        <v>0</v>
      </c>
      <c r="N8" s="76">
        <f t="shared" si="1"/>
        <v>0</v>
      </c>
      <c r="O8" s="122"/>
      <c r="P8" s="1" t="s">
        <v>75</v>
      </c>
    </row>
    <row r="9" spans="2:22" x14ac:dyDescent="0.25">
      <c r="B9" s="47">
        <f t="shared" si="3"/>
        <v>45632</v>
      </c>
      <c r="C9" s="22">
        <v>785</v>
      </c>
      <c r="D9" s="22">
        <v>2349.15</v>
      </c>
      <c r="E9" s="5">
        <f t="shared" si="0"/>
        <v>1534.15</v>
      </c>
      <c r="F9" s="22">
        <v>800</v>
      </c>
      <c r="G9" s="22">
        <v>815</v>
      </c>
      <c r="H9" s="22">
        <v>1100</v>
      </c>
      <c r="I9" s="157"/>
      <c r="J9" s="75"/>
      <c r="K9" s="75">
        <v>800</v>
      </c>
      <c r="L9" s="171">
        <f>+J9*'Цени капацитети'!$F$45+K9*'Цени капацитети'!$F$59</f>
        <v>2355.52</v>
      </c>
      <c r="M9" s="171">
        <f>+J9*'Цени капацитети'!$E$45+K9*'Цени капацитети'!$E$59+$P$3*'Цени капацитети'!$E$21+$Q$3*'Цени капацитети'!$E$4</f>
        <v>3629.9999999999995</v>
      </c>
      <c r="N9" s="76">
        <f t="shared" si="1"/>
        <v>5985.5199999999995</v>
      </c>
      <c r="O9" s="122"/>
      <c r="P9" s="1" t="s">
        <v>76</v>
      </c>
    </row>
    <row r="10" spans="2:22" x14ac:dyDescent="0.25">
      <c r="B10" s="47">
        <f t="shared" si="3"/>
        <v>45633</v>
      </c>
      <c r="C10" s="22">
        <v>785</v>
      </c>
      <c r="D10" s="22">
        <v>2352.355</v>
      </c>
      <c r="E10" s="5">
        <f t="shared" si="0"/>
        <v>2167.1010000000001</v>
      </c>
      <c r="F10" s="22">
        <v>200</v>
      </c>
      <c r="G10" s="22">
        <v>185.25399999999999</v>
      </c>
      <c r="H10" s="22">
        <v>1980</v>
      </c>
      <c r="I10" s="158"/>
      <c r="J10" s="75"/>
      <c r="K10" s="75">
        <v>200</v>
      </c>
      <c r="L10" s="171">
        <f>+J10*'Цени капацитети'!$F$45+K10*'Цени капацитети'!$F$59</f>
        <v>588.88</v>
      </c>
      <c r="M10" s="171">
        <f>+J10*'Цени капацитети'!$E$45+K10*'Цени капацитети'!$E$59+$P$3*'Цени капацитети'!$E$21+$Q$3*'Цени капацитети'!$E$4</f>
        <v>907.49999999999989</v>
      </c>
      <c r="N10" s="76">
        <f t="shared" si="1"/>
        <v>1496.3799999999999</v>
      </c>
      <c r="O10" s="122"/>
    </row>
    <row r="11" spans="2:22" x14ac:dyDescent="0.25">
      <c r="B11" s="47">
        <f t="shared" si="3"/>
        <v>45634</v>
      </c>
      <c r="C11" s="22">
        <v>785</v>
      </c>
      <c r="D11" s="22">
        <v>1909.6579999999999</v>
      </c>
      <c r="E11" s="5">
        <f t="shared" si="0"/>
        <v>1909.6579999999999</v>
      </c>
      <c r="F11" s="22">
        <v>0</v>
      </c>
      <c r="G11" s="22">
        <v>0</v>
      </c>
      <c r="H11" s="22">
        <v>1880</v>
      </c>
      <c r="I11" s="159"/>
      <c r="J11" s="75"/>
      <c r="K11" s="75"/>
      <c r="L11" s="171">
        <f>+J11*'Цени капацитети'!$F$45+K11*'Цени капацитети'!$F$59</f>
        <v>0</v>
      </c>
      <c r="M11" s="171">
        <f>+J11*'Цени капацитети'!$E$45+K11*'Цени капацитети'!$E$59+$P$3*'Цени капацитети'!$E$21+$Q$3*'Цени капацитети'!$E$4</f>
        <v>0</v>
      </c>
      <c r="N11" s="76">
        <f t="shared" si="1"/>
        <v>0</v>
      </c>
      <c r="O11" s="122"/>
    </row>
    <row r="12" spans="2:22" x14ac:dyDescent="0.25">
      <c r="B12" s="47">
        <f t="shared" si="3"/>
        <v>45635</v>
      </c>
      <c r="C12" s="22">
        <v>785</v>
      </c>
      <c r="D12" s="22">
        <v>1282.48</v>
      </c>
      <c r="E12" s="5">
        <f t="shared" si="0"/>
        <v>1282.48</v>
      </c>
      <c r="F12" s="22">
        <v>0</v>
      </c>
      <c r="G12" s="22">
        <v>0</v>
      </c>
      <c r="H12" s="22">
        <v>2200</v>
      </c>
      <c r="I12" s="158"/>
      <c r="J12" s="75"/>
      <c r="K12" s="75"/>
      <c r="L12" s="171">
        <f>+J12*'Цени капацитети'!$F$45+K12*'Цени капацитети'!$F$59</f>
        <v>0</v>
      </c>
      <c r="M12" s="171">
        <f>+J12*'Цени капацитети'!$E$45+K12*'Цени капацитети'!$E$59+$P$3*'Цени капацитети'!$E$21+$Q$3*'Цени капацитети'!$E$4</f>
        <v>0</v>
      </c>
      <c r="N12" s="76">
        <f t="shared" si="1"/>
        <v>0</v>
      </c>
      <c r="O12" s="122"/>
    </row>
    <row r="13" spans="2:22" ht="15.75" thickBot="1" x14ac:dyDescent="0.3">
      <c r="B13" s="47">
        <f t="shared" si="3"/>
        <v>45636</v>
      </c>
      <c r="C13" s="22">
        <v>785</v>
      </c>
      <c r="D13" s="22">
        <v>1295.0309999999999</v>
      </c>
      <c r="E13" s="5">
        <f t="shared" si="0"/>
        <v>1295.0309999999999</v>
      </c>
      <c r="F13" s="22">
        <v>0</v>
      </c>
      <c r="G13" s="22">
        <v>0</v>
      </c>
      <c r="H13" s="22">
        <v>1250</v>
      </c>
      <c r="I13" s="160"/>
      <c r="J13" s="75"/>
      <c r="K13" s="75"/>
      <c r="L13" s="171">
        <f>+J13*'Цени капацитети'!$F$45+K13*'Цени капацитети'!$F$59</f>
        <v>0</v>
      </c>
      <c r="M13" s="171">
        <f>+J13*'Цени капацитети'!$E$45+K13*'Цени капацитети'!$E$59+$P$3*'Цени капацитети'!$E$21+$Q$3*'Цени капацитети'!$E$4</f>
        <v>0</v>
      </c>
      <c r="N13" s="76">
        <f t="shared" si="1"/>
        <v>0</v>
      </c>
      <c r="O13" s="122"/>
    </row>
    <row r="14" spans="2:22" x14ac:dyDescent="0.25">
      <c r="B14" s="47">
        <f t="shared" si="3"/>
        <v>45637</v>
      </c>
      <c r="C14" s="22">
        <v>785</v>
      </c>
      <c r="D14" s="22">
        <v>1387.309</v>
      </c>
      <c r="E14" s="5">
        <f t="shared" si="0"/>
        <v>1387.309</v>
      </c>
      <c r="F14" s="22">
        <v>0</v>
      </c>
      <c r="G14" s="22">
        <v>0</v>
      </c>
      <c r="H14" s="22">
        <v>1250</v>
      </c>
      <c r="I14" s="158"/>
      <c r="J14" s="75"/>
      <c r="K14" s="75"/>
      <c r="L14" s="171">
        <f>+J14*'Цени капацитети'!$F$45+K14*'Цени капацитети'!$F$59</f>
        <v>0</v>
      </c>
      <c r="M14" s="171">
        <f>+J14*'Цени капацитети'!$E$45+K14*'Цени капацитети'!$E$59+$P$3*'Цени капацитети'!$E$21+$Q$3*'Цени капацитети'!$E$4</f>
        <v>0</v>
      </c>
      <c r="N14" s="76">
        <f t="shared" si="1"/>
        <v>0</v>
      </c>
      <c r="O14" s="122"/>
      <c r="P14" s="58" t="s">
        <v>116</v>
      </c>
      <c r="Q14" s="59"/>
      <c r="R14" s="59"/>
      <c r="S14" s="60"/>
    </row>
    <row r="15" spans="2:22" x14ac:dyDescent="0.25">
      <c r="B15" s="47">
        <f t="shared" si="3"/>
        <v>45638</v>
      </c>
      <c r="C15" s="22">
        <v>785</v>
      </c>
      <c r="D15" s="22">
        <v>1311.0450000000001</v>
      </c>
      <c r="E15" s="5">
        <f t="shared" si="0"/>
        <v>1311.0450000000001</v>
      </c>
      <c r="F15" s="22">
        <v>0</v>
      </c>
      <c r="G15" s="22">
        <v>0</v>
      </c>
      <c r="H15" s="22">
        <v>1180</v>
      </c>
      <c r="I15" s="158"/>
      <c r="J15" s="75"/>
      <c r="K15" s="75"/>
      <c r="L15" s="171">
        <f>+J15*'Цени капацитети'!$F$45+K15*'Цени капацитети'!$F$59</f>
        <v>0</v>
      </c>
      <c r="M15" s="171">
        <f>+J15*'Цени капацитети'!$E$45+K15*'Цени капацитети'!$E$59+$P$3*'Цени капацитети'!$E$21+$Q$3*'Цени капацитети'!$E$4</f>
        <v>0</v>
      </c>
      <c r="N15" s="76">
        <f t="shared" si="1"/>
        <v>0</v>
      </c>
      <c r="O15" s="122"/>
      <c r="P15" s="61" t="s">
        <v>65</v>
      </c>
      <c r="R15" s="4">
        <f>G19*(Цени!$T$40*1.1-Цени!$T$42)</f>
        <v>43.879598000000072</v>
      </c>
      <c r="S15" s="62" t="s">
        <v>60</v>
      </c>
    </row>
    <row r="16" spans="2:22" x14ac:dyDescent="0.25">
      <c r="B16" s="47">
        <f t="shared" si="3"/>
        <v>45639</v>
      </c>
      <c r="C16" s="22">
        <v>785</v>
      </c>
      <c r="D16" s="22">
        <v>1296.902</v>
      </c>
      <c r="E16" s="5">
        <f t="shared" si="0"/>
        <v>1296.902</v>
      </c>
      <c r="F16" s="22">
        <v>0</v>
      </c>
      <c r="G16" s="22">
        <v>0</v>
      </c>
      <c r="H16" s="22">
        <v>1180</v>
      </c>
      <c r="I16" s="158"/>
      <c r="J16" s="75"/>
      <c r="K16" s="75"/>
      <c r="L16" s="171">
        <f>+J16*'Цени капацитети'!$F$45+K16*'Цени капацитети'!$F$59</f>
        <v>0</v>
      </c>
      <c r="M16" s="171">
        <f>+J16*'Цени капацитети'!$E$45+K16*'Цени капацитети'!$E$59+$P$3*'Цени капацитети'!$E$21+$Q$3*'Цени капацитети'!$E$4</f>
        <v>0</v>
      </c>
      <c r="N16" s="76">
        <f t="shared" si="1"/>
        <v>0</v>
      </c>
      <c r="O16" s="122"/>
      <c r="P16" s="63" t="s">
        <v>66</v>
      </c>
      <c r="R16" s="4">
        <v>0</v>
      </c>
      <c r="S16" s="62" t="s">
        <v>60</v>
      </c>
    </row>
    <row r="17" spans="2:19" x14ac:dyDescent="0.25">
      <c r="B17" s="47">
        <f t="shared" si="3"/>
        <v>45640</v>
      </c>
      <c r="C17" s="22">
        <v>785</v>
      </c>
      <c r="D17" s="22">
        <v>1383.2650000000001</v>
      </c>
      <c r="E17" s="5">
        <f t="shared" si="0"/>
        <v>1350.43</v>
      </c>
      <c r="F17" s="22">
        <v>0</v>
      </c>
      <c r="G17" s="22">
        <v>32.835000000000001</v>
      </c>
      <c r="H17" s="22">
        <v>1200</v>
      </c>
      <c r="I17" s="158"/>
      <c r="J17" s="75"/>
      <c r="K17" s="75">
        <v>1.6</v>
      </c>
      <c r="L17" s="171">
        <f>+J17*'Цени капацитети'!$F$45+K17*'Цени капацитети'!$F$59</f>
        <v>4.7110399999999997</v>
      </c>
      <c r="M17" s="171">
        <f>+J17*'Цени капацитети'!$E$45+K17*'Цени капацитети'!$E$59+$P$3*'Цени капацитети'!$E$21+$Q$3*'Цени капацитети'!$E$4</f>
        <v>7.26</v>
      </c>
      <c r="N17" s="76">
        <f t="shared" si="1"/>
        <v>11.971039999999999</v>
      </c>
      <c r="O17" s="122"/>
      <c r="P17" s="63" t="s">
        <v>67</v>
      </c>
      <c r="R17" s="3">
        <v>0</v>
      </c>
      <c r="S17" s="62" t="s">
        <v>60</v>
      </c>
    </row>
    <row r="18" spans="2:19" ht="15.75" thickBot="1" x14ac:dyDescent="0.3">
      <c r="B18" s="47">
        <f t="shared" si="3"/>
        <v>45641</v>
      </c>
      <c r="C18" s="22">
        <v>785</v>
      </c>
      <c r="D18" s="22">
        <v>1262.0450000000001</v>
      </c>
      <c r="E18" s="5">
        <f t="shared" si="0"/>
        <v>1229.92</v>
      </c>
      <c r="F18" s="22">
        <v>0</v>
      </c>
      <c r="G18" s="22">
        <v>32.125</v>
      </c>
      <c r="H18" s="22">
        <v>1200</v>
      </c>
      <c r="I18" s="158"/>
      <c r="J18" s="75"/>
      <c r="K18" s="75"/>
      <c r="L18" s="171">
        <f>+J18*'Цени капацитети'!$F$45+K18*'Цени капацитети'!$F$59</f>
        <v>0</v>
      </c>
      <c r="M18" s="171">
        <f>+J18*'Цени капацитети'!$E$45+K18*'Цени капацитети'!$E$59+$P$3*'Цени капацитети'!$E$21+$Q$3*'Цени капацитети'!$E$4</f>
        <v>0</v>
      </c>
      <c r="N18" s="76">
        <f t="shared" si="1"/>
        <v>0</v>
      </c>
      <c r="O18" s="122"/>
      <c r="P18" s="64"/>
      <c r="Q18" s="65" t="s">
        <v>0</v>
      </c>
      <c r="R18" s="66">
        <f>SUM(R15:R17)</f>
        <v>43.879598000000072</v>
      </c>
      <c r="S18" s="67" t="s">
        <v>60</v>
      </c>
    </row>
    <row r="19" spans="2:19" x14ac:dyDescent="0.25">
      <c r="B19" s="47">
        <f t="shared" si="3"/>
        <v>45642</v>
      </c>
      <c r="C19" s="22">
        <v>785</v>
      </c>
      <c r="D19" s="22">
        <v>1335.126</v>
      </c>
      <c r="E19" s="5">
        <f t="shared" si="0"/>
        <v>1329.3440000000001</v>
      </c>
      <c r="F19" s="22">
        <v>0</v>
      </c>
      <c r="G19" s="22">
        <v>5.782</v>
      </c>
      <c r="H19" s="22">
        <v>1200</v>
      </c>
      <c r="I19" s="158"/>
      <c r="J19" s="75"/>
      <c r="K19" s="75"/>
      <c r="L19" s="171">
        <f>+J19*'Цени капацитети'!$F$45+K19*'Цени капацитети'!$F$59</f>
        <v>0</v>
      </c>
      <c r="M19" s="171">
        <f>+J19*'Цени капацитети'!$E$45+K19*'Цени капацитети'!$E$59+$P$3*'Цени капацитети'!$E$21+$Q$3*'Цени капацитети'!$E$4</f>
        <v>0</v>
      </c>
      <c r="N19" s="76">
        <f t="shared" si="1"/>
        <v>0</v>
      </c>
      <c r="O19" s="122"/>
    </row>
    <row r="20" spans="2:19" x14ac:dyDescent="0.25">
      <c r="B20" s="47">
        <f t="shared" si="3"/>
        <v>45643</v>
      </c>
      <c r="C20" s="22">
        <v>785</v>
      </c>
      <c r="D20" s="22"/>
      <c r="E20" s="5">
        <f t="shared" si="0"/>
        <v>0</v>
      </c>
      <c r="F20" s="22"/>
      <c r="G20" s="22"/>
      <c r="H20" s="22"/>
      <c r="I20" s="158"/>
      <c r="J20" s="75"/>
      <c r="K20" s="75"/>
      <c r="L20" s="171">
        <f>+J20*'Цени капацитети'!$F$45+K20*'Цени капацитети'!$F$59</f>
        <v>0</v>
      </c>
      <c r="M20" s="171">
        <f>+J20*'Цени капацитети'!$E$45+K20*'Цени капацитети'!$E$59+$P$3*'Цени капацитети'!$E$21+$Q$3*'Цени капацитети'!$E$4</f>
        <v>0</v>
      </c>
      <c r="N20" s="76">
        <f t="shared" si="1"/>
        <v>0</v>
      </c>
      <c r="O20" s="122"/>
    </row>
    <row r="21" spans="2:19" x14ac:dyDescent="0.25">
      <c r="B21" s="47">
        <f t="shared" si="3"/>
        <v>45644</v>
      </c>
      <c r="C21" s="22">
        <v>785</v>
      </c>
      <c r="D21" s="22"/>
      <c r="E21" s="5">
        <f t="shared" si="0"/>
        <v>0</v>
      </c>
      <c r="F21" s="22"/>
      <c r="G21" s="22"/>
      <c r="H21" s="22"/>
      <c r="I21" s="158"/>
      <c r="J21" s="75"/>
      <c r="K21" s="75"/>
      <c r="L21" s="171">
        <f>+J21*'Цени капацитети'!$F$45+K21*'Цени капацитети'!$F$59</f>
        <v>0</v>
      </c>
      <c r="M21" s="171">
        <f>+J21*'Цени капацитети'!$E$45+K21*'Цени капацитети'!$E$59+$P$3*'Цени капацитети'!$E$21+$Q$3*'Цени капацитети'!$E$4</f>
        <v>0</v>
      </c>
      <c r="N21" s="76">
        <f t="shared" si="1"/>
        <v>0</v>
      </c>
      <c r="O21" s="122"/>
    </row>
    <row r="22" spans="2:19" x14ac:dyDescent="0.25">
      <c r="B22" s="47">
        <f t="shared" si="3"/>
        <v>45645</v>
      </c>
      <c r="C22" s="22">
        <v>785</v>
      </c>
      <c r="D22" s="22"/>
      <c r="E22" s="5">
        <f t="shared" si="0"/>
        <v>0</v>
      </c>
      <c r="F22" s="22"/>
      <c r="G22" s="22"/>
      <c r="H22" s="22"/>
      <c r="I22" s="158"/>
      <c r="J22" s="75"/>
      <c r="K22" s="75"/>
      <c r="L22" s="171">
        <f>+J22*'Цени капацитети'!$F$45+K22*'Цени капацитети'!$F$59</f>
        <v>0</v>
      </c>
      <c r="M22" s="171">
        <f>+J22*'Цени капацитети'!$E$45+K22*'Цени капацитети'!$E$59+$P$3*'Цени капацитети'!$E$21+$Q$3*'Цени капацитети'!$E$4</f>
        <v>0</v>
      </c>
      <c r="N22" s="76">
        <f t="shared" si="1"/>
        <v>0</v>
      </c>
      <c r="O22" s="122"/>
    </row>
    <row r="23" spans="2:19" ht="18" customHeight="1" x14ac:dyDescent="0.25">
      <c r="B23" s="47">
        <f t="shared" si="3"/>
        <v>45646</v>
      </c>
      <c r="C23" s="22">
        <v>785</v>
      </c>
      <c r="D23" s="22"/>
      <c r="E23" s="5">
        <f t="shared" si="0"/>
        <v>0</v>
      </c>
      <c r="F23" s="22"/>
      <c r="G23" s="22"/>
      <c r="H23" s="22"/>
      <c r="I23" s="158"/>
      <c r="J23" s="75"/>
      <c r="K23" s="75"/>
      <c r="L23" s="171">
        <f>+J23*'Цени капацитети'!$F$45+K23*'Цени капацитети'!$F$59</f>
        <v>0</v>
      </c>
      <c r="M23" s="171">
        <f>+J23*'Цени капацитети'!$E$45+K23*'Цени капацитети'!$E$59+$P$3*'Цени капацитети'!$E$21+$Q$3*'Цени капацитети'!$E$4</f>
        <v>0</v>
      </c>
      <c r="N23" s="76">
        <f t="shared" ref="N23:N34" si="4">+M23+L23</f>
        <v>0</v>
      </c>
      <c r="O23" s="122"/>
    </row>
    <row r="24" spans="2:19" x14ac:dyDescent="0.25">
      <c r="B24" s="47">
        <f t="shared" si="3"/>
        <v>45647</v>
      </c>
      <c r="C24" s="22">
        <v>785</v>
      </c>
      <c r="D24" s="22"/>
      <c r="E24" s="5">
        <f t="shared" si="0"/>
        <v>0</v>
      </c>
      <c r="F24" s="22"/>
      <c r="G24" s="22"/>
      <c r="H24" s="22"/>
      <c r="I24" s="158"/>
      <c r="J24" s="75"/>
      <c r="K24" s="75"/>
      <c r="L24" s="171">
        <f>+J24*'Цени капацитети'!$F$45+K24*'Цени капацитети'!$F$59</f>
        <v>0</v>
      </c>
      <c r="M24" s="171">
        <f>+J24*'Цени капацитети'!$E$45+K24*'Цени капацитети'!$E$59+$P$3*'Цени капацитети'!$E$21+$Q$3*'Цени капацитети'!$E$4</f>
        <v>0</v>
      </c>
      <c r="N24" s="76">
        <f t="shared" si="4"/>
        <v>0</v>
      </c>
      <c r="O24" s="122"/>
    </row>
    <row r="25" spans="2:19" x14ac:dyDescent="0.25">
      <c r="B25" s="47">
        <f t="shared" si="3"/>
        <v>45648</v>
      </c>
      <c r="C25" s="22">
        <v>785</v>
      </c>
      <c r="D25" s="22"/>
      <c r="E25" s="5">
        <f t="shared" si="0"/>
        <v>0</v>
      </c>
      <c r="F25" s="22"/>
      <c r="G25" s="22"/>
      <c r="H25" s="22"/>
      <c r="I25" s="160"/>
      <c r="J25" s="75"/>
      <c r="K25" s="75"/>
      <c r="L25" s="171">
        <f>+J25*'Цени капацитети'!$F$45+K25*'Цени капацитети'!$F$59</f>
        <v>0</v>
      </c>
      <c r="M25" s="171">
        <f>+J25*'Цени капацитети'!$E$45+K25*'Цени капацитети'!$E$59+$P$3*'Цени капацитети'!$E$21+$Q$3*'Цени капацитети'!$E$4</f>
        <v>0</v>
      </c>
      <c r="N25" s="76">
        <f t="shared" si="4"/>
        <v>0</v>
      </c>
      <c r="O25" s="122"/>
    </row>
    <row r="26" spans="2:19" x14ac:dyDescent="0.25">
      <c r="B26" s="47">
        <f t="shared" si="3"/>
        <v>45649</v>
      </c>
      <c r="C26" s="22">
        <v>785</v>
      </c>
      <c r="D26" s="22"/>
      <c r="E26" s="5">
        <f t="shared" si="0"/>
        <v>0</v>
      </c>
      <c r="F26" s="22"/>
      <c r="G26" s="22"/>
      <c r="H26" s="22"/>
      <c r="I26" s="158"/>
      <c r="J26" s="75"/>
      <c r="K26" s="75"/>
      <c r="L26" s="171">
        <f>+J26*'Цени капацитети'!$F$45+K26*'Цени капацитети'!$F$59</f>
        <v>0</v>
      </c>
      <c r="M26" s="171">
        <f>+J26*'Цени капацитети'!$E$45+K26*'Цени капацитети'!$E$59+$P$3*'Цени капацитети'!$E$21+$Q$3*'Цени капацитети'!$E$4</f>
        <v>0</v>
      </c>
      <c r="N26" s="76">
        <f t="shared" si="4"/>
        <v>0</v>
      </c>
      <c r="O26" s="122"/>
    </row>
    <row r="27" spans="2:19" x14ac:dyDescent="0.25">
      <c r="B27" s="47">
        <f t="shared" si="3"/>
        <v>45650</v>
      </c>
      <c r="C27" s="22">
        <v>785</v>
      </c>
      <c r="D27" s="22"/>
      <c r="E27" s="5">
        <f t="shared" si="0"/>
        <v>0</v>
      </c>
      <c r="F27" s="22"/>
      <c r="G27" s="22"/>
      <c r="H27" s="22"/>
      <c r="I27" s="158"/>
      <c r="J27" s="75"/>
      <c r="K27" s="75"/>
      <c r="L27" s="171">
        <f>+J27*'Цени капацитети'!$F$45+K27*'Цени капацитети'!$F$59</f>
        <v>0</v>
      </c>
      <c r="M27" s="171">
        <f>+J27*'Цени капацитети'!$E$45+K27*'Цени капацитети'!$E$59+$P$3*'Цени капацитети'!$E$21+$Q$3*'Цени капацитети'!$E$4</f>
        <v>0</v>
      </c>
      <c r="N27" s="76">
        <f t="shared" si="4"/>
        <v>0</v>
      </c>
      <c r="O27" s="122"/>
    </row>
    <row r="28" spans="2:19" x14ac:dyDescent="0.25">
      <c r="B28" s="47">
        <f t="shared" si="3"/>
        <v>45651</v>
      </c>
      <c r="C28" s="22">
        <v>785</v>
      </c>
      <c r="D28" s="22"/>
      <c r="E28" s="5">
        <f t="shared" si="0"/>
        <v>0</v>
      </c>
      <c r="F28" s="22"/>
      <c r="G28" s="22"/>
      <c r="H28" s="22"/>
      <c r="I28" s="158"/>
      <c r="J28" s="75"/>
      <c r="K28" s="75"/>
      <c r="L28" s="171">
        <f>+J28*'Цени капацитети'!$F$45+K28*'Цени капацитети'!$F$59</f>
        <v>0</v>
      </c>
      <c r="M28" s="171">
        <f>+J28*'Цени капацитети'!$E$45+K28*'Цени капацитети'!$E$59+$P$3*'Цени капацитети'!$E$21+$Q$3*'Цени капацитети'!$E$4</f>
        <v>0</v>
      </c>
      <c r="N28" s="76">
        <f t="shared" si="4"/>
        <v>0</v>
      </c>
      <c r="O28" s="122"/>
    </row>
    <row r="29" spans="2:19" x14ac:dyDescent="0.25">
      <c r="B29" s="47">
        <f t="shared" si="3"/>
        <v>45652</v>
      </c>
      <c r="C29" s="22">
        <v>785</v>
      </c>
      <c r="D29" s="22"/>
      <c r="E29" s="5">
        <f t="shared" si="0"/>
        <v>0</v>
      </c>
      <c r="F29" s="22"/>
      <c r="G29" s="22"/>
      <c r="H29" s="22"/>
      <c r="I29" s="158"/>
      <c r="J29" s="75"/>
      <c r="K29" s="75"/>
      <c r="L29" s="171">
        <f>+J29*'Цени капацитети'!$F$45+K29*'Цени капацитети'!$F$59</f>
        <v>0</v>
      </c>
      <c r="M29" s="171">
        <f>+J29*'Цени капацитети'!$E$45+K29*'Цени капацитети'!$E$59+$P$3*'Цени капацитети'!$E$21+$Q$3*'Цени капацитети'!$E$4</f>
        <v>0</v>
      </c>
      <c r="N29" s="76">
        <f t="shared" si="4"/>
        <v>0</v>
      </c>
      <c r="O29" s="122"/>
    </row>
    <row r="30" spans="2:19" x14ac:dyDescent="0.25">
      <c r="B30" s="47">
        <f t="shared" si="3"/>
        <v>45653</v>
      </c>
      <c r="C30" s="22">
        <v>785</v>
      </c>
      <c r="D30" s="22"/>
      <c r="E30" s="5">
        <f t="shared" si="0"/>
        <v>0</v>
      </c>
      <c r="F30" s="22"/>
      <c r="G30" s="22"/>
      <c r="H30" s="22"/>
      <c r="I30" s="158"/>
      <c r="J30" s="75"/>
      <c r="K30" s="75"/>
      <c r="L30" s="171">
        <f>+J30*'Цени капацитети'!$F$45+K30*'Цени капацитети'!$F$59</f>
        <v>0</v>
      </c>
      <c r="M30" s="171">
        <f>+J30*'Цени капацитети'!$E$45+K30*'Цени капацитети'!$E$59+$P$3*'Цени капацитети'!$E$21+$Q$3*'Цени капацитети'!$E$4</f>
        <v>0</v>
      </c>
      <c r="N30" s="76">
        <f t="shared" si="4"/>
        <v>0</v>
      </c>
      <c r="O30" s="122"/>
    </row>
    <row r="31" spans="2:19" x14ac:dyDescent="0.25">
      <c r="B31" s="47">
        <f t="shared" si="3"/>
        <v>45654</v>
      </c>
      <c r="C31" s="22">
        <v>785</v>
      </c>
      <c r="D31" s="22"/>
      <c r="E31" s="5">
        <f t="shared" si="0"/>
        <v>0</v>
      </c>
      <c r="F31" s="22"/>
      <c r="G31" s="22"/>
      <c r="H31" s="22"/>
      <c r="I31" s="158"/>
      <c r="J31" s="75"/>
      <c r="K31" s="75"/>
      <c r="L31" s="171">
        <f>+J31*'Цени капацитети'!$F$45+K31*'Цени капацитети'!$F$59</f>
        <v>0</v>
      </c>
      <c r="M31" s="171">
        <f>+J31*'Цени капацитети'!$E$45+K31*'Цени капацитети'!$E$59+$P$3*'Цени капацитети'!$E$21+$Q$3*'Цени капацитети'!$E$4</f>
        <v>0</v>
      </c>
      <c r="N31" s="76">
        <f t="shared" si="4"/>
        <v>0</v>
      </c>
      <c r="O31" s="122"/>
    </row>
    <row r="32" spans="2:19" x14ac:dyDescent="0.25">
      <c r="B32" s="47">
        <f t="shared" si="3"/>
        <v>45655</v>
      </c>
      <c r="C32" s="22">
        <v>785</v>
      </c>
      <c r="D32" s="22"/>
      <c r="E32" s="5">
        <f t="shared" si="0"/>
        <v>0</v>
      </c>
      <c r="F32" s="22"/>
      <c r="G32" s="22"/>
      <c r="H32" s="22"/>
      <c r="I32" s="158"/>
      <c r="J32" s="75"/>
      <c r="K32" s="75"/>
      <c r="L32" s="171">
        <f>+J32*'Цени капацитети'!$F$45+K32*'Цени капацитети'!$F$59</f>
        <v>0</v>
      </c>
      <c r="M32" s="171">
        <f>+J32*'Цени капацитети'!$E$45+K32*'Цени капацитети'!$E$59+$P$3*'Цени капацитети'!$E$21+$Q$3*'Цени капацитети'!$E$4</f>
        <v>0</v>
      </c>
      <c r="N32" s="76">
        <f t="shared" si="4"/>
        <v>0</v>
      </c>
      <c r="O32" s="122"/>
    </row>
    <row r="33" spans="2:15" x14ac:dyDescent="0.25">
      <c r="B33" s="47">
        <f t="shared" si="3"/>
        <v>45656</v>
      </c>
      <c r="C33" s="22">
        <v>785</v>
      </c>
      <c r="D33" s="22"/>
      <c r="E33" s="5">
        <f t="shared" si="0"/>
        <v>0</v>
      </c>
      <c r="F33" s="22"/>
      <c r="G33" s="22"/>
      <c r="H33" s="22"/>
      <c r="I33" s="158"/>
      <c r="J33" s="75"/>
      <c r="K33" s="75"/>
      <c r="L33" s="171">
        <f>+J33*'Цени капацитети'!$F$45+K33*'Цени капацитети'!$F$59</f>
        <v>0</v>
      </c>
      <c r="M33" s="171">
        <f>+J33*'Цени капацитети'!$E$45+K33*'Цени капацитети'!$E$59+$P$3*'Цени капацитети'!$E$21+$Q$3*'Цени капацитети'!$E$4</f>
        <v>0</v>
      </c>
      <c r="N33" s="76">
        <f t="shared" si="4"/>
        <v>0</v>
      </c>
      <c r="O33" s="122"/>
    </row>
    <row r="34" spans="2:15" x14ac:dyDescent="0.25">
      <c r="B34" s="47">
        <f t="shared" si="3"/>
        <v>45657</v>
      </c>
      <c r="C34" s="22">
        <v>785</v>
      </c>
      <c r="D34" s="22"/>
      <c r="E34" s="5">
        <f t="shared" si="0"/>
        <v>0</v>
      </c>
      <c r="F34" s="22"/>
      <c r="G34" s="22"/>
      <c r="H34" s="22"/>
      <c r="I34" s="158"/>
      <c r="J34" s="75"/>
      <c r="K34" s="75"/>
      <c r="L34" s="171">
        <f>+J34*'Цени капацитети'!$F$45+K34*'Цени капацитети'!$F$59</f>
        <v>0</v>
      </c>
      <c r="M34" s="171">
        <f>+J34*'Цени капацитети'!$E$45+K34*'Цени капацитети'!$E$59+$P$3*'Цени капацитети'!$E$21+$Q$3*'Цени капацитети'!$E$4</f>
        <v>0</v>
      </c>
      <c r="N34" s="76">
        <f t="shared" si="4"/>
        <v>0</v>
      </c>
      <c r="O34" s="18">
        <f>SUM(O4:O33)</f>
        <v>1.9999999999527063E-3</v>
      </c>
    </row>
    <row r="35" spans="2:15" x14ac:dyDescent="0.25">
      <c r="D35" s="1">
        <f>SUM(D4:D34)</f>
        <v>30450.308999999997</v>
      </c>
      <c r="E35" s="1">
        <f>SUM(E4:E34)</f>
        <v>27908.162</v>
      </c>
      <c r="G35" s="16">
        <f>SUM(G4:G34)</f>
        <v>2542.1470000000004</v>
      </c>
      <c r="H35" s="16"/>
      <c r="I35" s="18">
        <f>SUM(I4:I34)</f>
        <v>0</v>
      </c>
      <c r="J35" s="18">
        <f>SUM(J4:J34)</f>
        <v>310</v>
      </c>
      <c r="K35" s="18">
        <f>SUM(K4:K34)</f>
        <v>2131.6</v>
      </c>
      <c r="L35" s="18">
        <f>SUM(L4:L34)</f>
        <v>7006.5190400000001</v>
      </c>
      <c r="M35" s="171">
        <f>+J35*'Цени капацитети'!$E$50+K35*'Цени капацитети'!$E$64+$P$3*'Цени капацитети'!$E$26</f>
        <v>6058.94992</v>
      </c>
    </row>
    <row r="36" spans="2:15" x14ac:dyDescent="0.25">
      <c r="E36" s="1">
        <f>+E35/31</f>
        <v>900.2632903225807</v>
      </c>
      <c r="G36" s="1">
        <f>+G35/31</f>
        <v>82.004741935483878</v>
      </c>
    </row>
  </sheetData>
  <mergeCells count="3">
    <mergeCell ref="B2:I2"/>
    <mergeCell ref="K2:M2"/>
    <mergeCell ref="U2:V4"/>
  </mergeCells>
  <pageMargins left="1.0899999999999999" right="0.7" top="0.75" bottom="0.75" header="0.3" footer="0.3"/>
  <pageSetup scale="9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39"/>
  <sheetViews>
    <sheetView zoomScale="70" zoomScaleNormal="70" workbookViewId="0">
      <selection activeCell="C19" sqref="C19:E19"/>
    </sheetView>
  </sheetViews>
  <sheetFormatPr defaultColWidth="8.85546875" defaultRowHeight="15" x14ac:dyDescent="0.25"/>
  <cols>
    <col min="1" max="1" width="8.85546875" style="1"/>
    <col min="2" max="2" width="12.140625" style="1" bestFit="1" customWidth="1"/>
    <col min="3" max="3" width="13.28515625" style="1" bestFit="1" customWidth="1"/>
    <col min="4" max="4" width="11.42578125" style="1" bestFit="1" customWidth="1"/>
    <col min="5" max="5" width="9.28515625" style="1" bestFit="1" customWidth="1"/>
    <col min="6" max="7" width="15.42578125" style="1" bestFit="1" customWidth="1"/>
    <col min="8" max="8" width="13" style="1" customWidth="1"/>
    <col min="9" max="10" width="17.5703125" style="69" customWidth="1"/>
    <col min="11" max="11" width="9.5703125" style="1" bestFit="1" customWidth="1"/>
    <col min="12" max="12" width="14.7109375" style="1" bestFit="1" customWidth="1"/>
    <col min="13" max="13" width="19.28515625" style="1" bestFit="1" customWidth="1"/>
    <col min="14" max="14" width="11.28515625" style="1" bestFit="1" customWidth="1"/>
    <col min="15" max="16384" width="8.85546875" style="1"/>
  </cols>
  <sheetData>
    <row r="1" spans="1:14" ht="15.75" thickBot="1" x14ac:dyDescent="0.3">
      <c r="F1" s="77"/>
      <c r="G1" s="77"/>
      <c r="H1" s="78"/>
      <c r="I1" s="78"/>
      <c r="J1" s="13"/>
      <c r="L1" s="653" t="s">
        <v>28</v>
      </c>
      <c r="M1" s="653"/>
    </row>
    <row r="2" spans="1:14" ht="28.9" customHeight="1" x14ac:dyDescent="0.25">
      <c r="B2" s="658" t="s">
        <v>115</v>
      </c>
      <c r="C2" s="659"/>
      <c r="D2" s="659"/>
      <c r="E2" s="660"/>
      <c r="F2" s="232"/>
      <c r="G2" s="652" t="s">
        <v>70</v>
      </c>
      <c r="H2" s="652"/>
      <c r="I2" s="652"/>
      <c r="J2" s="52"/>
      <c r="L2" s="2" t="s">
        <v>99</v>
      </c>
      <c r="M2" s="2" t="s">
        <v>80</v>
      </c>
      <c r="N2" s="2" t="s">
        <v>111</v>
      </c>
    </row>
    <row r="3" spans="1:14" ht="43.5" x14ac:dyDescent="0.25">
      <c r="B3" s="12" t="s">
        <v>8</v>
      </c>
      <c r="C3" s="2" t="s">
        <v>210</v>
      </c>
      <c r="D3" s="13" t="s">
        <v>26</v>
      </c>
      <c r="E3" s="79" t="s">
        <v>6</v>
      </c>
      <c r="F3" s="119" t="s">
        <v>136</v>
      </c>
      <c r="G3" s="119" t="s">
        <v>137</v>
      </c>
      <c r="H3" s="77" t="s">
        <v>102</v>
      </c>
      <c r="I3" s="77" t="s">
        <v>82</v>
      </c>
      <c r="J3" s="77" t="s">
        <v>103</v>
      </c>
      <c r="K3" s="69" t="s">
        <v>121</v>
      </c>
      <c r="L3" s="245"/>
      <c r="M3" s="245">
        <v>3</v>
      </c>
      <c r="N3" s="240"/>
    </row>
    <row r="4" spans="1:14" x14ac:dyDescent="0.25">
      <c r="B4" s="47">
        <v>45627</v>
      </c>
      <c r="C4" s="49">
        <v>251.23699999999999</v>
      </c>
      <c r="D4" s="49">
        <v>0</v>
      </c>
      <c r="E4" s="140">
        <v>0</v>
      </c>
      <c r="F4" s="75"/>
      <c r="G4" s="75"/>
      <c r="H4" s="171">
        <f>+F4*'Цени капацитети'!$F$45+G4*'Цени капацитети'!$F$59</f>
        <v>0</v>
      </c>
      <c r="I4" s="171">
        <f>+F4*'Цени капацитети'!$E$45+G4*'Цени капацитети'!$E$59</f>
        <v>0</v>
      </c>
      <c r="J4" s="113">
        <f>$M$3*'Цени капацитети'!$E$21+$L$3*'Цени капацитети'!$E$4+$N$3*'Цени капацитети'!$E$8+I4</f>
        <v>7.6229999999999993</v>
      </c>
      <c r="K4" s="123"/>
    </row>
    <row r="5" spans="1:14" x14ac:dyDescent="0.25">
      <c r="B5" s="47">
        <f>+B4+1</f>
        <v>45628</v>
      </c>
      <c r="C5" s="49">
        <v>163.04599999999999</v>
      </c>
      <c r="D5" s="49">
        <v>0</v>
      </c>
      <c r="E5" s="140">
        <v>0</v>
      </c>
      <c r="F5" s="217"/>
      <c r="G5" s="217"/>
      <c r="H5" s="171">
        <f>+F5*'Цени капацитети'!$F$45+G5*'Цени капацитети'!$F$59</f>
        <v>0</v>
      </c>
      <c r="I5" s="171">
        <f>+F5*'Цени капацитети'!$E$45+G5*'Цени капацитети'!$E$59</f>
        <v>0</v>
      </c>
      <c r="J5" s="113">
        <f>$M$3*'Цени капацитети'!$E$21+$L$3*'Цени капацитети'!$E$4+$N$3*'Цени капацитети'!$E$8+I5</f>
        <v>7.6229999999999993</v>
      </c>
      <c r="K5" s="123"/>
    </row>
    <row r="6" spans="1:14" x14ac:dyDescent="0.25">
      <c r="B6" s="47">
        <f t="shared" ref="B6:B34" si="0">+B5+1</f>
        <v>45629</v>
      </c>
      <c r="C6" s="49">
        <v>196.55799999999999</v>
      </c>
      <c r="D6" s="49">
        <v>0</v>
      </c>
      <c r="E6" s="140">
        <v>0</v>
      </c>
      <c r="F6" s="217"/>
      <c r="G6" s="217"/>
      <c r="H6" s="171">
        <f>+F6*'Цени капацитети'!$F$45+G6*'Цени капацитети'!$F$59</f>
        <v>0</v>
      </c>
      <c r="I6" s="171">
        <f>+F6*'Цени капацитети'!$E$45+G6*'Цени капацитети'!$E$59</f>
        <v>0</v>
      </c>
      <c r="J6" s="113">
        <f>$M$3*'Цени капацитети'!$E$21+$L$3*'Цени капацитети'!$E$4+$N$3*'Цени капацитети'!$E$8+I6</f>
        <v>7.6229999999999993</v>
      </c>
      <c r="K6" s="123"/>
      <c r="L6" s="654" t="s">
        <v>105</v>
      </c>
      <c r="M6" s="654"/>
    </row>
    <row r="7" spans="1:14" x14ac:dyDescent="0.25">
      <c r="B7" s="47">
        <f t="shared" si="0"/>
        <v>45630</v>
      </c>
      <c r="C7" s="49">
        <v>297</v>
      </c>
      <c r="D7" s="49">
        <v>0</v>
      </c>
      <c r="E7" s="140">
        <v>1.0860000000000127</v>
      </c>
      <c r="F7" s="217"/>
      <c r="G7" s="217"/>
      <c r="H7" s="171">
        <f>+F7*'Цени капацитети'!$F$45+G7*'Цени капацитети'!$F$59</f>
        <v>0</v>
      </c>
      <c r="I7" s="171">
        <f>+F7*'Цени капацитети'!$E$45+G7*'Цени капацитети'!$E$59</f>
        <v>0</v>
      </c>
      <c r="J7" s="113">
        <f>$M$3*'Цени капацитети'!$E$21+$L$3*'Цени капацитети'!$E$4+$N$3*'Цени капацитети'!$E$8+I7</f>
        <v>7.6229999999999993</v>
      </c>
      <c r="K7" s="123"/>
      <c r="L7" s="654"/>
      <c r="M7" s="654"/>
    </row>
    <row r="8" spans="1:14" x14ac:dyDescent="0.25">
      <c r="A8" s="1" t="s">
        <v>138</v>
      </c>
      <c r="B8" s="47">
        <f t="shared" si="0"/>
        <v>45631</v>
      </c>
      <c r="C8" s="49">
        <v>305.67899999999997</v>
      </c>
      <c r="D8" s="49">
        <v>0</v>
      </c>
      <c r="E8" s="140">
        <v>3</v>
      </c>
      <c r="F8" s="217"/>
      <c r="G8" s="217"/>
      <c r="H8" s="171">
        <f>+F8*'Цени капацитети'!$F$45+G8*'Цени капацитети'!$F$59</f>
        <v>0</v>
      </c>
      <c r="I8" s="171">
        <f>+F8*'Цени капацитети'!$E$45+G8*'Цени капацитети'!$E$59</f>
        <v>0</v>
      </c>
      <c r="J8" s="113">
        <f>$M$3*'Цени капацитети'!$E$21+$L$3*'Цени капацитети'!$E$4+$N$3*'Цени капацитети'!$E$8+I8</f>
        <v>7.6229999999999993</v>
      </c>
      <c r="K8" s="123"/>
      <c r="L8" s="654"/>
      <c r="M8" s="654"/>
    </row>
    <row r="9" spans="1:14" x14ac:dyDescent="0.25">
      <c r="B9" s="47">
        <f t="shared" si="0"/>
        <v>45632</v>
      </c>
      <c r="C9" s="49">
        <v>293.74099999999999</v>
      </c>
      <c r="D9" s="49">
        <v>25</v>
      </c>
      <c r="E9" s="140">
        <v>0</v>
      </c>
      <c r="F9" s="217"/>
      <c r="G9" s="217">
        <v>23</v>
      </c>
      <c r="H9" s="171">
        <f>+F9*'Цени капацитети'!$F$45+G9*'Цени капацитети'!$F$59</f>
        <v>67.721199999999996</v>
      </c>
      <c r="I9" s="171">
        <f>+F9*'Цени капацитети'!$E$45+G9*'Цени капацитети'!$E$59</f>
        <v>104.3625</v>
      </c>
      <c r="J9" s="113">
        <f>$M$3*'Цени капацитети'!$E$21+$L$3*'Цени капацитети'!$E$4+$N$3*'Цени капацитети'!$E$8+I9</f>
        <v>111.9855</v>
      </c>
      <c r="K9" s="123"/>
      <c r="L9" s="111" t="s">
        <v>18</v>
      </c>
      <c r="M9" s="112" t="s">
        <v>6</v>
      </c>
    </row>
    <row r="10" spans="1:14" x14ac:dyDescent="0.25">
      <c r="B10" s="47">
        <f t="shared" si="0"/>
        <v>45633</v>
      </c>
      <c r="C10" s="49">
        <v>347</v>
      </c>
      <c r="D10" s="49">
        <v>3</v>
      </c>
      <c r="E10" s="140">
        <v>1.6659999999999968</v>
      </c>
      <c r="F10" s="217"/>
      <c r="G10" s="217"/>
      <c r="H10" s="171">
        <f>+F10*'Цени капацитети'!$F$45+G10*'Цени капацитети'!$F$59</f>
        <v>0</v>
      </c>
      <c r="I10" s="171">
        <f>+F10*'Цени капацитети'!$E$45+G10*'Цени капацитети'!$E$59</f>
        <v>0</v>
      </c>
      <c r="J10" s="113">
        <f>$M$3*'Цени капацитети'!$E$21+$L$3*'Цени капацитети'!$E$4+$N$3*'Цени капацитети'!$E$8+I10</f>
        <v>7.6229999999999993</v>
      </c>
      <c r="K10" s="123"/>
      <c r="L10" s="111"/>
      <c r="M10" s="111"/>
    </row>
    <row r="11" spans="1:14" x14ac:dyDescent="0.25">
      <c r="B11" s="47">
        <f t="shared" si="0"/>
        <v>45634</v>
      </c>
      <c r="C11" s="49">
        <v>289.95499999999998</v>
      </c>
      <c r="D11" s="49">
        <v>3</v>
      </c>
      <c r="E11" s="140">
        <v>0</v>
      </c>
      <c r="F11" s="217"/>
      <c r="G11" s="217"/>
      <c r="H11" s="171">
        <f>+F11*'Цени капацитети'!$F$45+G11*'Цени капацитети'!$F$59</f>
        <v>0</v>
      </c>
      <c r="I11" s="171">
        <f>+F11*'Цени капацитети'!$E$45+G11*'Цени капацитети'!$E$59</f>
        <v>0</v>
      </c>
      <c r="J11" s="113">
        <f>$M$3*'Цени капацитети'!$E$21+$L$3*'Цени капацитети'!$E$4+$N$3*'Цени капацитети'!$E$8+I11</f>
        <v>7.6229999999999993</v>
      </c>
      <c r="K11" s="123"/>
    </row>
    <row r="12" spans="1:14" x14ac:dyDescent="0.25">
      <c r="B12" s="47">
        <f t="shared" si="0"/>
        <v>45635</v>
      </c>
      <c r="C12" s="49">
        <v>262.69099999999997</v>
      </c>
      <c r="D12" s="49">
        <v>0</v>
      </c>
      <c r="E12" s="140">
        <v>0</v>
      </c>
      <c r="F12" s="217"/>
      <c r="G12" s="217"/>
      <c r="H12" s="171">
        <f>+F12*'Цени капацитети'!$F$45+G12*'Цени капацитети'!$F$59</f>
        <v>0</v>
      </c>
      <c r="I12" s="171">
        <f>+F12*'Цени капацитети'!$E$45+G12*'Цени капацитети'!$E$59</f>
        <v>0</v>
      </c>
      <c r="J12" s="113">
        <f>$M$3*'Цени капацитети'!$E$21+$L$3*'Цени капацитети'!$E$4+$N$3*'Цени капацитети'!$E$8+I12</f>
        <v>7.6229999999999993</v>
      </c>
      <c r="K12" s="123"/>
    </row>
    <row r="13" spans="1:14" x14ac:dyDescent="0.25">
      <c r="B13" s="47">
        <f t="shared" si="0"/>
        <v>45636</v>
      </c>
      <c r="C13" s="49">
        <v>308.04500000000002</v>
      </c>
      <c r="D13" s="49">
        <v>0</v>
      </c>
      <c r="E13" s="140">
        <v>3</v>
      </c>
      <c r="F13" s="217"/>
      <c r="G13" s="217"/>
      <c r="H13" s="171">
        <f>+F13*'Цени капацитети'!$F$45+G13*'Цени капацитети'!$F$59</f>
        <v>0</v>
      </c>
      <c r="I13" s="171">
        <f>+F13*'Цени капацитети'!$E$45+G13*'Цени капацитети'!$E$59</f>
        <v>0</v>
      </c>
      <c r="J13" s="113">
        <f>$M$3*'Цени капацитети'!$E$21+$L$3*'Цени капацитети'!$E$4+$N$3*'Цени капацитети'!$E$8+I13</f>
        <v>7.6229999999999993</v>
      </c>
      <c r="K13" s="123"/>
      <c r="L13" s="23"/>
    </row>
    <row r="14" spans="1:14" x14ac:dyDescent="0.25">
      <c r="B14" s="47">
        <f t="shared" si="0"/>
        <v>45637</v>
      </c>
      <c r="C14" s="49">
        <v>292.52499999999998</v>
      </c>
      <c r="D14" s="49">
        <v>0</v>
      </c>
      <c r="E14" s="140">
        <v>0</v>
      </c>
      <c r="F14" s="217"/>
      <c r="G14" s="217"/>
      <c r="H14" s="171">
        <f>+F14*'Цени капацитети'!$F$45+G14*'Цени капацитети'!$F$59</f>
        <v>0</v>
      </c>
      <c r="I14" s="171">
        <f>+F14*'Цени капацитети'!$E$45+G14*'Цени капацитети'!$E$59</f>
        <v>0</v>
      </c>
      <c r="J14" s="113">
        <f>$M$3*'Цени капацитети'!$E$21+$L$3*'Цени капацитети'!$E$4+$N$3*'Цени капацитети'!$E$8+I14</f>
        <v>7.6229999999999993</v>
      </c>
      <c r="K14" s="123"/>
    </row>
    <row r="15" spans="1:14" x14ac:dyDescent="0.25">
      <c r="B15" s="47">
        <f t="shared" si="0"/>
        <v>45638</v>
      </c>
      <c r="C15" s="49">
        <v>226.285</v>
      </c>
      <c r="D15" s="49">
        <v>0</v>
      </c>
      <c r="E15" s="140">
        <v>0</v>
      </c>
      <c r="F15" s="217"/>
      <c r="G15" s="217"/>
      <c r="H15" s="171">
        <f>+F15*'Цени капацитети'!$F$45+G15*'Цени капацитети'!$F$59</f>
        <v>0</v>
      </c>
      <c r="I15" s="171">
        <f>+F15*'Цени капацитети'!$E$45+G15*'Цени капацитети'!$E$59</f>
        <v>0</v>
      </c>
      <c r="J15" s="113">
        <f>$M$3*'Цени капацитети'!$E$21+$L$3*'Цени капацитети'!$E$4+$N$3*'Цени капацитети'!$E$8+I15</f>
        <v>7.6229999999999993</v>
      </c>
      <c r="K15" s="123"/>
    </row>
    <row r="16" spans="1:14" x14ac:dyDescent="0.25">
      <c r="B16" s="47">
        <f t="shared" si="0"/>
        <v>45639</v>
      </c>
      <c r="C16" s="49">
        <v>198.13900000000001</v>
      </c>
      <c r="D16" s="49">
        <v>0</v>
      </c>
      <c r="E16" s="140">
        <v>0</v>
      </c>
      <c r="F16" s="217"/>
      <c r="G16" s="217"/>
      <c r="H16" s="171">
        <f>+F16*'Цени капацитети'!$F$45+G16*'Цени капацитети'!$F$59</f>
        <v>0</v>
      </c>
      <c r="I16" s="171">
        <f>+F16*'Цени капацитети'!$E$45+G16*'Цени капацитети'!$E$59</f>
        <v>0</v>
      </c>
      <c r="J16" s="113">
        <f>$M$3*'Цени капацитети'!$E$21+$L$3*'Цени капацитети'!$E$4+$N$3*'Цени капацитети'!$E$8+I16</f>
        <v>7.6229999999999993</v>
      </c>
      <c r="K16" s="123"/>
    </row>
    <row r="17" spans="2:13" x14ac:dyDescent="0.25">
      <c r="B17" s="47">
        <f t="shared" si="0"/>
        <v>45640</v>
      </c>
      <c r="C17" s="49">
        <v>197.96700000000001</v>
      </c>
      <c r="D17" s="49">
        <v>0</v>
      </c>
      <c r="E17" s="140">
        <v>0</v>
      </c>
      <c r="F17" s="217"/>
      <c r="G17" s="217"/>
      <c r="H17" s="171">
        <f>+F17*'Цени капацитети'!$F$45+G17*'Цени капацитети'!$F$59</f>
        <v>0</v>
      </c>
      <c r="I17" s="171">
        <f>+F17*'Цени капацитети'!$E$45+G17*'Цени капацитети'!$E$59</f>
        <v>0</v>
      </c>
      <c r="J17" s="113">
        <f>$M$3*'Цени капацитети'!$E$21+$L$3*'Цени капацитети'!$E$4+$N$3*'Цени капацитети'!$E$8+I17</f>
        <v>7.6229999999999993</v>
      </c>
      <c r="K17" s="123"/>
    </row>
    <row r="18" spans="2:13" x14ac:dyDescent="0.25">
      <c r="B18" s="47">
        <f t="shared" si="0"/>
        <v>45641</v>
      </c>
      <c r="C18" s="49">
        <v>224.07</v>
      </c>
      <c r="D18" s="49">
        <v>0</v>
      </c>
      <c r="E18" s="140">
        <v>0</v>
      </c>
      <c r="F18" s="217"/>
      <c r="G18" s="217"/>
      <c r="H18" s="171">
        <f>+F18*'Цени капацитети'!$F$45+G18*'Цени капацитети'!$F$59</f>
        <v>0</v>
      </c>
      <c r="I18" s="171">
        <f>+F18*'Цени капацитети'!$E$45+G18*'Цени капацитети'!$E$59</f>
        <v>0</v>
      </c>
      <c r="J18" s="113">
        <f>$M$3*'Цени капацитети'!$E$21+$L$3*'Цени капацитети'!$E$4+$N$3*'Цени капацитети'!$E$8+I18</f>
        <v>7.6229999999999993</v>
      </c>
      <c r="K18" s="123"/>
    </row>
    <row r="19" spans="2:13" x14ac:dyDescent="0.25">
      <c r="B19" s="47">
        <f t="shared" si="0"/>
        <v>45642</v>
      </c>
      <c r="C19" s="49">
        <v>194.655</v>
      </c>
      <c r="D19" s="49">
        <v>3</v>
      </c>
      <c r="E19" s="140">
        <v>3</v>
      </c>
      <c r="F19" s="217"/>
      <c r="G19" s="217"/>
      <c r="H19" s="171">
        <f>+F19*'Цени капацитети'!$F$45+G19*'Цени капацитети'!$F$59</f>
        <v>0</v>
      </c>
      <c r="I19" s="171">
        <f>+F19*'Цени капацитети'!$E$45+G19*'Цени капацитети'!$E$59</f>
        <v>0</v>
      </c>
      <c r="J19" s="113">
        <f>$M$3*'Цени капацитети'!$E$21+$L$3*'Цени капацитети'!$E$4+$N$3*'Цени капацитети'!$E$8+I19</f>
        <v>7.6229999999999993</v>
      </c>
      <c r="K19" s="123"/>
      <c r="M19" s="3"/>
    </row>
    <row r="20" spans="2:13" x14ac:dyDescent="0.25">
      <c r="B20" s="47">
        <f t="shared" si="0"/>
        <v>45643</v>
      </c>
      <c r="C20" s="49"/>
      <c r="D20" s="49"/>
      <c r="E20" s="140"/>
      <c r="F20" s="217"/>
      <c r="G20" s="217"/>
      <c r="H20" s="171">
        <f>+F20*'Цени капацитети'!$F$45+G20*'Цени капацитети'!$F$59</f>
        <v>0</v>
      </c>
      <c r="I20" s="171">
        <f>+F20*'Цени капацитети'!$E$45+G20*'Цени капацитети'!$E$59</f>
        <v>0</v>
      </c>
      <c r="J20" s="113">
        <f>$M$3*'Цени капацитети'!$E$21+$L$3*'Цени капацитети'!$E$4+$N$3*'Цени капацитети'!$E$8+I20</f>
        <v>7.6229999999999993</v>
      </c>
      <c r="K20" s="123"/>
      <c r="M20" s="17"/>
    </row>
    <row r="21" spans="2:13" x14ac:dyDescent="0.25">
      <c r="B21" s="47">
        <f t="shared" si="0"/>
        <v>45644</v>
      </c>
      <c r="C21" s="49"/>
      <c r="D21" s="49"/>
      <c r="E21" s="140"/>
      <c r="F21" s="217"/>
      <c r="G21" s="217"/>
      <c r="H21" s="171">
        <f>+F21*'Цени капацитети'!$F$45+G21*'Цени капацитети'!$F$59</f>
        <v>0</v>
      </c>
      <c r="I21" s="171">
        <f>+F21*'Цени капацитети'!$E$45+G21*'Цени капацитети'!$E$59</f>
        <v>0</v>
      </c>
      <c r="J21" s="113">
        <f>$M$3*'Цени капацитети'!$E$21+$L$3*'Цени капацитети'!$E$4+$N$3*'Цени капацитети'!$E$8+I21</f>
        <v>7.6229999999999993</v>
      </c>
      <c r="K21" s="123"/>
      <c r="M21" s="17"/>
    </row>
    <row r="22" spans="2:13" x14ac:dyDescent="0.25">
      <c r="B22" s="47">
        <f t="shared" si="0"/>
        <v>45645</v>
      </c>
      <c r="C22" s="49"/>
      <c r="D22" s="49"/>
      <c r="E22" s="140"/>
      <c r="F22" s="217"/>
      <c r="G22" s="217"/>
      <c r="H22" s="171">
        <f>+F22*'Цени капацитети'!$F$45+G22*'Цени капацитети'!$F$59</f>
        <v>0</v>
      </c>
      <c r="I22" s="171">
        <f>+F22*'Цени капацитети'!$E$45+G22*'Цени капацитети'!$E$59</f>
        <v>0</v>
      </c>
      <c r="J22" s="113">
        <f>$M$3*'Цени капацитети'!$E$21+$L$3*'Цени капацитети'!$E$4+$N$3*'Цени капацитети'!$E$8+I22</f>
        <v>7.6229999999999993</v>
      </c>
      <c r="K22" s="123"/>
    </row>
    <row r="23" spans="2:13" x14ac:dyDescent="0.25">
      <c r="B23" s="47">
        <f t="shared" si="0"/>
        <v>45646</v>
      </c>
      <c r="C23" s="49"/>
      <c r="D23" s="49"/>
      <c r="E23" s="140"/>
      <c r="F23" s="217"/>
      <c r="G23" s="57"/>
      <c r="H23" s="171">
        <f>+F23*'Цени капацитети'!$F$45+G23*'Цени капацитети'!$F$59</f>
        <v>0</v>
      </c>
      <c r="I23" s="171">
        <f>+F23*'Цени капацитети'!$E$45+G23*'Цени капацитети'!$E$59</f>
        <v>0</v>
      </c>
      <c r="J23" s="113">
        <f>$M$3*'Цени капацитети'!$E$21+$L$3*'Цени капацитети'!$E$4+$N$3*'Цени капацитети'!$E$8+I23</f>
        <v>7.6229999999999993</v>
      </c>
      <c r="K23" s="123"/>
    </row>
    <row r="24" spans="2:13" x14ac:dyDescent="0.25">
      <c r="B24" s="47">
        <f t="shared" si="0"/>
        <v>45647</v>
      </c>
      <c r="C24" s="49"/>
      <c r="D24" s="49"/>
      <c r="E24" s="140"/>
      <c r="F24" s="57"/>
      <c r="G24" s="57"/>
      <c r="H24" s="171">
        <f>+F24*'Цени капацитети'!$F$45+G24*'Цени капацитети'!$F$59</f>
        <v>0</v>
      </c>
      <c r="I24" s="171">
        <f>+F24*'Цени капацитети'!$E$45+G24*'Цени капацитети'!$E$59</f>
        <v>0</v>
      </c>
      <c r="J24" s="113">
        <f>$M$3*'Цени капацитети'!$E$21+$L$3*'Цени капацитети'!$E$4+$N$3*'Цени капацитети'!$E$8+I24</f>
        <v>7.6229999999999993</v>
      </c>
      <c r="K24" s="123"/>
    </row>
    <row r="25" spans="2:13" x14ac:dyDescent="0.25">
      <c r="B25" s="47">
        <f t="shared" si="0"/>
        <v>45648</v>
      </c>
      <c r="C25" s="49"/>
      <c r="D25" s="49"/>
      <c r="E25" s="140"/>
      <c r="F25" s="57"/>
      <c r="G25" s="57"/>
      <c r="H25" s="171">
        <f>+F25*'Цени капацитети'!$F$45+G25*'Цени капацитети'!$F$59</f>
        <v>0</v>
      </c>
      <c r="I25" s="171">
        <f>+F25*'Цени капацитети'!$E$45+G25*'Цени капацитети'!$E$59</f>
        <v>0</v>
      </c>
      <c r="J25" s="113">
        <f>$M$3*'Цени капацитети'!$E$21+$L$3*'Цени капацитети'!$E$4+$N$3*'Цени капацитети'!$E$8+I25</f>
        <v>7.6229999999999993</v>
      </c>
      <c r="K25" s="123"/>
    </row>
    <row r="26" spans="2:13" x14ac:dyDescent="0.25">
      <c r="B26" s="47">
        <f t="shared" si="0"/>
        <v>45649</v>
      </c>
      <c r="C26" s="49"/>
      <c r="D26" s="49"/>
      <c r="E26" s="140"/>
      <c r="F26" s="57"/>
      <c r="G26" s="57"/>
      <c r="H26" s="171">
        <f>+F26*'Цени капацитети'!$F$45+G26*'Цени капацитети'!$F$59</f>
        <v>0</v>
      </c>
      <c r="I26" s="171">
        <f>+F26*'Цени капацитети'!$E$45+G26*'Цени капацитети'!$E$59</f>
        <v>0</v>
      </c>
      <c r="J26" s="113">
        <f>$M$3*'Цени капацитети'!$E$21+$L$3*'Цени капацитети'!$E$4+$N$3*'Цени капацитети'!$E$8+I26</f>
        <v>7.6229999999999993</v>
      </c>
      <c r="K26" s="123"/>
    </row>
    <row r="27" spans="2:13" x14ac:dyDescent="0.25">
      <c r="B27" s="47">
        <f t="shared" si="0"/>
        <v>45650</v>
      </c>
      <c r="C27" s="49"/>
      <c r="D27" s="49"/>
      <c r="E27" s="140"/>
      <c r="F27" s="57"/>
      <c r="G27" s="57"/>
      <c r="H27" s="171">
        <f>+F27*'Цени капацитети'!$F$45+G27*'Цени капацитети'!$F$59</f>
        <v>0</v>
      </c>
      <c r="I27" s="171">
        <f>+F27*'Цени капацитети'!$E$45+G27*'Цени капацитети'!$E$59</f>
        <v>0</v>
      </c>
      <c r="J27" s="113">
        <f>$M$3*'Цени капацитети'!$E$21+$L$3*'Цени капацитети'!$E$4+$N$3*'Цени капацитети'!$E$8+I27</f>
        <v>7.6229999999999993</v>
      </c>
      <c r="K27" s="123"/>
    </row>
    <row r="28" spans="2:13" x14ac:dyDescent="0.25">
      <c r="B28" s="47">
        <f t="shared" si="0"/>
        <v>45651</v>
      </c>
      <c r="C28" s="49"/>
      <c r="D28" s="49"/>
      <c r="E28" s="140"/>
      <c r="F28" s="57"/>
      <c r="G28" s="57"/>
      <c r="H28" s="171">
        <f>+F28*'Цени капацитети'!$F$45+G28*'Цени капацитети'!$F$59</f>
        <v>0</v>
      </c>
      <c r="I28" s="171">
        <f>+F28*'Цени капацитети'!$E$45+G28*'Цени капацитети'!$E$59</f>
        <v>0</v>
      </c>
      <c r="J28" s="113">
        <f>$M$3*'Цени капацитети'!$E$21+$L$3*'Цени капацитети'!$E$4+$N$3*'Цени капацитети'!$E$8+I28</f>
        <v>7.6229999999999993</v>
      </c>
      <c r="K28" s="123"/>
    </row>
    <row r="29" spans="2:13" x14ac:dyDescent="0.25">
      <c r="B29" s="47">
        <f t="shared" si="0"/>
        <v>45652</v>
      </c>
      <c r="C29" s="49"/>
      <c r="D29" s="49"/>
      <c r="E29" s="140"/>
      <c r="F29" s="57"/>
      <c r="G29" s="57"/>
      <c r="H29" s="171">
        <f>+F29*'Цени капацитети'!$F$45+G29*'Цени капацитети'!$F$59</f>
        <v>0</v>
      </c>
      <c r="I29" s="171">
        <f>+F29*'Цени капацитети'!$E$45+G29*'Цени капацитети'!$E$59</f>
        <v>0</v>
      </c>
      <c r="J29" s="113">
        <f>$M$3*'Цени капацитети'!$E$21+$L$3*'Цени капацитети'!$E$4+$N$3*'Цени капацитети'!$E$8+I29</f>
        <v>7.6229999999999993</v>
      </c>
      <c r="K29" s="123"/>
    </row>
    <row r="30" spans="2:13" x14ac:dyDescent="0.25">
      <c r="B30" s="47">
        <f t="shared" si="0"/>
        <v>45653</v>
      </c>
      <c r="C30" s="49"/>
      <c r="D30" s="49"/>
      <c r="E30" s="140"/>
      <c r="F30" s="57"/>
      <c r="G30" s="57"/>
      <c r="H30" s="171">
        <f>+F30*'Цени капацитети'!$F$45+G30*'Цени капацитети'!$F$59</f>
        <v>0</v>
      </c>
      <c r="I30" s="171">
        <f>+F30*'Цени капацитети'!$E$45+G30*'Цени капацитети'!$E$59</f>
        <v>0</v>
      </c>
      <c r="J30" s="113">
        <f>$M$3*'Цени капацитети'!$E$21+$L$3*'Цени капацитети'!$E$4+$N$3*'Цени капацитети'!$E$8+I30</f>
        <v>7.6229999999999993</v>
      </c>
      <c r="K30" s="123"/>
    </row>
    <row r="31" spans="2:13" x14ac:dyDescent="0.25">
      <c r="B31" s="47">
        <f t="shared" si="0"/>
        <v>45654</v>
      </c>
      <c r="C31" s="49"/>
      <c r="D31" s="49"/>
      <c r="E31" s="140"/>
      <c r="F31" s="57"/>
      <c r="G31" s="57"/>
      <c r="H31" s="171">
        <f>+F31*'Цени капацитети'!$F$45+G31*'Цени капацитети'!$F$59</f>
        <v>0</v>
      </c>
      <c r="I31" s="171">
        <f>+F31*'Цени капацитети'!$E$45+G31*'Цени капацитети'!$E$59</f>
        <v>0</v>
      </c>
      <c r="J31" s="113">
        <f>$M$3*'Цени капацитети'!$E$21+$L$3*'Цени капацитети'!$E$4+$N$3*'Цени капацитети'!$E$8+I31</f>
        <v>7.6229999999999993</v>
      </c>
      <c r="K31" s="123"/>
    </row>
    <row r="32" spans="2:13" x14ac:dyDescent="0.25">
      <c r="B32" s="47">
        <f t="shared" si="0"/>
        <v>45655</v>
      </c>
      <c r="C32" s="49"/>
      <c r="D32" s="49"/>
      <c r="E32" s="140"/>
      <c r="F32" s="57"/>
      <c r="G32" s="57"/>
      <c r="H32" s="171">
        <f>+F32*'Цени капацитети'!$F$45+G32*'Цени капацитети'!$F$59</f>
        <v>0</v>
      </c>
      <c r="I32" s="171">
        <f>+F32*'Цени капацитети'!$E$45+G32*'Цени капацитети'!$E$59</f>
        <v>0</v>
      </c>
      <c r="J32" s="113">
        <f>$M$3*'Цени капацитети'!$E$21+$L$3*'Цени капацитети'!$E$4+$N$3*'Цени капацитети'!$E$8+I32</f>
        <v>7.6229999999999993</v>
      </c>
      <c r="K32" s="123"/>
    </row>
    <row r="33" spans="2:11" x14ac:dyDescent="0.25">
      <c r="B33" s="47">
        <f t="shared" si="0"/>
        <v>45656</v>
      </c>
      <c r="C33" s="49"/>
      <c r="D33" s="49"/>
      <c r="E33" s="140"/>
      <c r="F33" s="57"/>
      <c r="G33" s="57"/>
      <c r="H33" s="171">
        <f>+F33*'Цени капацитети'!$F$45+G33*'Цени капацитети'!$F$59</f>
        <v>0</v>
      </c>
      <c r="I33" s="171">
        <f>+F33*'Цени капацитети'!$E$45+G33*'Цени капацитети'!$E$59</f>
        <v>0</v>
      </c>
      <c r="J33" s="113">
        <f>$M$3*'Цени капацитети'!$E$21+$L$3*'Цени капацитети'!$E$4+$N$3*'Цени капацитети'!$E$8+I33</f>
        <v>7.6229999999999993</v>
      </c>
      <c r="K33" s="123"/>
    </row>
    <row r="34" spans="2:11" x14ac:dyDescent="0.25">
      <c r="B34" s="47">
        <f t="shared" si="0"/>
        <v>45657</v>
      </c>
      <c r="C34" s="49"/>
      <c r="D34" s="49"/>
      <c r="E34" s="140"/>
      <c r="F34" s="57"/>
      <c r="G34" s="57"/>
      <c r="H34" s="171">
        <f>+F34*'Цени капацитети'!$F$45+G34*'Цени капацитети'!$F$59</f>
        <v>0</v>
      </c>
      <c r="I34" s="171">
        <f>+F34*'Цени капацитети'!$E$45+G34*'Цени капацитети'!$E$59</f>
        <v>0</v>
      </c>
      <c r="J34" s="113">
        <f>$M$3*'Цени капацитети'!$E$21+$L$3*'Цени капацитети'!$E$4+$N$3*'Цени капацитети'!$E$8+I34</f>
        <v>7.6229999999999993</v>
      </c>
      <c r="K34" s="181">
        <f>SUM(K4:K33)</f>
        <v>0</v>
      </c>
    </row>
    <row r="35" spans="2:11" x14ac:dyDescent="0.25">
      <c r="C35" s="16">
        <f>SUM(C4:C34)</f>
        <v>4048.5930000000003</v>
      </c>
      <c r="D35" s="16">
        <f>SUM(D4:D34)</f>
        <v>34</v>
      </c>
      <c r="E35" s="16">
        <f>SUM(E4:E34)</f>
        <v>11.75200000000001</v>
      </c>
      <c r="F35" s="16"/>
      <c r="G35" s="16">
        <f>SUM(G4:G34)</f>
        <v>23</v>
      </c>
      <c r="H35" s="16">
        <f>SUM(H4:H34)</f>
        <v>67.721199999999996</v>
      </c>
    </row>
    <row r="36" spans="2:11" x14ac:dyDescent="0.25">
      <c r="C36" s="1">
        <f>+C35/31</f>
        <v>130.5997741935484</v>
      </c>
      <c r="D36" s="16">
        <f>SUM(E24:E34)</f>
        <v>0</v>
      </c>
      <c r="E36" s="1">
        <f>+E35/31</f>
        <v>0.3790967741935487</v>
      </c>
    </row>
    <row r="37" spans="2:11" x14ac:dyDescent="0.25">
      <c r="D37" s="1">
        <f>+D36*Цени!T42*1.09</f>
        <v>0</v>
      </c>
      <c r="E37" s="1">
        <f>+E36*1.09</f>
        <v>0.41321548387096813</v>
      </c>
    </row>
    <row r="38" spans="2:11" x14ac:dyDescent="0.25">
      <c r="E38" s="1">
        <f>+E35/31</f>
        <v>0.3790967741935487</v>
      </c>
    </row>
    <row r="39" spans="2:11" x14ac:dyDescent="0.25">
      <c r="E39" s="1" t="s">
        <v>138</v>
      </c>
    </row>
  </sheetData>
  <mergeCells count="4">
    <mergeCell ref="L6:M8"/>
    <mergeCell ref="L1:M1"/>
    <mergeCell ref="B2:E2"/>
    <mergeCell ref="G2:I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549173-8138-411C-98B6-E7EF60BA721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f72fde2d-b807-4537-b4b0-8b27d7e9d203"/>
    <ds:schemaRef ds:uri="http://schemas.openxmlformats.org/package/2006/metadata/core-properties"/>
    <ds:schemaRef ds:uri="http://schemas.microsoft.com/office/2006/documentManagement/types"/>
    <ds:schemaRef ds:uri="d4da30f3-d450-42f3-a305-6a1de303da5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E92AFDB-D94F-4AA1-BE51-37E2E96FFF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4638A0-5FDC-45B2-9074-5DE078F9A0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2</vt:i4>
      </vt:variant>
    </vt:vector>
  </HeadingPairs>
  <TitlesOfParts>
    <vt:vector size="33" baseType="lpstr">
      <vt:lpstr>Цени</vt:lpstr>
      <vt:lpstr>Цени капацитети</vt:lpstr>
      <vt:lpstr>Плевен</vt:lpstr>
      <vt:lpstr>Бургас</vt:lpstr>
      <vt:lpstr>Враца 1</vt:lpstr>
      <vt:lpstr>Враца 2</vt:lpstr>
      <vt:lpstr>Перник</vt:lpstr>
      <vt:lpstr>Русе</vt:lpstr>
      <vt:lpstr>Велико Търново</vt:lpstr>
      <vt:lpstr>Димитровград</vt:lpstr>
      <vt:lpstr>Русе Кемикълс</vt:lpstr>
      <vt:lpstr>Труд</vt:lpstr>
      <vt:lpstr>Берус</vt:lpstr>
      <vt:lpstr>Бултекс 1</vt:lpstr>
      <vt:lpstr>Доминекс про</vt:lpstr>
      <vt:lpstr>РВД</vt:lpstr>
      <vt:lpstr>ЛКМК</vt:lpstr>
      <vt:lpstr>Булмаш</vt:lpstr>
      <vt:lpstr>PPC Гърция</vt:lpstr>
      <vt:lpstr>HERON</vt:lpstr>
      <vt:lpstr>МЕТ ВИТОЛ ДХТ</vt:lpstr>
      <vt:lpstr>Борса и балансиране</vt:lpstr>
      <vt:lpstr>Цени борса</vt:lpstr>
      <vt:lpstr>Общо</vt:lpstr>
      <vt:lpstr>ОБЩО NEW за печат</vt:lpstr>
      <vt:lpstr>Рамка Декември</vt:lpstr>
      <vt:lpstr>баланс 2024</vt:lpstr>
      <vt:lpstr>за печат</vt:lpstr>
      <vt:lpstr>Алуком</vt:lpstr>
      <vt:lpstr>Илинден</vt:lpstr>
      <vt:lpstr>Ваптех АМ</vt:lpstr>
      <vt:lpstr>'баланс 2024'!Print_Area</vt:lpstr>
      <vt:lpstr>'ОБЩО NEW за печат'!Print_Area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cp:lastPrinted>2024-11-13T08:33:32Z</cp:lastPrinted>
  <dcterms:created xsi:type="dcterms:W3CDTF">2020-02-12T06:12:21Z</dcterms:created>
  <dcterms:modified xsi:type="dcterms:W3CDTF">2024-12-17T08:39:11Z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