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SEPTEMVRI_2024/Razchet_otchet_SEPTEMVRI_2024/Otchet/"/>
    </mc:Choice>
  </mc:AlternateContent>
  <xr:revisionPtr revIDLastSave="712" documentId="13_ncr:1_{30350E1A-0BB5-491F-9046-102DA41DB50C}" xr6:coauthVersionLast="47" xr6:coauthVersionMax="47" xr10:uidLastSave="{D4F57369-31EE-430B-B322-E7BEB9069394}"/>
  <bookViews>
    <workbookView xWindow="2820" yWindow="480" windowWidth="24000" windowHeight="14970" xr2:uid="{00000000-000D-0000-FFFF-FFFF00000000}"/>
  </bookViews>
  <sheets>
    <sheet name="подробен отчет СЕПТЕМВРИ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E40" i="2"/>
  <c r="C40" i="2"/>
  <c r="C41" i="2" s="1"/>
  <c r="E39" i="2"/>
  <c r="C39" i="2"/>
  <c r="J23" i="2"/>
  <c r="H23" i="2"/>
  <c r="H21" i="2"/>
  <c r="J19" i="2"/>
  <c r="H19" i="2"/>
  <c r="J18" i="2"/>
  <c r="H18" i="2"/>
  <c r="H13" i="2"/>
  <c r="J11" i="2"/>
  <c r="H11" i="2"/>
  <c r="J10" i="2"/>
  <c r="H10" i="2"/>
  <c r="J8" i="2"/>
  <c r="H8" i="2"/>
  <c r="J6" i="2"/>
  <c r="H6" i="2"/>
  <c r="J5" i="2"/>
  <c r="H5" i="2"/>
  <c r="C42" i="2" l="1"/>
  <c r="E41" i="2"/>
  <c r="E42" i="2" s="1"/>
  <c r="D39" i="2"/>
  <c r="I8" i="2"/>
  <c r="K24" i="2" l="1"/>
  <c r="K23" i="2"/>
  <c r="K22" i="2"/>
  <c r="K21" i="2"/>
  <c r="K20" i="2"/>
  <c r="K19" i="2"/>
  <c r="F24" i="2"/>
  <c r="F23" i="2"/>
  <c r="F22" i="2"/>
  <c r="F21" i="2"/>
  <c r="F20" i="2"/>
  <c r="F19" i="2"/>
  <c r="F18" i="2"/>
  <c r="K13" i="2"/>
  <c r="K11" i="2"/>
  <c r="K9" i="2"/>
  <c r="K8" i="2"/>
  <c r="K7" i="2"/>
  <c r="K6" i="2"/>
  <c r="K5" i="2"/>
  <c r="F13" i="2"/>
  <c r="F11" i="2"/>
  <c r="F10" i="2"/>
  <c r="F9" i="2"/>
  <c r="F8" i="2"/>
  <c r="F7" i="2"/>
  <c r="F6" i="2"/>
  <c r="F5" i="2"/>
  <c r="D10" i="2"/>
  <c r="D11" i="2"/>
  <c r="C47" i="2"/>
  <c r="C48" i="2" s="1"/>
  <c r="D47" i="2" l="1"/>
  <c r="D48" i="2" s="1"/>
  <c r="I19" i="2"/>
  <c r="D18" i="2"/>
  <c r="D19" i="2"/>
  <c r="D13" i="2" l="1"/>
  <c r="D26" i="2"/>
  <c r="N27" i="2" l="1"/>
  <c r="O23" i="2"/>
  <c r="O22" i="2"/>
  <c r="N22" i="2"/>
  <c r="O20" i="2"/>
  <c r="N20" i="2"/>
  <c r="O19" i="2"/>
  <c r="O18" i="2"/>
  <c r="M24" i="2"/>
  <c r="M23" i="2"/>
  <c r="M22" i="2"/>
  <c r="M21" i="2"/>
  <c r="M20" i="2"/>
  <c r="M19" i="2"/>
  <c r="N14" i="2"/>
  <c r="O9" i="2"/>
  <c r="N9" i="2"/>
  <c r="O8" i="2"/>
  <c r="O7" i="2"/>
  <c r="N7" i="2"/>
  <c r="O6" i="2"/>
  <c r="O5" i="2"/>
  <c r="M13" i="2"/>
  <c r="M11" i="2"/>
  <c r="M9" i="2"/>
  <c r="M8" i="2"/>
  <c r="M7" i="2"/>
  <c r="M6" i="2"/>
  <c r="H32" i="2" l="1"/>
  <c r="O24" i="2" l="1"/>
  <c r="G32" i="2" l="1"/>
  <c r="I13" i="2" l="1"/>
  <c r="N13" i="2" s="1"/>
  <c r="G33" i="2"/>
  <c r="G31" i="2"/>
  <c r="M5" i="2"/>
  <c r="H33" i="2" l="1"/>
  <c r="F34" i="2"/>
  <c r="H31" i="2"/>
  <c r="H26" i="2" l="1"/>
  <c r="K26" i="2" s="1"/>
  <c r="I23" i="2"/>
  <c r="N23" i="2" s="1"/>
  <c r="J13" i="2"/>
  <c r="N8" i="2"/>
  <c r="I6" i="2"/>
  <c r="I5" i="2"/>
  <c r="C25" i="2"/>
  <c r="F25" i="2" s="1"/>
  <c r="C26" i="2"/>
  <c r="F26" i="2" s="1"/>
  <c r="E13" i="2"/>
  <c r="N24" i="2"/>
  <c r="O13" i="2" l="1"/>
  <c r="N19" i="2"/>
  <c r="G22" i="2"/>
  <c r="G20" i="2"/>
  <c r="G21" i="2"/>
  <c r="G19" i="2"/>
  <c r="G23" i="2"/>
  <c r="G24" i="2"/>
  <c r="M26" i="2"/>
  <c r="E26" i="2"/>
  <c r="I26" i="2"/>
  <c r="C27" i="2"/>
  <c r="F27" i="2" s="1"/>
  <c r="G25" i="2" l="1"/>
  <c r="G26" i="2"/>
  <c r="J26" i="2"/>
  <c r="O26" i="2" s="1"/>
  <c r="N26" i="2"/>
  <c r="E25" i="2"/>
  <c r="D25" i="2" l="1"/>
  <c r="C45" i="2" s="1"/>
  <c r="E27" i="2"/>
  <c r="A19" i="2" l="1"/>
  <c r="A20" i="2" s="1"/>
  <c r="A21" i="2" s="1"/>
  <c r="A22" i="2" s="1"/>
  <c r="A23" i="2" s="1"/>
  <c r="A24" i="2" s="1"/>
  <c r="A6" i="2"/>
  <c r="A7" i="2" s="1"/>
  <c r="A8" i="2" s="1"/>
  <c r="A9" i="2" s="1"/>
  <c r="A10" i="2" s="1"/>
  <c r="D21" i="2" l="1"/>
  <c r="D5" i="2"/>
  <c r="N5" i="2" s="1"/>
  <c r="D6" i="2"/>
  <c r="N6" i="2" s="1"/>
  <c r="C12" i="2"/>
  <c r="F12" i="2" s="1"/>
  <c r="E12" i="2"/>
  <c r="G8" i="2" l="1"/>
  <c r="G9" i="2"/>
  <c r="G7" i="2"/>
  <c r="G6" i="2"/>
  <c r="G10" i="2"/>
  <c r="G11" i="2"/>
  <c r="E14" i="2"/>
  <c r="C14" i="2"/>
  <c r="F14" i="2" s="1"/>
  <c r="G18" i="2"/>
  <c r="G5" i="2"/>
  <c r="D12" i="2"/>
  <c r="E34" i="2" l="1"/>
  <c r="E30" i="2"/>
  <c r="E35" i="2" l="1"/>
  <c r="G34" i="2"/>
  <c r="K18" i="2" l="1"/>
  <c r="I18" i="2"/>
  <c r="N18" i="2" s="1"/>
  <c r="M18" i="2"/>
  <c r="H25" i="2"/>
  <c r="K25" i="2" l="1"/>
  <c r="L20" i="2"/>
  <c r="H27" i="2"/>
  <c r="L25" i="2" s="1"/>
  <c r="L19" i="2"/>
  <c r="L24" i="2"/>
  <c r="L23" i="2"/>
  <c r="L22" i="2"/>
  <c r="M25" i="2"/>
  <c r="L21" i="2"/>
  <c r="L18" i="2"/>
  <c r="K27" i="2" l="1"/>
  <c r="L26" i="2"/>
  <c r="M27" i="2"/>
  <c r="K10" i="2" l="1"/>
  <c r="M10" i="2"/>
  <c r="H12" i="2"/>
  <c r="L10" i="2" s="1"/>
  <c r="K12" i="2" l="1"/>
  <c r="L9" i="2"/>
  <c r="L8" i="2"/>
  <c r="L5" i="2"/>
  <c r="L6" i="2"/>
  <c r="L7" i="2"/>
  <c r="H14" i="2"/>
  <c r="L11" i="2"/>
  <c r="M12" i="2"/>
  <c r="K14" i="2" l="1"/>
  <c r="M14" i="2"/>
  <c r="O10" i="2"/>
  <c r="I10" i="2"/>
  <c r="N10" i="2" s="1"/>
  <c r="I11" i="2" l="1"/>
  <c r="N11" i="2" s="1"/>
  <c r="O11" i="2"/>
  <c r="J12" i="2"/>
  <c r="I12" i="2" l="1"/>
  <c r="N12" i="2" s="1"/>
  <c r="J14" i="2"/>
  <c r="O14" i="2" s="1"/>
  <c r="O12" i="2"/>
  <c r="D40" i="2" l="1"/>
  <c r="D42" i="2" s="1"/>
  <c r="J21" i="2" l="1"/>
  <c r="O21" i="2" l="1"/>
  <c r="J25" i="2"/>
  <c r="I21" i="2"/>
  <c r="N21" i="2" s="1"/>
  <c r="O25" i="2" l="1"/>
  <c r="J27" i="2"/>
  <c r="O27" i="2" s="1"/>
  <c r="I25" i="2"/>
  <c r="F30" i="2"/>
  <c r="F35" i="2" l="1"/>
  <c r="G30" i="2"/>
  <c r="H30" i="2"/>
  <c r="N25" i="2"/>
  <c r="D45" i="2"/>
  <c r="H35" i="2" l="1"/>
  <c r="G35" i="2"/>
</calcChain>
</file>

<file path=xl/sharedStrings.xml><?xml version="1.0" encoding="utf-8"?>
<sst xmlns="http://schemas.openxmlformats.org/spreadsheetml/2006/main" count="86" uniqueCount="51">
  <si>
    <t>А</t>
  </si>
  <si>
    <t>Приходи</t>
  </si>
  <si>
    <t>количество, МВтч</t>
  </si>
  <si>
    <t>цена, лв/МВтч</t>
  </si>
  <si>
    <t>приходи, лева</t>
  </si>
  <si>
    <t>Крайни потребители от структурата</t>
  </si>
  <si>
    <t>Крайни потребители в България</t>
  </si>
  <si>
    <t>Търговци в България</t>
  </si>
  <si>
    <t>Борса България</t>
  </si>
  <si>
    <t>Борса Румъния</t>
  </si>
  <si>
    <t>Балансиращ пазар</t>
  </si>
  <si>
    <t>Нагнетен природен газ в Чирен</t>
  </si>
  <si>
    <t>Б</t>
  </si>
  <si>
    <t>Разходи</t>
  </si>
  <si>
    <t>разходи, лева</t>
  </si>
  <si>
    <t>Булгаргаз</t>
  </si>
  <si>
    <t>Търговци внос</t>
  </si>
  <si>
    <t>В</t>
  </si>
  <si>
    <t>АДМИНИСТРАТИВНИ И ДР. РАЗХОДИ, лева</t>
  </si>
  <si>
    <t>Г</t>
  </si>
  <si>
    <t>Д</t>
  </si>
  <si>
    <t>средно претеглена цена, лв/МВтч</t>
  </si>
  <si>
    <t>ПРИХОДИ ОТ КАПАЦИТЕТ И ПРЕНОС</t>
  </si>
  <si>
    <t>БРУТЕН МАРЖ ОТ ПРОДАЖБА НА ПРИРОДЕН ГАЗ, лв/МВтч</t>
  </si>
  <si>
    <t>Регулирана цена на Булгаргаз, лв/МВтч</t>
  </si>
  <si>
    <t>Е</t>
  </si>
  <si>
    <t>Добит природен газ от Чирен по регулирана цена</t>
  </si>
  <si>
    <t>Разлика до пълна себестойност в Чирен</t>
  </si>
  <si>
    <t>Среднопретеглена цена на добив</t>
  </si>
  <si>
    <t>Разлика между среднопретеглена цена на добив и регулирана цена, лв/МВтч</t>
  </si>
  <si>
    <t>ТЪРГОВСКИ РЕЗУЛТАТ ОТ ПРОДАЖБА НА ПРИРОДЕН ГАЗ(А-Б), лева</t>
  </si>
  <si>
    <t>количество МВтч/ден</t>
  </si>
  <si>
    <t>Относителен дял</t>
  </si>
  <si>
    <t>ОБЩО ДОСТАВКИ НА ПРИРОДЕН ГАЗ</t>
  </si>
  <si>
    <t>ПРИХОДИ ОТ ПРОДАЖБА НА ПРИРОДЕН ГАЗ</t>
  </si>
  <si>
    <t>Доставен природен газ от Булгаргаз на Топлофикационни дружества</t>
  </si>
  <si>
    <t>РАЗХОДИ ЗА ПРИРОДЕН ГАЗ</t>
  </si>
  <si>
    <t>Закупен природен газ от Булгаргаз от Топлофикационни дружества</t>
  </si>
  <si>
    <t>ОБЩО ЗАКУПЕН ПРИРОДЕН ГАЗ</t>
  </si>
  <si>
    <t>ОТКЛОНЕНИЕ</t>
  </si>
  <si>
    <t>Разходи за годишен капацитет за IGB</t>
  </si>
  <si>
    <t>Ж</t>
  </si>
  <si>
    <t>ФИНАНСОВ РЕЗУЛТАТ (В+Г-Д-Е+Ж), лева</t>
  </si>
  <si>
    <t>РАЗЧЕТ</t>
  </si>
  <si>
    <t>ПРЕДВАРИТЕЛЕН ОТЧЕТ</t>
  </si>
  <si>
    <t>Финансов ефект от продажба на природен газ за м.Септември 2024 г.</t>
  </si>
  <si>
    <t>НАГНЕТЕН ГАЗ В ЧИРЕН към 01.09.2024</t>
  </si>
  <si>
    <t>НАГНЕТЕН ГАЗ В ЧИРЕН към 30.09.2024</t>
  </si>
  <si>
    <t>4=3-2</t>
  </si>
  <si>
    <t>РАЗЛИКА</t>
  </si>
  <si>
    <t xml:space="preserve">Пазарна цена към 30.09.2024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</si>
</sst>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2" fillId="0" borderId="0"/>
    <xf numFmtId="0" fontId="1" fillId="0" borderId="0"/>
  </cellStyleXfs>
  <cellXfs count="143">
    <xf numFmtId="0" fontId="0" fillId="0" borderId="0" xfId="0"/>
    <xf numFmtId="0" fontId="7" fillId="0" borderId="0" xfId="3" applyFont="1"/>
    <xf numFmtId="0" fontId="4" fillId="3" borderId="3" xfId="3" applyFont="1" applyFill="1" applyBorder="1" applyAlignment="1">
      <alignment horizontal="center" wrapText="1"/>
    </xf>
    <xf numFmtId="0" fontId="4" fillId="0" borderId="0" xfId="3" applyFont="1" applyAlignment="1">
      <alignment horizontal="center" wrapText="1"/>
    </xf>
    <xf numFmtId="0" fontId="7" fillId="0" borderId="5" xfId="3" applyFont="1" applyBorder="1"/>
    <xf numFmtId="4" fontId="7" fillId="0" borderId="1" xfId="3" applyNumberFormat="1" applyFont="1" applyBorder="1"/>
    <xf numFmtId="0" fontId="4" fillId="4" borderId="5" xfId="3" applyFont="1" applyFill="1" applyBorder="1"/>
    <xf numFmtId="0" fontId="4" fillId="4" borderId="1" xfId="3" applyFont="1" applyFill="1" applyBorder="1"/>
    <xf numFmtId="2" fontId="4" fillId="4" borderId="1" xfId="3" applyNumberFormat="1" applyFont="1" applyFill="1" applyBorder="1"/>
    <xf numFmtId="0" fontId="4" fillId="0" borderId="0" xfId="3" applyFont="1"/>
    <xf numFmtId="0" fontId="7" fillId="0" borderId="7" xfId="3" applyFont="1" applyBorder="1"/>
    <xf numFmtId="0" fontId="7" fillId="0" borderId="8" xfId="3" applyFont="1" applyBorder="1"/>
    <xf numFmtId="0" fontId="4" fillId="3" borderId="5" xfId="3" applyFont="1" applyFill="1" applyBorder="1" applyAlignment="1">
      <alignment horizontal="center" wrapText="1"/>
    </xf>
    <xf numFmtId="0" fontId="4" fillId="3" borderId="1" xfId="3" applyFont="1" applyFill="1" applyBorder="1" applyAlignment="1">
      <alignment horizontal="center" wrapText="1"/>
    </xf>
    <xf numFmtId="0" fontId="6" fillId="3" borderId="1" xfId="3" applyFont="1" applyFill="1" applyBorder="1" applyAlignment="1">
      <alignment horizontal="center" wrapText="1"/>
    </xf>
    <xf numFmtId="0" fontId="6" fillId="3" borderId="6" xfId="3" applyFont="1" applyFill="1" applyBorder="1" applyAlignment="1">
      <alignment horizontal="center" wrapText="1"/>
    </xf>
    <xf numFmtId="4" fontId="7" fillId="0" borderId="0" xfId="3" applyNumberFormat="1" applyFont="1"/>
    <xf numFmtId="0" fontId="4" fillId="5" borderId="5" xfId="3" applyFont="1" applyFill="1" applyBorder="1"/>
    <xf numFmtId="164" fontId="7" fillId="0" borderId="0" xfId="3" applyNumberFormat="1" applyFont="1"/>
    <xf numFmtId="0" fontId="4" fillId="7" borderId="1" xfId="3" applyFont="1" applyFill="1" applyBorder="1"/>
    <xf numFmtId="0" fontId="7" fillId="8" borderId="1" xfId="3" applyFont="1" applyFill="1" applyBorder="1"/>
    <xf numFmtId="2" fontId="4" fillId="7" borderId="1" xfId="3" applyNumberFormat="1" applyFont="1" applyFill="1" applyBorder="1"/>
    <xf numFmtId="0" fontId="4" fillId="6" borderId="1" xfId="3" applyFont="1" applyFill="1" applyBorder="1"/>
    <xf numFmtId="4" fontId="4" fillId="6" borderId="1" xfId="3" applyNumberFormat="1" applyFont="1" applyFill="1" applyBorder="1"/>
    <xf numFmtId="3" fontId="7" fillId="0" borderId="1" xfId="3" applyNumberFormat="1" applyFont="1" applyBorder="1"/>
    <xf numFmtId="3" fontId="4" fillId="7" borderId="1" xfId="3" applyNumberFormat="1" applyFont="1" applyFill="1" applyBorder="1"/>
    <xf numFmtId="3" fontId="7" fillId="0" borderId="6" xfId="3" applyNumberFormat="1" applyFont="1" applyBorder="1"/>
    <xf numFmtId="3" fontId="4" fillId="4" borderId="1" xfId="3" applyNumberFormat="1" applyFont="1" applyFill="1" applyBorder="1"/>
    <xf numFmtId="0" fontId="4" fillId="7" borderId="0" xfId="3" applyFont="1" applyFill="1"/>
    <xf numFmtId="0" fontId="3" fillId="0" borderId="0" xfId="3" applyFont="1" applyAlignment="1">
      <alignment horizontal="center" wrapText="1"/>
    </xf>
    <xf numFmtId="0" fontId="6" fillId="6" borderId="2" xfId="3" applyFont="1" applyFill="1" applyBorder="1" applyAlignment="1">
      <alignment horizontal="center" wrapText="1"/>
    </xf>
    <xf numFmtId="0" fontId="6" fillId="6" borderId="17" xfId="3" applyFont="1" applyFill="1" applyBorder="1" applyAlignment="1">
      <alignment horizontal="center" wrapText="1"/>
    </xf>
    <xf numFmtId="3" fontId="4" fillId="3" borderId="1" xfId="3" applyNumberFormat="1" applyFont="1" applyFill="1" applyBorder="1"/>
    <xf numFmtId="2" fontId="4" fillId="3" borderId="1" xfId="3" applyNumberFormat="1" applyFont="1" applyFill="1" applyBorder="1"/>
    <xf numFmtId="3" fontId="4" fillId="9" borderId="1" xfId="3" applyNumberFormat="1" applyFont="1" applyFill="1" applyBorder="1"/>
    <xf numFmtId="2" fontId="4" fillId="9" borderId="1" xfId="3" applyNumberFormat="1" applyFont="1" applyFill="1" applyBorder="1"/>
    <xf numFmtId="2" fontId="4" fillId="6" borderId="1" xfId="3" applyNumberFormat="1" applyFont="1" applyFill="1" applyBorder="1"/>
    <xf numFmtId="0" fontId="4" fillId="3" borderId="18" xfId="3" applyFont="1" applyFill="1" applyBorder="1" applyAlignment="1">
      <alignment horizontal="center" wrapText="1"/>
    </xf>
    <xf numFmtId="0" fontId="7" fillId="0" borderId="9" xfId="3" applyFont="1" applyBorder="1"/>
    <xf numFmtId="0" fontId="4" fillId="7" borderId="9" xfId="3" applyFont="1" applyFill="1" applyBorder="1" applyAlignment="1">
      <alignment wrapText="1"/>
    </xf>
    <xf numFmtId="0" fontId="4" fillId="7" borderId="9" xfId="3" applyFont="1" applyFill="1" applyBorder="1"/>
    <xf numFmtId="0" fontId="6" fillId="3" borderId="3" xfId="3" applyFont="1" applyFill="1" applyBorder="1" applyAlignment="1">
      <alignment horizontal="center" wrapText="1"/>
    </xf>
    <xf numFmtId="0" fontId="6" fillId="3" borderId="4" xfId="3" applyFont="1" applyFill="1" applyBorder="1" applyAlignment="1">
      <alignment horizontal="center" wrapText="1"/>
    </xf>
    <xf numFmtId="0" fontId="6" fillId="3" borderId="19" xfId="3" applyFont="1" applyFill="1" applyBorder="1" applyAlignment="1">
      <alignment horizontal="center" wrapText="1"/>
    </xf>
    <xf numFmtId="3" fontId="7" fillId="0" borderId="5" xfId="3" applyNumberFormat="1" applyFont="1" applyBorder="1"/>
    <xf numFmtId="9" fontId="7" fillId="0" borderId="6" xfId="1" applyFont="1" applyBorder="1"/>
    <xf numFmtId="3" fontId="4" fillId="3" borderId="5" xfId="3" applyNumberFormat="1" applyFont="1" applyFill="1" applyBorder="1"/>
    <xf numFmtId="9" fontId="4" fillId="3" borderId="6" xfId="1" applyFont="1" applyFill="1" applyBorder="1"/>
    <xf numFmtId="3" fontId="4" fillId="3" borderId="12" xfId="3" applyNumberFormat="1" applyFont="1" applyFill="1" applyBorder="1"/>
    <xf numFmtId="2" fontId="4" fillId="3" borderId="13" xfId="3" applyNumberFormat="1" applyFont="1" applyFill="1" applyBorder="1"/>
    <xf numFmtId="3" fontId="4" fillId="3" borderId="13" xfId="3" applyNumberFormat="1" applyFont="1" applyFill="1" applyBorder="1"/>
    <xf numFmtId="3" fontId="4" fillId="3" borderId="14" xfId="3" applyNumberFormat="1" applyFont="1" applyFill="1" applyBorder="1"/>
    <xf numFmtId="0" fontId="6" fillId="9" borderId="3" xfId="3" applyFont="1" applyFill="1" applyBorder="1" applyAlignment="1">
      <alignment horizontal="center" wrapText="1"/>
    </xf>
    <xf numFmtId="0" fontId="6" fillId="9" borderId="4" xfId="3" applyFont="1" applyFill="1" applyBorder="1" applyAlignment="1">
      <alignment horizontal="center" wrapText="1"/>
    </xf>
    <xf numFmtId="0" fontId="6" fillId="9" borderId="19" xfId="3" applyFont="1" applyFill="1" applyBorder="1" applyAlignment="1">
      <alignment horizontal="center" wrapText="1"/>
    </xf>
    <xf numFmtId="3" fontId="4" fillId="9" borderId="5" xfId="3" applyNumberFormat="1" applyFont="1" applyFill="1" applyBorder="1"/>
    <xf numFmtId="9" fontId="4" fillId="9" borderId="6" xfId="1" applyFont="1" applyFill="1" applyBorder="1"/>
    <xf numFmtId="3" fontId="4" fillId="9" borderId="12" xfId="3" applyNumberFormat="1" applyFont="1" applyFill="1" applyBorder="1"/>
    <xf numFmtId="2" fontId="4" fillId="9" borderId="13" xfId="3" applyNumberFormat="1" applyFont="1" applyFill="1" applyBorder="1"/>
    <xf numFmtId="3" fontId="4" fillId="9" borderId="13" xfId="3" applyNumberFormat="1" applyFont="1" applyFill="1" applyBorder="1"/>
    <xf numFmtId="3" fontId="4" fillId="9" borderId="14" xfId="3" applyNumberFormat="1" applyFont="1" applyFill="1" applyBorder="1"/>
    <xf numFmtId="0" fontId="6" fillId="3" borderId="18" xfId="3" applyFont="1" applyFill="1" applyBorder="1" applyAlignment="1">
      <alignment horizontal="center" wrapText="1"/>
    </xf>
    <xf numFmtId="9" fontId="7" fillId="0" borderId="9" xfId="1" applyFont="1" applyBorder="1"/>
    <xf numFmtId="0" fontId="6" fillId="6" borderId="22" xfId="3" applyFont="1" applyFill="1" applyBorder="1" applyAlignment="1">
      <alignment horizontal="center" wrapText="1"/>
    </xf>
    <xf numFmtId="3" fontId="4" fillId="6" borderId="5" xfId="3" applyNumberFormat="1" applyFont="1" applyFill="1" applyBorder="1"/>
    <xf numFmtId="3" fontId="4" fillId="6" borderId="6" xfId="3" applyNumberFormat="1" applyFont="1" applyFill="1" applyBorder="1"/>
    <xf numFmtId="3" fontId="4" fillId="6" borderId="12" xfId="3" applyNumberFormat="1" applyFont="1" applyFill="1" applyBorder="1"/>
    <xf numFmtId="2" fontId="4" fillId="6" borderId="13" xfId="3" applyNumberFormat="1" applyFont="1" applyFill="1" applyBorder="1"/>
    <xf numFmtId="3" fontId="4" fillId="6" borderId="14" xfId="3" applyNumberFormat="1" applyFont="1" applyFill="1" applyBorder="1"/>
    <xf numFmtId="0" fontId="4" fillId="3" borderId="9" xfId="3" applyFont="1" applyFill="1" applyBorder="1" applyAlignment="1">
      <alignment horizontal="center" wrapText="1"/>
    </xf>
    <xf numFmtId="0" fontId="4" fillId="4" borderId="9" xfId="3" applyFont="1" applyFill="1" applyBorder="1"/>
    <xf numFmtId="3" fontId="4" fillId="4" borderId="5" xfId="3" applyNumberFormat="1" applyFont="1" applyFill="1" applyBorder="1"/>
    <xf numFmtId="3" fontId="4" fillId="7" borderId="5" xfId="3" applyNumberFormat="1" applyFont="1" applyFill="1" applyBorder="1"/>
    <xf numFmtId="3" fontId="4" fillId="4" borderId="12" xfId="3" applyNumberFormat="1" applyFont="1" applyFill="1" applyBorder="1"/>
    <xf numFmtId="2" fontId="4" fillId="4" borderId="13" xfId="3" applyNumberFormat="1" applyFont="1" applyFill="1" applyBorder="1"/>
    <xf numFmtId="3" fontId="4" fillId="4" borderId="13" xfId="3" applyNumberFormat="1" applyFont="1" applyFill="1" applyBorder="1"/>
    <xf numFmtId="3" fontId="4" fillId="7" borderId="13" xfId="3" applyNumberFormat="1" applyFont="1" applyFill="1" applyBorder="1"/>
    <xf numFmtId="9" fontId="4" fillId="7" borderId="9" xfId="1" applyFont="1" applyFill="1" applyBorder="1"/>
    <xf numFmtId="3" fontId="4" fillId="7" borderId="20" xfId="3" applyNumberFormat="1" applyFont="1" applyFill="1" applyBorder="1"/>
    <xf numFmtId="0" fontId="6" fillId="9" borderId="18" xfId="3" applyFont="1" applyFill="1" applyBorder="1" applyAlignment="1">
      <alignment horizontal="center" wrapText="1"/>
    </xf>
    <xf numFmtId="9" fontId="4" fillId="9" borderId="9" xfId="1" applyFont="1" applyFill="1" applyBorder="1"/>
    <xf numFmtId="3" fontId="4" fillId="9" borderId="20" xfId="3" applyNumberFormat="1" applyFont="1" applyFill="1" applyBorder="1"/>
    <xf numFmtId="0" fontId="6" fillId="6" borderId="3" xfId="3" applyFont="1" applyFill="1" applyBorder="1" applyAlignment="1">
      <alignment horizontal="center" wrapText="1"/>
    </xf>
    <xf numFmtId="0" fontId="6" fillId="6" borderId="4" xfId="3" applyFont="1" applyFill="1" applyBorder="1" applyAlignment="1">
      <alignment horizontal="center" wrapText="1"/>
    </xf>
    <xf numFmtId="0" fontId="6" fillId="6" borderId="19" xfId="3" applyFont="1" applyFill="1" applyBorder="1" applyAlignment="1">
      <alignment horizontal="center" wrapText="1"/>
    </xf>
    <xf numFmtId="0" fontId="7" fillId="0" borderId="3" xfId="3" applyFont="1" applyBorder="1"/>
    <xf numFmtId="0" fontId="4" fillId="3" borderId="4" xfId="3" applyFont="1" applyFill="1" applyBorder="1" applyAlignment="1">
      <alignment horizontal="center"/>
    </xf>
    <xf numFmtId="0" fontId="4" fillId="0" borderId="5" xfId="3" applyFont="1" applyBorder="1" applyAlignment="1">
      <alignment wrapText="1"/>
    </xf>
    <xf numFmtId="0" fontId="4" fillId="0" borderId="12" xfId="3" applyFont="1" applyBorder="1" applyAlignment="1">
      <alignment wrapText="1"/>
    </xf>
    <xf numFmtId="0" fontId="4" fillId="7" borderId="1" xfId="3" applyFont="1" applyFill="1" applyBorder="1" applyAlignment="1">
      <alignment horizontal="center"/>
    </xf>
    <xf numFmtId="0" fontId="4" fillId="6" borderId="9" xfId="3" applyFont="1" applyFill="1" applyBorder="1" applyAlignment="1">
      <alignment horizontal="center"/>
    </xf>
    <xf numFmtId="0" fontId="4" fillId="6" borderId="10" xfId="3" applyFont="1" applyFill="1" applyBorder="1" applyAlignment="1">
      <alignment horizontal="center"/>
    </xf>
    <xf numFmtId="0" fontId="4" fillId="6" borderId="11" xfId="3" applyFont="1" applyFill="1" applyBorder="1" applyAlignment="1">
      <alignment horizontal="center"/>
    </xf>
    <xf numFmtId="4" fontId="4" fillId="6" borderId="13" xfId="3" applyNumberFormat="1" applyFont="1" applyFill="1" applyBorder="1"/>
    <xf numFmtId="9" fontId="4" fillId="6" borderId="1" xfId="1" applyFont="1" applyFill="1" applyBorder="1" applyAlignment="1"/>
    <xf numFmtId="9" fontId="4" fillId="6" borderId="1" xfId="1" applyFont="1" applyFill="1" applyBorder="1"/>
    <xf numFmtId="3" fontId="4" fillId="6" borderId="1" xfId="3" applyNumberFormat="1" applyFont="1" applyFill="1" applyBorder="1"/>
    <xf numFmtId="3" fontId="7" fillId="6" borderId="1" xfId="3" applyNumberFormat="1" applyFont="1" applyFill="1" applyBorder="1"/>
    <xf numFmtId="9" fontId="7" fillId="6" borderId="1" xfId="1" applyFont="1" applyFill="1" applyBorder="1" applyAlignment="1"/>
    <xf numFmtId="0" fontId="4" fillId="6" borderId="11" xfId="3" applyFont="1" applyFill="1" applyBorder="1"/>
    <xf numFmtId="3" fontId="4" fillId="9" borderId="1" xfId="3" applyNumberFormat="1" applyFont="1" applyFill="1" applyBorder="1" applyAlignment="1">
      <alignment horizontal="right"/>
    </xf>
    <xf numFmtId="2" fontId="7" fillId="0" borderId="0" xfId="3" applyNumberFormat="1" applyFont="1"/>
    <xf numFmtId="0" fontId="4" fillId="9" borderId="1" xfId="3" applyFont="1" applyFill="1" applyBorder="1" applyAlignment="1">
      <alignment horizontal="center" wrapText="1"/>
    </xf>
    <xf numFmtId="2" fontId="4" fillId="2" borderId="1" xfId="3" applyNumberFormat="1" applyFont="1" applyFill="1" applyBorder="1"/>
    <xf numFmtId="2" fontId="4" fillId="2" borderId="6" xfId="3" applyNumberFormat="1" applyFont="1" applyFill="1" applyBorder="1"/>
    <xf numFmtId="2" fontId="4" fillId="2" borderId="14" xfId="3" applyNumberFormat="1" applyFont="1" applyFill="1" applyBorder="1" applyAlignment="1">
      <alignment wrapText="1"/>
    </xf>
    <xf numFmtId="2" fontId="4" fillId="2" borderId="13" xfId="3" applyNumberFormat="1" applyFont="1" applyFill="1" applyBorder="1" applyAlignment="1">
      <alignment wrapText="1"/>
    </xf>
    <xf numFmtId="0" fontId="8" fillId="0" borderId="12" xfId="3" applyFont="1" applyBorder="1"/>
    <xf numFmtId="0" fontId="8" fillId="0" borderId="13" xfId="3" applyFont="1" applyBorder="1"/>
    <xf numFmtId="164" fontId="8" fillId="2" borderId="13" xfId="3" applyNumberFormat="1" applyFont="1" applyFill="1" applyBorder="1" applyAlignment="1">
      <alignment wrapText="1"/>
    </xf>
    <xf numFmtId="2" fontId="8" fillId="2" borderId="13" xfId="3" applyNumberFormat="1" applyFont="1" applyFill="1" applyBorder="1"/>
    <xf numFmtId="4" fontId="8" fillId="2" borderId="14" xfId="3" applyNumberFormat="1" applyFont="1" applyFill="1" applyBorder="1"/>
    <xf numFmtId="0" fontId="8" fillId="0" borderId="0" xfId="3" applyFont="1"/>
    <xf numFmtId="164" fontId="8" fillId="0" borderId="0" xfId="3" applyNumberFormat="1" applyFont="1"/>
    <xf numFmtId="2" fontId="8" fillId="2" borderId="1" xfId="3" applyNumberFormat="1" applyFont="1" applyFill="1" applyBorder="1"/>
    <xf numFmtId="0" fontId="8" fillId="0" borderId="1" xfId="3" applyFont="1" applyBorder="1"/>
    <xf numFmtId="0" fontId="4" fillId="0" borderId="1" xfId="3" applyFont="1" applyBorder="1"/>
    <xf numFmtId="164" fontId="8" fillId="2" borderId="1" xfId="3" applyNumberFormat="1" applyFont="1" applyFill="1" applyBorder="1" applyAlignment="1">
      <alignment wrapText="1"/>
    </xf>
    <xf numFmtId="4" fontId="8" fillId="2" borderId="1" xfId="3" applyNumberFormat="1" applyFont="1" applyFill="1" applyBorder="1"/>
    <xf numFmtId="0" fontId="8" fillId="0" borderId="1" xfId="3" applyFont="1" applyBorder="1" applyAlignment="1">
      <alignment horizontal="right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19" xfId="3" applyFont="1" applyBorder="1" applyAlignment="1">
      <alignment horizontal="center"/>
    </xf>
    <xf numFmtId="0" fontId="4" fillId="0" borderId="15" xfId="3" applyFont="1" applyBorder="1" applyAlignment="1">
      <alignment horizontal="center"/>
    </xf>
    <xf numFmtId="0" fontId="4" fillId="0" borderId="16" xfId="3" applyFont="1" applyBorder="1" applyAlignment="1">
      <alignment horizontal="center"/>
    </xf>
    <xf numFmtId="0" fontId="4" fillId="0" borderId="21" xfId="3" applyFont="1" applyBorder="1" applyAlignment="1">
      <alignment horizontal="center"/>
    </xf>
    <xf numFmtId="0" fontId="4" fillId="0" borderId="23" xfId="3" applyFont="1" applyBorder="1" applyAlignment="1">
      <alignment horizontal="center"/>
    </xf>
    <xf numFmtId="0" fontId="4" fillId="0" borderId="24" xfId="3" applyFont="1" applyBorder="1" applyAlignment="1">
      <alignment horizontal="center"/>
    </xf>
    <xf numFmtId="0" fontId="4" fillId="0" borderId="25" xfId="3" applyFont="1" applyBorder="1" applyAlignment="1">
      <alignment horizontal="center"/>
    </xf>
    <xf numFmtId="0" fontId="3" fillId="0" borderId="0" xfId="3" applyFont="1" applyAlignment="1">
      <alignment horizontal="center" wrapText="1"/>
    </xf>
    <xf numFmtId="0" fontId="4" fillId="4" borderId="9" xfId="3" applyFont="1" applyFill="1" applyBorder="1" applyAlignment="1">
      <alignment horizontal="center"/>
    </xf>
    <xf numFmtId="0" fontId="4" fillId="4" borderId="10" xfId="3" applyFont="1" applyFill="1" applyBorder="1" applyAlignment="1">
      <alignment horizontal="center"/>
    </xf>
    <xf numFmtId="0" fontId="4" fillId="4" borderId="11" xfId="3" applyFont="1" applyFill="1" applyBorder="1" applyAlignment="1">
      <alignment horizontal="center"/>
    </xf>
    <xf numFmtId="0" fontId="4" fillId="5" borderId="9" xfId="3" applyFont="1" applyFill="1" applyBorder="1" applyAlignment="1">
      <alignment horizontal="center"/>
    </xf>
    <xf numFmtId="0" fontId="4" fillId="5" borderId="10" xfId="3" applyFont="1" applyFill="1" applyBorder="1" applyAlignment="1">
      <alignment horizontal="center"/>
    </xf>
    <xf numFmtId="0" fontId="4" fillId="5" borderId="11" xfId="3" applyFont="1" applyFill="1" applyBorder="1" applyAlignment="1">
      <alignment horizontal="center"/>
    </xf>
    <xf numFmtId="4" fontId="4" fillId="6" borderId="1" xfId="3" applyNumberFormat="1" applyFont="1" applyFill="1" applyBorder="1" applyAlignment="1">
      <alignment horizontal="center"/>
    </xf>
    <xf numFmtId="0" fontId="4" fillId="6" borderId="9" xfId="3" applyFont="1" applyFill="1" applyBorder="1" applyAlignment="1">
      <alignment horizontal="center"/>
    </xf>
    <xf numFmtId="0" fontId="4" fillId="6" borderId="10" xfId="3" applyFont="1" applyFill="1" applyBorder="1" applyAlignment="1">
      <alignment horizontal="center"/>
    </xf>
    <xf numFmtId="0" fontId="4" fillId="6" borderId="11" xfId="3" applyFont="1" applyFill="1" applyBorder="1" applyAlignment="1">
      <alignment horizontal="center"/>
    </xf>
    <xf numFmtId="0" fontId="7" fillId="8" borderId="9" xfId="3" applyFont="1" applyFill="1" applyBorder="1" applyAlignment="1">
      <alignment horizontal="center"/>
    </xf>
    <xf numFmtId="0" fontId="7" fillId="8" borderId="10" xfId="3" applyFont="1" applyFill="1" applyBorder="1" applyAlignment="1">
      <alignment horizontal="center"/>
    </xf>
    <xf numFmtId="0" fontId="7" fillId="8" borderId="11" xfId="3" applyFont="1" applyFill="1" applyBorder="1" applyAlignment="1">
      <alignment horizontal="center"/>
    </xf>
  </cellXfs>
  <cellStyles count="4">
    <cellStyle name="Normal" xfId="0" builtinId="0"/>
    <cellStyle name="Normal 2" xfId="2" xr:uid="{6EF59EAC-9AB3-4CC9-A9E3-3E15A007D608}"/>
    <cellStyle name="Normal 2 2" xfId="3" xr:uid="{FAAD4AA3-530D-47F7-9C2C-7362A96B8A5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ibiell.sharepoint.com/sites/Tibiel/Shared%20Documents/IKONOMIKA/Aneta_TIBIEL/Analiz%202017-2022/DOSTAVKI_2024/SEPTEMVRI_2024/Razchet_otchet_SEPTEMVRI_2024/Otchet/dostavki_SEPTEMVRI_2024%20&#1086;&#1095;&#1072;&#1082;&#1074;&#1072;&#1085;&#1086;%2017092024.xlsx" TargetMode="External"/><Relationship Id="rId1" Type="http://schemas.openxmlformats.org/officeDocument/2006/relationships/externalLinkPath" Target="dostavki_SEPTEMVRI_2024%20&#1086;&#1095;&#1072;&#1082;&#1074;&#1072;&#1085;&#1086;%201709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Цени"/>
      <sheetName val="Цени капацитети"/>
      <sheetName val="Плевен"/>
      <sheetName val="Бургас"/>
      <sheetName val="Враца 1"/>
      <sheetName val="Враца 2"/>
      <sheetName val="Перник"/>
      <sheetName val="Русе"/>
      <sheetName val="Велико Търново"/>
      <sheetName val="Димитровград"/>
      <sheetName val="Русе Кемикълс"/>
      <sheetName val="Труд"/>
      <sheetName val="Берус"/>
      <sheetName val="Бултекс 1"/>
      <sheetName val="Доминекс про"/>
      <sheetName val="РВД"/>
      <sheetName val="Декотекс"/>
      <sheetName val="Нова пауър"/>
      <sheetName val="ДХТ"/>
      <sheetName val="ЕМИ"/>
      <sheetName val="Алуком"/>
      <sheetName val="Илинден"/>
      <sheetName val="Ваптех АМ"/>
      <sheetName val="Борса и балансиране"/>
      <sheetName val="Цени борса"/>
      <sheetName val="Общо"/>
      <sheetName val="ОБЩО NEW за печат"/>
      <sheetName val="Рамка Септември"/>
      <sheetName val="баланс 2024"/>
      <sheetName val="за печат"/>
    </sheetNames>
    <sheetDataSet>
      <sheetData sheetId="0">
        <row r="1">
          <cell r="Y1">
            <v>448930.09299999999</v>
          </cell>
          <cell r="AA1">
            <v>49609480.078606784</v>
          </cell>
        </row>
        <row r="33">
          <cell r="C33">
            <v>450</v>
          </cell>
          <cell r="D33">
            <v>6000</v>
          </cell>
          <cell r="E33">
            <v>3000</v>
          </cell>
          <cell r="F33">
            <v>3000</v>
          </cell>
          <cell r="G33">
            <v>3000</v>
          </cell>
          <cell r="H33">
            <v>9000</v>
          </cell>
          <cell r="I33">
            <v>3000</v>
          </cell>
          <cell r="J33">
            <v>3000</v>
          </cell>
          <cell r="K33">
            <v>3000</v>
          </cell>
          <cell r="L33">
            <v>9000</v>
          </cell>
          <cell r="M33">
            <v>9000</v>
          </cell>
          <cell r="N33">
            <v>12000</v>
          </cell>
          <cell r="O33">
            <v>6000</v>
          </cell>
          <cell r="P33">
            <v>3000</v>
          </cell>
          <cell r="Y33">
            <v>70345.907000000007</v>
          </cell>
          <cell r="AA33">
            <v>3706793.8242376186</v>
          </cell>
        </row>
        <row r="37">
          <cell r="C37">
            <v>31216.500000000004</v>
          </cell>
          <cell r="D37">
            <v>352020</v>
          </cell>
          <cell r="E37">
            <v>167220</v>
          </cell>
          <cell r="F37">
            <v>143160</v>
          </cell>
          <cell r="G37">
            <v>146970</v>
          </cell>
          <cell r="H37">
            <v>471240</v>
          </cell>
          <cell r="I37">
            <v>162240</v>
          </cell>
          <cell r="J37">
            <v>151980</v>
          </cell>
          <cell r="K37">
            <v>154320</v>
          </cell>
          <cell r="L37">
            <v>512189.99999999994</v>
          </cell>
          <cell r="M37">
            <v>533340</v>
          </cell>
          <cell r="N37">
            <v>566280</v>
          </cell>
          <cell r="O37">
            <v>278100</v>
          </cell>
          <cell r="P37">
            <v>147390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4">
          <cell r="C34">
            <v>34204.709000000003</v>
          </cell>
          <cell r="E34">
            <v>1969736.8350419353</v>
          </cell>
          <cell r="F34">
            <v>300</v>
          </cell>
          <cell r="H34">
            <v>18225</v>
          </cell>
          <cell r="J34">
            <v>0.19100000000071304</v>
          </cell>
          <cell r="K34">
            <v>-63.608000000002448</v>
          </cell>
          <cell r="N34">
            <v>10.25</v>
          </cell>
          <cell r="O34">
            <v>-4177.4799999999996</v>
          </cell>
        </row>
      </sheetData>
      <sheetData sheetId="24"/>
      <sheetData sheetId="25">
        <row r="33">
          <cell r="BE33">
            <v>519276.0000000007</v>
          </cell>
          <cell r="BG33">
            <v>53316273.902844414</v>
          </cell>
        </row>
        <row r="41">
          <cell r="I41">
            <v>35546.503000000004</v>
          </cell>
          <cell r="J41">
            <v>442.52100000000002</v>
          </cell>
          <cell r="K41">
            <v>18.433</v>
          </cell>
          <cell r="M41">
            <v>64.762000000000029</v>
          </cell>
        </row>
        <row r="42">
          <cell r="I42">
            <v>2200684.00073</v>
          </cell>
          <cell r="J42">
            <v>30162.231359999998</v>
          </cell>
          <cell r="K42">
            <v>1256.39328</v>
          </cell>
          <cell r="M42">
            <v>4284.6539200000016</v>
          </cell>
        </row>
      </sheetData>
      <sheetData sheetId="26">
        <row r="34">
          <cell r="AO34">
            <v>86676.215697000021</v>
          </cell>
          <cell r="AP34">
            <v>146164.99979999999</v>
          </cell>
        </row>
      </sheetData>
      <sheetData sheetId="27">
        <row r="72">
          <cell r="O72">
            <v>136625.82300000006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0A1F-CE10-419A-A2A1-FCE803F04CF0}">
  <sheetPr>
    <pageSetUpPr fitToPage="1"/>
  </sheetPr>
  <dimension ref="A1:O48"/>
  <sheetViews>
    <sheetView tabSelected="1"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ColWidth="8.85546875" defaultRowHeight="15.75" x14ac:dyDescent="0.25"/>
  <cols>
    <col min="1" max="1" width="3.7109375" style="1" customWidth="1"/>
    <col min="2" max="2" width="50.42578125" style="1" customWidth="1"/>
    <col min="3" max="4" width="14.28515625" style="1" customWidth="1"/>
    <col min="5" max="5" width="16.140625" style="1" bestFit="1" customWidth="1"/>
    <col min="6" max="6" width="15.140625" style="1" bestFit="1" customWidth="1"/>
    <col min="7" max="7" width="13.42578125" style="1" bestFit="1" customWidth="1"/>
    <col min="8" max="8" width="13" style="1" customWidth="1"/>
    <col min="9" max="9" width="10.140625" style="1" customWidth="1"/>
    <col min="10" max="10" width="12.5703125" style="1" customWidth="1"/>
    <col min="11" max="11" width="12.28515625" style="1" customWidth="1"/>
    <col min="12" max="12" width="11" style="1" customWidth="1"/>
    <col min="13" max="13" width="13.42578125" style="1" customWidth="1"/>
    <col min="14" max="14" width="10" style="1" customWidth="1"/>
    <col min="15" max="15" width="11.28515625" style="1" bestFit="1" customWidth="1"/>
    <col min="16" max="16384" width="8.85546875" style="1"/>
  </cols>
  <sheetData>
    <row r="1" spans="1:15" ht="15.6" customHeight="1" x14ac:dyDescent="0.25">
      <c r="A1" s="129" t="s">
        <v>45</v>
      </c>
      <c r="B1" s="129"/>
      <c r="C1" s="129"/>
      <c r="D1" s="129"/>
      <c r="E1" s="129"/>
    </row>
    <row r="2" spans="1:15" ht="15.6" customHeight="1" thickBot="1" x14ac:dyDescent="0.3">
      <c r="A2" s="29"/>
      <c r="B2" s="29"/>
      <c r="C2" s="29"/>
      <c r="D2" s="29"/>
      <c r="E2" s="29"/>
    </row>
    <row r="3" spans="1:15" ht="16.5" thickBot="1" x14ac:dyDescent="0.3">
      <c r="C3" s="123" t="s">
        <v>43</v>
      </c>
      <c r="D3" s="124"/>
      <c r="E3" s="124"/>
      <c r="F3" s="124"/>
      <c r="G3" s="125"/>
      <c r="H3" s="123" t="s">
        <v>44</v>
      </c>
      <c r="I3" s="124"/>
      <c r="J3" s="124"/>
      <c r="K3" s="124"/>
      <c r="L3" s="125"/>
      <c r="M3" s="120" t="s">
        <v>39</v>
      </c>
      <c r="N3" s="121"/>
      <c r="O3" s="122"/>
    </row>
    <row r="4" spans="1:15" s="3" customFormat="1" ht="43.5" x14ac:dyDescent="0.25">
      <c r="A4" s="2"/>
      <c r="B4" s="37" t="s">
        <v>1</v>
      </c>
      <c r="C4" s="41" t="s">
        <v>2</v>
      </c>
      <c r="D4" s="42" t="s">
        <v>3</v>
      </c>
      <c r="E4" s="42" t="s">
        <v>4</v>
      </c>
      <c r="F4" s="42" t="s">
        <v>31</v>
      </c>
      <c r="G4" s="43" t="s">
        <v>32</v>
      </c>
      <c r="H4" s="52" t="s">
        <v>2</v>
      </c>
      <c r="I4" s="53" t="s">
        <v>3</v>
      </c>
      <c r="J4" s="53" t="s">
        <v>4</v>
      </c>
      <c r="K4" s="53" t="s">
        <v>31</v>
      </c>
      <c r="L4" s="54" t="s">
        <v>32</v>
      </c>
      <c r="M4" s="63" t="s">
        <v>2</v>
      </c>
      <c r="N4" s="30" t="s">
        <v>3</v>
      </c>
      <c r="O4" s="31" t="s">
        <v>4</v>
      </c>
    </row>
    <row r="5" spans="1:15" x14ac:dyDescent="0.25">
      <c r="A5" s="4">
        <v>1</v>
      </c>
      <c r="B5" s="38" t="s">
        <v>5</v>
      </c>
      <c r="C5" s="44">
        <v>23683.800000000003</v>
      </c>
      <c r="D5" s="5">
        <f>+E5/C5</f>
        <v>59.539999999999992</v>
      </c>
      <c r="E5" s="24">
        <v>1410133.452</v>
      </c>
      <c r="F5" s="24">
        <f>+C5/31</f>
        <v>763.99354838709689</v>
      </c>
      <c r="G5" s="45">
        <f>+C5/$C$12</f>
        <v>0.24651674025592829</v>
      </c>
      <c r="H5" s="44">
        <f>+[1]Общо!$I$41</f>
        <v>35546.503000000004</v>
      </c>
      <c r="I5" s="5">
        <f>+J5/H5</f>
        <v>61.909999999999989</v>
      </c>
      <c r="J5" s="24">
        <f>+[1]Общо!$I$42</f>
        <v>2200684.00073</v>
      </c>
      <c r="K5" s="24">
        <f t="shared" ref="K5:K14" si="0">+H5/31</f>
        <v>1146.6613870967744</v>
      </c>
      <c r="L5" s="45">
        <f>+H5/$H$12</f>
        <v>0.33308717752735928</v>
      </c>
      <c r="M5" s="44">
        <f>+H5-C5</f>
        <v>11862.703000000001</v>
      </c>
      <c r="N5" s="5">
        <f t="shared" ref="N5:O14" si="1">+I5-D5</f>
        <v>2.3699999999999974</v>
      </c>
      <c r="O5" s="26">
        <f t="shared" si="1"/>
        <v>790550.54872999992</v>
      </c>
    </row>
    <row r="6" spans="1:15" x14ac:dyDescent="0.25">
      <c r="A6" s="4">
        <f>+A5+1</f>
        <v>2</v>
      </c>
      <c r="B6" s="38" t="s">
        <v>6</v>
      </c>
      <c r="C6" s="44">
        <v>600</v>
      </c>
      <c r="D6" s="5">
        <f>+E6/C6</f>
        <v>60.74</v>
      </c>
      <c r="E6" s="24">
        <v>36444</v>
      </c>
      <c r="F6" s="24">
        <f t="shared" ref="F6:F14" si="2">+C6/31</f>
        <v>19.35483870967742</v>
      </c>
      <c r="G6" s="45">
        <f t="shared" ref="G6:G11" si="3">+C6/$C$12</f>
        <v>6.2451990032662387E-3</v>
      </c>
      <c r="H6" s="44">
        <f>+[1]Общо!$J$41+[1]Общо!$K$41+[1]Общо!$M$41</f>
        <v>525.71600000000001</v>
      </c>
      <c r="I6" s="5">
        <f>+J6/H6</f>
        <v>67.913623629488157</v>
      </c>
      <c r="J6" s="24">
        <f>+[1]Общо!$J$42+[1]Общо!$K$42+[1]Общо!$M$42</f>
        <v>35703.278559999999</v>
      </c>
      <c r="K6" s="24">
        <f t="shared" si="0"/>
        <v>16.958580645161291</v>
      </c>
      <c r="L6" s="45">
        <f t="shared" ref="L6:L11" si="4">+H6/$H$12</f>
        <v>4.9262021251703205E-3</v>
      </c>
      <c r="M6" s="44">
        <f t="shared" ref="M6:M14" si="5">+H6-C6</f>
        <v>-74.283999999999992</v>
      </c>
      <c r="N6" s="5">
        <f t="shared" si="1"/>
        <v>7.173623629488155</v>
      </c>
      <c r="O6" s="26">
        <f t="shared" si="1"/>
        <v>-740.72144000000117</v>
      </c>
    </row>
    <row r="7" spans="1:15" x14ac:dyDescent="0.25">
      <c r="A7" s="4">
        <f t="shared" ref="A7:A10" si="6">+A6+1</f>
        <v>3</v>
      </c>
      <c r="B7" s="38" t="s">
        <v>7</v>
      </c>
      <c r="C7" s="44">
        <v>0</v>
      </c>
      <c r="D7" s="5">
        <v>0</v>
      </c>
      <c r="E7" s="24">
        <v>0</v>
      </c>
      <c r="F7" s="24">
        <f t="shared" si="2"/>
        <v>0</v>
      </c>
      <c r="G7" s="45">
        <f t="shared" si="3"/>
        <v>0</v>
      </c>
      <c r="H7" s="44"/>
      <c r="I7" s="5">
        <v>0</v>
      </c>
      <c r="J7" s="24"/>
      <c r="K7" s="24">
        <f t="shared" si="0"/>
        <v>0</v>
      </c>
      <c r="L7" s="45">
        <f t="shared" si="4"/>
        <v>0</v>
      </c>
      <c r="M7" s="44">
        <f t="shared" si="5"/>
        <v>0</v>
      </c>
      <c r="N7" s="5">
        <f t="shared" si="1"/>
        <v>0</v>
      </c>
      <c r="O7" s="26">
        <f t="shared" si="1"/>
        <v>0</v>
      </c>
    </row>
    <row r="8" spans="1:15" x14ac:dyDescent="0.25">
      <c r="A8" s="4">
        <f t="shared" si="6"/>
        <v>4</v>
      </c>
      <c r="B8" s="38" t="s">
        <v>8</v>
      </c>
      <c r="C8" s="44">
        <v>0</v>
      </c>
      <c r="D8" s="5">
        <v>0</v>
      </c>
      <c r="E8" s="24">
        <v>0</v>
      </c>
      <c r="F8" s="24">
        <f t="shared" si="2"/>
        <v>0</v>
      </c>
      <c r="G8" s="45">
        <f t="shared" si="3"/>
        <v>0</v>
      </c>
      <c r="H8" s="44">
        <f>+'[1]Борса и балансиране'!$F$34</f>
        <v>300</v>
      </c>
      <c r="I8" s="5">
        <f t="shared" ref="I8:I11" si="7">+J8/H8</f>
        <v>60.75</v>
      </c>
      <c r="J8" s="24">
        <f>+'[1]Борса и балансиране'!$H$34</f>
        <v>18225</v>
      </c>
      <c r="K8" s="24">
        <f t="shared" si="0"/>
        <v>9.67741935483871</v>
      </c>
      <c r="L8" s="45">
        <f t="shared" si="4"/>
        <v>2.8111387851065903E-3</v>
      </c>
      <c r="M8" s="44">
        <f t="shared" si="5"/>
        <v>300</v>
      </c>
      <c r="N8" s="5">
        <f t="shared" si="1"/>
        <v>60.75</v>
      </c>
      <c r="O8" s="26">
        <f t="shared" si="1"/>
        <v>18225</v>
      </c>
    </row>
    <row r="9" spans="1:15" x14ac:dyDescent="0.25">
      <c r="A9" s="4">
        <f t="shared" si="6"/>
        <v>5</v>
      </c>
      <c r="B9" s="38" t="s">
        <v>9</v>
      </c>
      <c r="C9" s="44">
        <v>0</v>
      </c>
      <c r="D9" s="5">
        <v>0</v>
      </c>
      <c r="E9" s="24">
        <v>0</v>
      </c>
      <c r="F9" s="24">
        <f t="shared" si="2"/>
        <v>0</v>
      </c>
      <c r="G9" s="45">
        <f t="shared" si="3"/>
        <v>0</v>
      </c>
      <c r="H9" s="44"/>
      <c r="I9" s="5">
        <v>0</v>
      </c>
      <c r="J9" s="24"/>
      <c r="K9" s="24">
        <f t="shared" si="0"/>
        <v>0</v>
      </c>
      <c r="L9" s="45">
        <f t="shared" si="4"/>
        <v>0</v>
      </c>
      <c r="M9" s="44">
        <f t="shared" si="5"/>
        <v>0</v>
      </c>
      <c r="N9" s="5">
        <f t="shared" si="1"/>
        <v>0</v>
      </c>
      <c r="O9" s="26">
        <f t="shared" si="1"/>
        <v>0</v>
      </c>
    </row>
    <row r="10" spans="1:15" x14ac:dyDescent="0.25">
      <c r="A10" s="4">
        <f t="shared" si="6"/>
        <v>6</v>
      </c>
      <c r="B10" s="38" t="s">
        <v>10</v>
      </c>
      <c r="C10" s="44">
        <v>0</v>
      </c>
      <c r="D10" s="5" t="e">
        <f t="shared" ref="D10:D11" si="8">+E10/C10</f>
        <v>#DIV/0!</v>
      </c>
      <c r="E10" s="24">
        <v>0</v>
      </c>
      <c r="F10" s="24">
        <f t="shared" si="2"/>
        <v>0</v>
      </c>
      <c r="G10" s="45">
        <f t="shared" si="3"/>
        <v>0</v>
      </c>
      <c r="H10" s="44">
        <f>+'[1]Борса и балансиране'!$J$34</f>
        <v>0.19100000000071304</v>
      </c>
      <c r="I10" s="5">
        <f t="shared" si="7"/>
        <v>53.664921465768245</v>
      </c>
      <c r="J10" s="24">
        <f>+'[1]Борса и балансиране'!$N$34</f>
        <v>10.25</v>
      </c>
      <c r="K10" s="24">
        <f t="shared" si="0"/>
        <v>6.1612903226036467E-3</v>
      </c>
      <c r="L10" s="45">
        <f t="shared" si="4"/>
        <v>1.7897583598578773E-6</v>
      </c>
      <c r="M10" s="44">
        <f t="shared" si="5"/>
        <v>0.19100000000071304</v>
      </c>
      <c r="N10" s="5" t="e">
        <f t="shared" si="1"/>
        <v>#DIV/0!</v>
      </c>
      <c r="O10" s="26">
        <f t="shared" si="1"/>
        <v>10.25</v>
      </c>
    </row>
    <row r="11" spans="1:15" x14ac:dyDescent="0.25">
      <c r="A11" s="4">
        <v>8</v>
      </c>
      <c r="B11" s="38" t="s">
        <v>11</v>
      </c>
      <c r="C11" s="44">
        <v>71790</v>
      </c>
      <c r="D11" s="5">
        <f t="shared" si="8"/>
        <v>52.684989648033124</v>
      </c>
      <c r="E11" s="24">
        <v>3782255.4068322978</v>
      </c>
      <c r="F11" s="24">
        <f t="shared" si="2"/>
        <v>2315.8064516129034</v>
      </c>
      <c r="G11" s="45">
        <f t="shared" si="3"/>
        <v>0.74723806074080545</v>
      </c>
      <c r="H11" s="44">
        <f>+[1]Цени!$Y$33</f>
        <v>70345.907000000007</v>
      </c>
      <c r="I11" s="5">
        <f t="shared" si="7"/>
        <v>52.693809523809513</v>
      </c>
      <c r="J11" s="24">
        <f>+[1]Цени!$AA$33</f>
        <v>3706793.8242376186</v>
      </c>
      <c r="K11" s="24">
        <f t="shared" si="0"/>
        <v>2269.222806451613</v>
      </c>
      <c r="L11" s="45">
        <f t="shared" si="4"/>
        <v>0.65917369180400398</v>
      </c>
      <c r="M11" s="44">
        <f t="shared" si="5"/>
        <v>-1444.0929999999935</v>
      </c>
      <c r="N11" s="5">
        <f t="shared" si="1"/>
        <v>8.8198757763890967E-3</v>
      </c>
      <c r="O11" s="26">
        <f t="shared" si="1"/>
        <v>-75461.582594679203</v>
      </c>
    </row>
    <row r="12" spans="1:15" ht="31.5" x14ac:dyDescent="0.25">
      <c r="A12" s="19" t="s">
        <v>0</v>
      </c>
      <c r="B12" s="39" t="s">
        <v>34</v>
      </c>
      <c r="C12" s="46">
        <f>SUM(C5:C11)</f>
        <v>96073.8</v>
      </c>
      <c r="D12" s="33">
        <f>+E12/C12</f>
        <v>54.425169597042043</v>
      </c>
      <c r="E12" s="32">
        <f>SUM(E5:E11)</f>
        <v>5228832.8588322978</v>
      </c>
      <c r="F12" s="32">
        <f t="shared" si="2"/>
        <v>3099.1548387096777</v>
      </c>
      <c r="G12" s="47"/>
      <c r="H12" s="55">
        <f>SUM(H5:H11)</f>
        <v>106718.31700000001</v>
      </c>
      <c r="I12" s="35">
        <f>+J12/H12</f>
        <v>55.861229085233965</v>
      </c>
      <c r="J12" s="34">
        <f>SUM(J5:J11)</f>
        <v>5961416.3535276186</v>
      </c>
      <c r="K12" s="34">
        <f t="shared" si="0"/>
        <v>3442.5263548387102</v>
      </c>
      <c r="L12" s="56"/>
      <c r="M12" s="64">
        <f t="shared" si="5"/>
        <v>10644.517000000007</v>
      </c>
      <c r="N12" s="23">
        <f t="shared" si="1"/>
        <v>1.4360594881919226</v>
      </c>
      <c r="O12" s="65">
        <f t="shared" si="1"/>
        <v>732583.49469532073</v>
      </c>
    </row>
    <row r="13" spans="1:15" ht="31.5" x14ac:dyDescent="0.25">
      <c r="A13" s="28"/>
      <c r="B13" s="39" t="s">
        <v>35</v>
      </c>
      <c r="C13" s="46">
        <v>147000.98999999996</v>
      </c>
      <c r="D13" s="33">
        <f>+C46</f>
        <v>59.54</v>
      </c>
      <c r="E13" s="32">
        <f>+C13*D13</f>
        <v>8752438.9445999973</v>
      </c>
      <c r="F13" s="32">
        <f t="shared" si="2"/>
        <v>4741.9674193548371</v>
      </c>
      <c r="G13" s="47"/>
      <c r="H13" s="55">
        <f>+'[1]Рамка Септември'!$O$72</f>
        <v>136625.82300000006</v>
      </c>
      <c r="I13" s="35">
        <f>+D46</f>
        <v>61.91</v>
      </c>
      <c r="J13" s="34">
        <f>+H13*I13</f>
        <v>8458504.7019300032</v>
      </c>
      <c r="K13" s="34">
        <f t="shared" si="0"/>
        <v>4407.2846129032278</v>
      </c>
      <c r="L13" s="56"/>
      <c r="M13" s="64">
        <f t="shared" si="5"/>
        <v>-10375.166999999899</v>
      </c>
      <c r="N13" s="23">
        <f t="shared" si="1"/>
        <v>2.3699999999999974</v>
      </c>
      <c r="O13" s="65">
        <f t="shared" si="1"/>
        <v>-293934.24266999401</v>
      </c>
    </row>
    <row r="14" spans="1:15" ht="16.5" thickBot="1" x14ac:dyDescent="0.3">
      <c r="A14" s="19"/>
      <c r="B14" s="40" t="s">
        <v>33</v>
      </c>
      <c r="C14" s="48">
        <f>+C12+C13</f>
        <v>243074.78999999998</v>
      </c>
      <c r="D14" s="49"/>
      <c r="E14" s="50">
        <f>+E12+E13</f>
        <v>13981271.803432295</v>
      </c>
      <c r="F14" s="50">
        <f t="shared" si="2"/>
        <v>7841.1222580645153</v>
      </c>
      <c r="G14" s="51"/>
      <c r="H14" s="57">
        <f>+H12+H13</f>
        <v>243344.14000000007</v>
      </c>
      <c r="I14" s="58"/>
      <c r="J14" s="59">
        <f>+J12+J13</f>
        <v>14419921.055457622</v>
      </c>
      <c r="K14" s="59">
        <f t="shared" si="0"/>
        <v>7849.8109677419379</v>
      </c>
      <c r="L14" s="60"/>
      <c r="M14" s="66">
        <f t="shared" si="5"/>
        <v>269.35000000009313</v>
      </c>
      <c r="N14" s="93">
        <f t="shared" si="1"/>
        <v>0</v>
      </c>
      <c r="O14" s="68">
        <f t="shared" si="1"/>
        <v>438649.25202532671</v>
      </c>
    </row>
    <row r="15" spans="1:15" ht="16.5" thickBot="1" x14ac:dyDescent="0.3">
      <c r="A15" s="10"/>
      <c r="E15" s="11"/>
    </row>
    <row r="16" spans="1:15" ht="16.5" thickBot="1" x14ac:dyDescent="0.3">
      <c r="A16" s="10"/>
      <c r="C16" s="123" t="s">
        <v>43</v>
      </c>
      <c r="D16" s="124"/>
      <c r="E16" s="124"/>
      <c r="F16" s="124"/>
      <c r="G16" s="125"/>
      <c r="H16" s="123" t="s">
        <v>44</v>
      </c>
      <c r="I16" s="124"/>
      <c r="J16" s="124"/>
      <c r="K16" s="124"/>
      <c r="L16" s="125"/>
      <c r="M16" s="126" t="s">
        <v>39</v>
      </c>
      <c r="N16" s="127"/>
      <c r="O16" s="128"/>
    </row>
    <row r="17" spans="1:15" s="3" customFormat="1" ht="43.5" x14ac:dyDescent="0.25">
      <c r="A17" s="12"/>
      <c r="B17" s="69" t="s">
        <v>13</v>
      </c>
      <c r="C17" s="41" t="s">
        <v>2</v>
      </c>
      <c r="D17" s="42" t="s">
        <v>3</v>
      </c>
      <c r="E17" s="42" t="s">
        <v>14</v>
      </c>
      <c r="F17" s="42" t="s">
        <v>31</v>
      </c>
      <c r="G17" s="61" t="s">
        <v>32</v>
      </c>
      <c r="H17" s="52" t="s">
        <v>2</v>
      </c>
      <c r="I17" s="53" t="s">
        <v>3</v>
      </c>
      <c r="J17" s="53" t="s">
        <v>14</v>
      </c>
      <c r="K17" s="53" t="s">
        <v>31</v>
      </c>
      <c r="L17" s="79" t="s">
        <v>32</v>
      </c>
      <c r="M17" s="82" t="s">
        <v>2</v>
      </c>
      <c r="N17" s="83" t="s">
        <v>3</v>
      </c>
      <c r="O17" s="84" t="s">
        <v>14</v>
      </c>
    </row>
    <row r="18" spans="1:15" x14ac:dyDescent="0.25">
      <c r="A18" s="4">
        <v>1</v>
      </c>
      <c r="B18" s="38" t="s">
        <v>15</v>
      </c>
      <c r="C18" s="44">
        <v>450</v>
      </c>
      <c r="D18" s="5">
        <f t="shared" ref="D18:D19" si="9">+E18/C18</f>
        <v>67.95</v>
      </c>
      <c r="E18" s="24">
        <v>30577.5</v>
      </c>
      <c r="F18" s="24">
        <f t="shared" ref="F18:F27" si="10">+C18/31</f>
        <v>14.516129032258064</v>
      </c>
      <c r="G18" s="62">
        <f>+C18/$C$25</f>
        <v>4.6838992524496801E-3</v>
      </c>
      <c r="H18" s="44">
        <f>+[1]Цени!$C$33</f>
        <v>450</v>
      </c>
      <c r="I18" s="5">
        <f t="shared" ref="I18:I19" si="11">+J18/H18</f>
        <v>69.37</v>
      </c>
      <c r="J18" s="24">
        <f>+[1]Цени!$C$37</f>
        <v>31216.500000000004</v>
      </c>
      <c r="K18" s="24">
        <f t="shared" ref="K18:K27" si="12">+H18/31</f>
        <v>14.516129032258064</v>
      </c>
      <c r="L18" s="62">
        <f>+H18/$H$25</f>
        <v>4.2167081776598855E-3</v>
      </c>
      <c r="M18" s="44">
        <f t="shared" ref="M18:M27" si="13">+H18-C18</f>
        <v>0</v>
      </c>
      <c r="N18" s="5">
        <f t="shared" ref="N18:N27" si="14">+I18-D18</f>
        <v>1.4200000000000017</v>
      </c>
      <c r="O18" s="26">
        <f t="shared" ref="O18:O27" si="15">+J18-E18</f>
        <v>639.00000000000364</v>
      </c>
    </row>
    <row r="19" spans="1:15" x14ac:dyDescent="0.25">
      <c r="A19" s="4">
        <f>+A18+1</f>
        <v>2</v>
      </c>
      <c r="B19" s="38" t="s">
        <v>7</v>
      </c>
      <c r="C19" s="44">
        <v>72000</v>
      </c>
      <c r="D19" s="5">
        <f t="shared" si="9"/>
        <v>52.58958333333333</v>
      </c>
      <c r="E19" s="24">
        <v>3786450</v>
      </c>
      <c r="F19" s="24">
        <f t="shared" si="10"/>
        <v>2322.5806451612902</v>
      </c>
      <c r="G19" s="62">
        <f t="shared" ref="G19:G24" si="16">+C19/$C$25</f>
        <v>0.74942388039194874</v>
      </c>
      <c r="H19" s="44">
        <f>SUM([1]Цени!$D$33:$P$33)</f>
        <v>72000</v>
      </c>
      <c r="I19" s="5">
        <f t="shared" si="11"/>
        <v>52.58958333333333</v>
      </c>
      <c r="J19" s="24">
        <f>SUM([1]Цени!$D$37:$P$37)</f>
        <v>3786450</v>
      </c>
      <c r="K19" s="24">
        <f t="shared" si="12"/>
        <v>2322.5806451612902</v>
      </c>
      <c r="L19" s="62">
        <f t="shared" ref="L19:L24" si="17">+H19/$H$25</f>
        <v>0.6746733084255816</v>
      </c>
      <c r="M19" s="44">
        <f t="shared" si="13"/>
        <v>0</v>
      </c>
      <c r="N19" s="5">
        <f t="shared" si="14"/>
        <v>0</v>
      </c>
      <c r="O19" s="26">
        <f t="shared" si="15"/>
        <v>0</v>
      </c>
    </row>
    <row r="20" spans="1:15" x14ac:dyDescent="0.25">
      <c r="A20" s="4">
        <f t="shared" ref="A20:A24" si="18">+A19+1</f>
        <v>3</v>
      </c>
      <c r="B20" s="38" t="s">
        <v>16</v>
      </c>
      <c r="C20" s="44">
        <v>0</v>
      </c>
      <c r="D20" s="5">
        <v>0</v>
      </c>
      <c r="E20" s="24">
        <v>0</v>
      </c>
      <c r="F20" s="24">
        <f t="shared" si="10"/>
        <v>0</v>
      </c>
      <c r="G20" s="62">
        <f t="shared" si="16"/>
        <v>0</v>
      </c>
      <c r="H20" s="44"/>
      <c r="I20" s="5">
        <v>0</v>
      </c>
      <c r="J20" s="24"/>
      <c r="K20" s="24">
        <f t="shared" si="12"/>
        <v>0</v>
      </c>
      <c r="L20" s="62">
        <f t="shared" si="17"/>
        <v>0</v>
      </c>
      <c r="M20" s="44">
        <f t="shared" si="13"/>
        <v>0</v>
      </c>
      <c r="N20" s="5">
        <f t="shared" si="14"/>
        <v>0</v>
      </c>
      <c r="O20" s="26">
        <f t="shared" si="15"/>
        <v>0</v>
      </c>
    </row>
    <row r="21" spans="1:15" x14ac:dyDescent="0.25">
      <c r="A21" s="4">
        <f t="shared" si="18"/>
        <v>4</v>
      </c>
      <c r="B21" s="38" t="s">
        <v>8</v>
      </c>
      <c r="C21" s="44">
        <v>23623.799999999996</v>
      </c>
      <c r="D21" s="5">
        <f t="shared" ref="D21" si="19">+E21/C21</f>
        <v>57.999999999999964</v>
      </c>
      <c r="E21" s="24">
        <v>1370180.399999999</v>
      </c>
      <c r="F21" s="24">
        <f t="shared" si="10"/>
        <v>762.05806451612887</v>
      </c>
      <c r="G21" s="62">
        <f t="shared" si="16"/>
        <v>0.24589222035560163</v>
      </c>
      <c r="H21" s="44">
        <f>+'[1]Борса и балансиране'!$C$34</f>
        <v>34204.709000000003</v>
      </c>
      <c r="I21" s="5">
        <f t="shared" ref="I21" si="20">+J21/H21</f>
        <v>57.586715181290835</v>
      </c>
      <c r="J21" s="24">
        <f>+'[1]Борса и балансиране'!$E$34</f>
        <v>1969736.8350419353</v>
      </c>
      <c r="K21" s="24">
        <f t="shared" si="12"/>
        <v>1103.3777096774195</v>
      </c>
      <c r="L21" s="62">
        <f t="shared" si="17"/>
        <v>0.32051394701061486</v>
      </c>
      <c r="M21" s="44">
        <f t="shared" si="13"/>
        <v>10580.909000000007</v>
      </c>
      <c r="N21" s="5">
        <f t="shared" si="14"/>
        <v>-0.41328481870912981</v>
      </c>
      <c r="O21" s="26">
        <f t="shared" si="15"/>
        <v>599556.43504193635</v>
      </c>
    </row>
    <row r="22" spans="1:15" x14ac:dyDescent="0.25">
      <c r="A22" s="4">
        <f t="shared" si="18"/>
        <v>5</v>
      </c>
      <c r="B22" s="38" t="s">
        <v>9</v>
      </c>
      <c r="C22" s="44">
        <v>0</v>
      </c>
      <c r="D22" s="5">
        <v>0</v>
      </c>
      <c r="E22" s="24">
        <v>0</v>
      </c>
      <c r="F22" s="24">
        <f t="shared" si="10"/>
        <v>0</v>
      </c>
      <c r="G22" s="62">
        <f t="shared" si="16"/>
        <v>0</v>
      </c>
      <c r="H22" s="44"/>
      <c r="I22" s="5">
        <v>0</v>
      </c>
      <c r="J22" s="24"/>
      <c r="K22" s="24">
        <f t="shared" si="12"/>
        <v>0</v>
      </c>
      <c r="L22" s="62">
        <f t="shared" si="17"/>
        <v>0</v>
      </c>
      <c r="M22" s="44">
        <f t="shared" si="13"/>
        <v>0</v>
      </c>
      <c r="N22" s="5">
        <f t="shared" si="14"/>
        <v>0</v>
      </c>
      <c r="O22" s="26">
        <f t="shared" si="15"/>
        <v>0</v>
      </c>
    </row>
    <row r="23" spans="1:15" x14ac:dyDescent="0.25">
      <c r="A23" s="4">
        <f t="shared" si="18"/>
        <v>6</v>
      </c>
      <c r="B23" s="38" t="s">
        <v>10</v>
      </c>
      <c r="C23" s="44">
        <v>0</v>
      </c>
      <c r="D23" s="5">
        <v>0</v>
      </c>
      <c r="E23" s="24">
        <v>0</v>
      </c>
      <c r="F23" s="24">
        <f t="shared" si="10"/>
        <v>0</v>
      </c>
      <c r="G23" s="62">
        <f t="shared" si="16"/>
        <v>0</v>
      </c>
      <c r="H23" s="44">
        <f>+'[1]Борса и балансиране'!$K$34*-1</f>
        <v>63.608000000002448</v>
      </c>
      <c r="I23" s="5">
        <f t="shared" ref="I23" si="21">+J23/H23</f>
        <v>65.675386743803273</v>
      </c>
      <c r="J23" s="24">
        <f>+'[1]Борса и балансиране'!$O$34*-1</f>
        <v>4177.4799999999996</v>
      </c>
      <c r="K23" s="24">
        <f t="shared" si="12"/>
        <v>2.0518709677420146</v>
      </c>
      <c r="L23" s="62">
        <f t="shared" si="17"/>
        <v>5.9603638614355624E-4</v>
      </c>
      <c r="M23" s="44">
        <f t="shared" si="13"/>
        <v>63.608000000002448</v>
      </c>
      <c r="N23" s="5">
        <f t="shared" si="14"/>
        <v>65.675386743803273</v>
      </c>
      <c r="O23" s="26">
        <f t="shared" si="15"/>
        <v>4177.4799999999996</v>
      </c>
    </row>
    <row r="24" spans="1:15" x14ac:dyDescent="0.25">
      <c r="A24" s="4">
        <f t="shared" si="18"/>
        <v>7</v>
      </c>
      <c r="B24" s="38" t="s">
        <v>26</v>
      </c>
      <c r="C24" s="44">
        <v>0</v>
      </c>
      <c r="D24" s="5">
        <v>0</v>
      </c>
      <c r="E24" s="24">
        <v>0</v>
      </c>
      <c r="F24" s="24">
        <f t="shared" si="10"/>
        <v>0</v>
      </c>
      <c r="G24" s="62">
        <f t="shared" si="16"/>
        <v>0</v>
      </c>
      <c r="H24" s="44">
        <v>0</v>
      </c>
      <c r="I24" s="5">
        <v>0</v>
      </c>
      <c r="J24" s="24">
        <v>0</v>
      </c>
      <c r="K24" s="24">
        <f t="shared" si="12"/>
        <v>0</v>
      </c>
      <c r="L24" s="62">
        <f t="shared" si="17"/>
        <v>0</v>
      </c>
      <c r="M24" s="44">
        <f t="shared" si="13"/>
        <v>0</v>
      </c>
      <c r="N24" s="5">
        <f t="shared" si="14"/>
        <v>0</v>
      </c>
      <c r="O24" s="26">
        <f t="shared" si="15"/>
        <v>0</v>
      </c>
    </row>
    <row r="25" spans="1:15" s="9" customFormat="1" x14ac:dyDescent="0.25">
      <c r="A25" s="6" t="s">
        <v>12</v>
      </c>
      <c r="B25" s="70" t="s">
        <v>36</v>
      </c>
      <c r="C25" s="71">
        <f>SUM(C18:C24)</f>
        <v>96073.799999999988</v>
      </c>
      <c r="D25" s="8">
        <f>+E25/C25</f>
        <v>53.991909344691258</v>
      </c>
      <c r="E25" s="27">
        <f>SUM(E18:E24)</f>
        <v>5187207.8999999985</v>
      </c>
      <c r="F25" s="25">
        <f t="shared" si="10"/>
        <v>3099.1548387096768</v>
      </c>
      <c r="G25" s="77">
        <f>+C25/C27</f>
        <v>0.3952437848449854</v>
      </c>
      <c r="H25" s="55">
        <f>SUM(H18:H24)</f>
        <v>106718.31700000001</v>
      </c>
      <c r="I25" s="35">
        <f>+J25/H25</f>
        <v>54.269791520812078</v>
      </c>
      <c r="J25" s="34">
        <f>SUM(J18:J24)</f>
        <v>5791580.815041936</v>
      </c>
      <c r="K25" s="34">
        <f t="shared" si="12"/>
        <v>3442.5263548387102</v>
      </c>
      <c r="L25" s="80">
        <f>+H25/H27</f>
        <v>0.43854894964801694</v>
      </c>
      <c r="M25" s="64">
        <f t="shared" si="13"/>
        <v>10644.517000000022</v>
      </c>
      <c r="N25" s="36">
        <f t="shared" si="14"/>
        <v>0.27788217612081922</v>
      </c>
      <c r="O25" s="65">
        <f t="shared" si="15"/>
        <v>604372.91504193749</v>
      </c>
    </row>
    <row r="26" spans="1:15" ht="31.5" x14ac:dyDescent="0.25">
      <c r="A26" s="19"/>
      <c r="B26" s="39" t="s">
        <v>37</v>
      </c>
      <c r="C26" s="72">
        <f>+C13</f>
        <v>147000.98999999996</v>
      </c>
      <c r="D26" s="21">
        <f>+C46</f>
        <v>59.54</v>
      </c>
      <c r="E26" s="25">
        <f>+C26*D26</f>
        <v>8752438.9445999973</v>
      </c>
      <c r="F26" s="25">
        <f t="shared" si="10"/>
        <v>4741.9674193548371</v>
      </c>
      <c r="G26" s="77">
        <f>+C26/C27</f>
        <v>0.60475621515501465</v>
      </c>
      <c r="H26" s="55">
        <f>+H13</f>
        <v>136625.82300000006</v>
      </c>
      <c r="I26" s="35">
        <f>+I13</f>
        <v>61.91</v>
      </c>
      <c r="J26" s="34">
        <f>+H26*I26</f>
        <v>8458504.7019300032</v>
      </c>
      <c r="K26" s="34">
        <f t="shared" si="12"/>
        <v>4407.2846129032278</v>
      </c>
      <c r="L26" s="80">
        <f>+H26/H27</f>
        <v>0.56145105035198306</v>
      </c>
      <c r="M26" s="64">
        <f t="shared" si="13"/>
        <v>-10375.166999999899</v>
      </c>
      <c r="N26" s="36">
        <f t="shared" si="14"/>
        <v>2.3699999999999974</v>
      </c>
      <c r="O26" s="65">
        <f t="shared" si="15"/>
        <v>-293934.24266999401</v>
      </c>
    </row>
    <row r="27" spans="1:15" s="9" customFormat="1" ht="16.5" thickBot="1" x14ac:dyDescent="0.3">
      <c r="A27" s="7"/>
      <c r="B27" s="40" t="s">
        <v>38</v>
      </c>
      <c r="C27" s="73">
        <f>+C25+C26</f>
        <v>243074.78999999995</v>
      </c>
      <c r="D27" s="74"/>
      <c r="E27" s="75">
        <f>+E26+E25</f>
        <v>13939646.844599996</v>
      </c>
      <c r="F27" s="76">
        <f t="shared" si="10"/>
        <v>7841.1222580645144</v>
      </c>
      <c r="G27" s="78"/>
      <c r="H27" s="57">
        <f>+H25+H26</f>
        <v>243344.14000000007</v>
      </c>
      <c r="I27" s="58"/>
      <c r="J27" s="59">
        <f>+J26+J25</f>
        <v>14250085.516971938</v>
      </c>
      <c r="K27" s="59">
        <f t="shared" si="12"/>
        <v>7849.8109677419379</v>
      </c>
      <c r="L27" s="81"/>
      <c r="M27" s="66">
        <f t="shared" si="13"/>
        <v>269.35000000012224</v>
      </c>
      <c r="N27" s="67">
        <f t="shared" si="14"/>
        <v>0</v>
      </c>
      <c r="O27" s="68">
        <f t="shared" si="15"/>
        <v>310438.67237194255</v>
      </c>
    </row>
    <row r="28" spans="1:15" x14ac:dyDescent="0.25">
      <c r="A28" s="10"/>
      <c r="C28" s="18"/>
      <c r="E28" s="11"/>
      <c r="F28" s="16"/>
      <c r="G28" s="16"/>
    </row>
    <row r="29" spans="1:15" ht="47.25" x14ac:dyDescent="0.25">
      <c r="A29" s="10"/>
      <c r="C29" s="18"/>
      <c r="E29" s="89" t="s">
        <v>43</v>
      </c>
      <c r="F29" s="102" t="s">
        <v>44</v>
      </c>
      <c r="G29" s="136" t="s">
        <v>39</v>
      </c>
      <c r="H29" s="136"/>
    </row>
    <row r="30" spans="1:15" s="9" customFormat="1" x14ac:dyDescent="0.25">
      <c r="A30" s="17" t="s">
        <v>17</v>
      </c>
      <c r="B30" s="133" t="s">
        <v>30</v>
      </c>
      <c r="C30" s="134"/>
      <c r="D30" s="135"/>
      <c r="E30" s="25">
        <f>+E12-E25</f>
        <v>41624.958832299337</v>
      </c>
      <c r="F30" s="100">
        <f>+J12-J25</f>
        <v>169835.53848568257</v>
      </c>
      <c r="G30" s="96">
        <f>+F30-E30</f>
        <v>128210.57965338323</v>
      </c>
      <c r="H30" s="94">
        <f>+F30/E30-1</f>
        <v>3.0801370920251063</v>
      </c>
    </row>
    <row r="31" spans="1:15" s="9" customFormat="1" x14ac:dyDescent="0.25">
      <c r="A31" s="22" t="s">
        <v>19</v>
      </c>
      <c r="B31" s="137" t="s">
        <v>22</v>
      </c>
      <c r="C31" s="138"/>
      <c r="D31" s="139"/>
      <c r="E31" s="25">
        <v>69972.554700000008</v>
      </c>
      <c r="F31" s="100">
        <f>+'[1]ОБЩО NEW за печат'!$AO$34</f>
        <v>86676.215697000021</v>
      </c>
      <c r="G31" s="23">
        <f t="shared" ref="G31:G35" si="22">+F31-E31</f>
        <v>16703.660997000014</v>
      </c>
      <c r="H31" s="95">
        <f t="shared" ref="H31:H35" si="23">+F31/E31-1</f>
        <v>0.2387173237938105</v>
      </c>
    </row>
    <row r="32" spans="1:15" s="9" customFormat="1" x14ac:dyDescent="0.25">
      <c r="A32" s="99" t="s">
        <v>20</v>
      </c>
      <c r="B32" s="90" t="s">
        <v>40</v>
      </c>
      <c r="C32" s="91"/>
      <c r="D32" s="92"/>
      <c r="E32" s="25">
        <v>146165</v>
      </c>
      <c r="F32" s="100">
        <f>+'[1]ОБЩО NEW за печат'!$AP$34</f>
        <v>146164.99979999999</v>
      </c>
      <c r="G32" s="23">
        <f t="shared" si="22"/>
        <v>-2.0000000949949026E-4</v>
      </c>
      <c r="H32" s="95">
        <f t="shared" si="23"/>
        <v>-1.3683166821820691E-9</v>
      </c>
    </row>
    <row r="33" spans="1:8" s="9" customFormat="1" x14ac:dyDescent="0.25">
      <c r="A33" s="6" t="s">
        <v>25</v>
      </c>
      <c r="B33" s="130" t="s">
        <v>18</v>
      </c>
      <c r="C33" s="131"/>
      <c r="D33" s="132"/>
      <c r="E33" s="25">
        <v>79634.10000000002</v>
      </c>
      <c r="F33" s="100">
        <v>79634.10000000002</v>
      </c>
      <c r="G33" s="96">
        <f t="shared" si="22"/>
        <v>0</v>
      </c>
      <c r="H33" s="94">
        <f t="shared" si="23"/>
        <v>0</v>
      </c>
    </row>
    <row r="34" spans="1:8" x14ac:dyDescent="0.25">
      <c r="A34" s="20" t="s">
        <v>41</v>
      </c>
      <c r="B34" s="140" t="s">
        <v>27</v>
      </c>
      <c r="C34" s="141"/>
      <c r="D34" s="142"/>
      <c r="E34" s="25">
        <f>+C24*C48*-1</f>
        <v>0</v>
      </c>
      <c r="F34" s="100">
        <f>+H24*D48*-1</f>
        <v>0</v>
      </c>
      <c r="G34" s="97">
        <f t="shared" si="22"/>
        <v>0</v>
      </c>
      <c r="H34" s="98">
        <v>0</v>
      </c>
    </row>
    <row r="35" spans="1:8" s="9" customFormat="1" x14ac:dyDescent="0.25">
      <c r="A35" s="17"/>
      <c r="B35" s="133" t="s">
        <v>42</v>
      </c>
      <c r="C35" s="134"/>
      <c r="D35" s="135"/>
      <c r="E35" s="25">
        <f>+E30+E31-E32-E33+E34</f>
        <v>-114201.58646770068</v>
      </c>
      <c r="F35" s="100">
        <f>+F30+F31-F33+F34-F32</f>
        <v>30712.65438268258</v>
      </c>
      <c r="G35" s="96">
        <f t="shared" si="22"/>
        <v>144914.24085038324</v>
      </c>
      <c r="H35" s="94">
        <f t="shared" si="23"/>
        <v>-1.2689336928902382</v>
      </c>
    </row>
    <row r="36" spans="1:8" x14ac:dyDescent="0.25">
      <c r="A36" s="10"/>
      <c r="E36" s="11"/>
      <c r="F36" s="16"/>
    </row>
    <row r="37" spans="1:8" x14ac:dyDescent="0.25">
      <c r="A37" s="10"/>
      <c r="E37" s="11"/>
      <c r="F37" s="16"/>
    </row>
    <row r="38" spans="1:8" ht="57.75" x14ac:dyDescent="0.25">
      <c r="A38" s="12"/>
      <c r="B38" s="13" t="s">
        <v>13</v>
      </c>
      <c r="C38" s="14" t="s">
        <v>2</v>
      </c>
      <c r="D38" s="14" t="s">
        <v>21</v>
      </c>
      <c r="E38" s="15" t="s">
        <v>14</v>
      </c>
    </row>
    <row r="39" spans="1:8" s="112" customFormat="1" ht="16.5" thickBot="1" x14ac:dyDescent="0.3">
      <c r="A39" s="107">
        <v>1</v>
      </c>
      <c r="B39" s="108" t="s">
        <v>46</v>
      </c>
      <c r="C39" s="109">
        <f>+[1]Цени!$Y$1</f>
        <v>448930.09299999999</v>
      </c>
      <c r="D39" s="110">
        <f>+E39/C39</f>
        <v>110.50602499620534</v>
      </c>
      <c r="E39" s="111">
        <f>+[1]Цени!$AA$1</f>
        <v>49609480.078606784</v>
      </c>
    </row>
    <row r="40" spans="1:8" s="112" customFormat="1" ht="16.5" thickBot="1" x14ac:dyDescent="0.3">
      <c r="A40" s="107">
        <v>2</v>
      </c>
      <c r="B40" s="108" t="s">
        <v>47</v>
      </c>
      <c r="C40" s="109">
        <f>+[1]Общо!$BE$33</f>
        <v>519276.0000000007</v>
      </c>
      <c r="D40" s="110">
        <f>+E40/C40</f>
        <v>102.67425011524573</v>
      </c>
      <c r="E40" s="111">
        <f>+[1]Общо!$BG$33</f>
        <v>53316273.902844414</v>
      </c>
      <c r="F40" s="113"/>
    </row>
    <row r="41" spans="1:8" s="112" customFormat="1" x14ac:dyDescent="0.25">
      <c r="A41" s="115">
        <v>3</v>
      </c>
      <c r="B41" s="116" t="s">
        <v>50</v>
      </c>
      <c r="C41" s="117">
        <f>+C40</f>
        <v>519276.0000000007</v>
      </c>
      <c r="D41" s="114">
        <v>66.16</v>
      </c>
      <c r="E41" s="118">
        <f>+C41*D41</f>
        <v>34355300.160000041</v>
      </c>
      <c r="F41" s="113"/>
    </row>
    <row r="42" spans="1:8" s="112" customFormat="1" x14ac:dyDescent="0.25">
      <c r="A42" s="119" t="s">
        <v>48</v>
      </c>
      <c r="B42" s="116" t="s">
        <v>49</v>
      </c>
      <c r="C42" s="117">
        <f>+C41-C40</f>
        <v>0</v>
      </c>
      <c r="D42" s="117">
        <f t="shared" ref="D42:E42" si="24">+D41-D40</f>
        <v>-36.51425011524573</v>
      </c>
      <c r="E42" s="117">
        <f t="shared" si="24"/>
        <v>-18960973.742844373</v>
      </c>
      <c r="F42" s="113"/>
    </row>
    <row r="43" spans="1:8" ht="16.5" thickBot="1" x14ac:dyDescent="0.3">
      <c r="C43" s="18"/>
      <c r="E43" s="16"/>
      <c r="F43" s="16"/>
    </row>
    <row r="44" spans="1:8" ht="47.25" x14ac:dyDescent="0.25">
      <c r="B44" s="85"/>
      <c r="C44" s="86" t="s">
        <v>43</v>
      </c>
      <c r="D44" s="102" t="s">
        <v>44</v>
      </c>
    </row>
    <row r="45" spans="1:8" ht="31.5" x14ac:dyDescent="0.25">
      <c r="B45" s="87" t="s">
        <v>23</v>
      </c>
      <c r="C45" s="103">
        <f>+((E5+E6+E10)/(C5+C6+C10))-D25</f>
        <v>5.5777400512022979</v>
      </c>
      <c r="D45" s="104">
        <f>+((J5+J6+J10+J8)/(H5+H6+H10+H8))-I25</f>
        <v>7.7173720817647009</v>
      </c>
      <c r="E45" s="101"/>
    </row>
    <row r="46" spans="1:8" x14ac:dyDescent="0.25">
      <c r="B46" s="87" t="s">
        <v>24</v>
      </c>
      <c r="C46" s="114">
        <v>59.54</v>
      </c>
      <c r="D46" s="114">
        <v>61.91</v>
      </c>
    </row>
    <row r="47" spans="1:8" x14ac:dyDescent="0.25">
      <c r="B47" s="87" t="s">
        <v>28</v>
      </c>
      <c r="C47" s="103">
        <f>+D39</f>
        <v>110.50602499620534</v>
      </c>
      <c r="D47" s="104">
        <f>+D39</f>
        <v>110.50602499620534</v>
      </c>
    </row>
    <row r="48" spans="1:8" ht="32.25" thickBot="1" x14ac:dyDescent="0.3">
      <c r="B48" s="88" t="s">
        <v>29</v>
      </c>
      <c r="C48" s="106">
        <f>+C47-C46</f>
        <v>50.966024996205341</v>
      </c>
      <c r="D48" s="105">
        <f>+D47-D46</f>
        <v>48.596024996205344</v>
      </c>
    </row>
  </sheetData>
  <mergeCells count="13">
    <mergeCell ref="B33:D33"/>
    <mergeCell ref="B35:D35"/>
    <mergeCell ref="B30:D30"/>
    <mergeCell ref="C3:G3"/>
    <mergeCell ref="G29:H29"/>
    <mergeCell ref="B31:D31"/>
    <mergeCell ref="B34:D34"/>
    <mergeCell ref="H3:L3"/>
    <mergeCell ref="M3:O3"/>
    <mergeCell ref="C16:G16"/>
    <mergeCell ref="H16:L16"/>
    <mergeCell ref="M16:O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2D0C1D-8474-4EE1-B218-FA4849182129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16CC8978-05FA-44C3-8E55-4DBBCD3E6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8A244B-2C35-478D-A558-A7BC931479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подробен отчет СЕПТЕМВРИ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Backoffice</cp:lastModifiedBy>
  <cp:lastPrinted>2024-03-18T06:45:54Z</cp:lastPrinted>
  <dcterms:created xsi:type="dcterms:W3CDTF">2020-07-20T11:59:45Z</dcterms:created>
  <dcterms:modified xsi:type="dcterms:W3CDTF">2024-10-01T14:32:19Z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