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etaIvanova\ТИБИЕЛ ЕООД\Tibiel - Documents\IKONOMIKA\Aneta_TIBIEL\Analiz 2017-2022\DOSTAVKI_2024\FEVRUARI_2024\"/>
    </mc:Choice>
  </mc:AlternateContent>
  <xr:revisionPtr revIDLastSave="0" documentId="13_ncr:1_{2D8C8676-74BD-4E87-94C0-22BADB184E29}" xr6:coauthVersionLast="47" xr6:coauthVersionMax="47" xr10:uidLastSave="{00000000-0000-0000-0000-000000000000}"/>
  <bookViews>
    <workbookView xWindow="-120" yWindow="-120" windowWidth="29040" windowHeight="15840" xr2:uid="{4219E879-827E-4F65-A875-8A470A539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3" i="1"/>
  <c r="J7" i="1"/>
  <c r="J5" i="1"/>
  <c r="J3" i="1"/>
  <c r="H17" i="1"/>
  <c r="G17" i="1"/>
  <c r="E17" i="1"/>
  <c r="K16" i="1"/>
  <c r="H16" i="1" l="1"/>
  <c r="G16" i="1"/>
  <c r="F16" i="1"/>
  <c r="E16" i="1"/>
  <c r="D23" i="1"/>
  <c r="D22" i="1"/>
  <c r="I9" i="1"/>
  <c r="I17" i="1" s="1"/>
  <c r="N3" i="1"/>
  <c r="E15" i="1" l="1"/>
  <c r="E22" i="1" s="1"/>
  <c r="M18" i="1"/>
  <c r="M19" i="1" s="1"/>
  <c r="F15" i="1" l="1"/>
  <c r="F14" i="1"/>
  <c r="F13" i="1"/>
  <c r="E14" i="1"/>
  <c r="E13" i="1"/>
  <c r="F9" i="1"/>
  <c r="E9" i="1"/>
  <c r="G12" i="1"/>
  <c r="G11" i="1"/>
  <c r="H11" i="1" s="1"/>
  <c r="G10" i="1"/>
  <c r="H12" i="1" l="1"/>
  <c r="G23" i="1"/>
  <c r="G14" i="1"/>
  <c r="H14" i="1" s="1"/>
  <c r="K14" i="1" s="1"/>
  <c r="G9" i="1"/>
  <c r="H10" i="1"/>
  <c r="J10" i="1" s="1"/>
  <c r="J9" i="1" s="1"/>
  <c r="J17" i="1" s="1"/>
  <c r="G13" i="1"/>
  <c r="H13" i="1" s="1"/>
  <c r="K11" i="1"/>
  <c r="K12" i="1"/>
  <c r="F8" i="1"/>
  <c r="F7" i="1"/>
  <c r="E8" i="1"/>
  <c r="E7" i="1"/>
  <c r="E19" i="1" s="1"/>
  <c r="F6" i="1"/>
  <c r="E6" i="1"/>
  <c r="F5" i="1"/>
  <c r="E5" i="1"/>
  <c r="E4" i="1"/>
  <c r="E21" i="1" s="1"/>
  <c r="F4" i="1"/>
  <c r="E3" i="1"/>
  <c r="G15" i="1"/>
  <c r="G22" i="1" s="1"/>
  <c r="F22" i="1" s="1"/>
  <c r="F3" i="1"/>
  <c r="E23" i="1" l="1"/>
  <c r="F23" i="1" s="1"/>
  <c r="H9" i="1"/>
  <c r="K10" i="1"/>
  <c r="K9" i="1" s="1"/>
  <c r="H15" i="1"/>
  <c r="K13" i="1"/>
  <c r="G4" i="1"/>
  <c r="G6" i="1"/>
  <c r="H6" i="1" s="1"/>
  <c r="K6" i="1" s="1"/>
  <c r="G3" i="1"/>
  <c r="H3" i="1" s="1"/>
  <c r="G8" i="1"/>
  <c r="H8" i="1" s="1"/>
  <c r="K8" i="1" s="1"/>
  <c r="G7" i="1"/>
  <c r="G5" i="1"/>
  <c r="H5" i="1" s="1"/>
  <c r="K5" i="1" s="1"/>
  <c r="H4" i="1" l="1"/>
  <c r="G21" i="1"/>
  <c r="F21" i="1" s="1"/>
  <c r="K15" i="1"/>
  <c r="H22" i="1"/>
  <c r="H7" i="1"/>
  <c r="K7" i="1" s="1"/>
  <c r="G19" i="1"/>
  <c r="F19" i="1" s="1"/>
  <c r="F17" i="1"/>
  <c r="K3" i="1"/>
  <c r="K17" i="1" l="1"/>
  <c r="K4" i="1"/>
  <c r="H21" i="1"/>
</calcChain>
</file>

<file path=xl/sharedStrings.xml><?xml version="1.0" encoding="utf-8"?>
<sst xmlns="http://schemas.openxmlformats.org/spreadsheetml/2006/main" count="50" uniqueCount="26">
  <si>
    <t>ДОСТАВЧИК</t>
  </si>
  <si>
    <t>№ на фактура</t>
  </si>
  <si>
    <t xml:space="preserve">Период на доставка </t>
  </si>
  <si>
    <t>Падеж</t>
  </si>
  <si>
    <t>количество</t>
  </si>
  <si>
    <t>цена</t>
  </si>
  <si>
    <t>стойност без ДДС</t>
  </si>
  <si>
    <t>стойност с ДДС</t>
  </si>
  <si>
    <t>МЕТ ЕНЕРДЖИ</t>
  </si>
  <si>
    <t>ОСТАТЪК</t>
  </si>
  <si>
    <t>ОБЩО</t>
  </si>
  <si>
    <t>01.02.-29.02.2024</t>
  </si>
  <si>
    <t>ДХТ</t>
  </si>
  <si>
    <t>15.02.-29.02.2024</t>
  </si>
  <si>
    <t>ЗАЯВЕНО</t>
  </si>
  <si>
    <t>ПЛАТЕНО</t>
  </si>
  <si>
    <t>MYTILINEOS</t>
  </si>
  <si>
    <t>131182/15.01.2024</t>
  </si>
  <si>
    <t>131179/ 15.01.2024</t>
  </si>
  <si>
    <t>131185/15.01.2024</t>
  </si>
  <si>
    <t>2-656/23.01.2024</t>
  </si>
  <si>
    <t>2-657/23.01.2024</t>
  </si>
  <si>
    <t>2-658/23.01.2024</t>
  </si>
  <si>
    <t>2-659/23.01.2024</t>
  </si>
  <si>
    <t>2-660/23.01.2024</t>
  </si>
  <si>
    <t>проформа ф-ра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</si>
</sst>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Aptos Narrow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4" fontId="1" fillId="0" borderId="1" xfId="0" applyNumberFormat="1" applyFont="1" applyBorder="1"/>
    <xf numFmtId="4" fontId="1" fillId="2" borderId="1" xfId="0" applyNumberFormat="1" applyFont="1" applyFill="1" applyBorder="1"/>
    <xf numFmtId="14" fontId="1" fillId="0" borderId="1" xfId="0" applyNumberFormat="1" applyFont="1" applyBorder="1"/>
    <xf numFmtId="0" fontId="4" fillId="2" borderId="1" xfId="0" applyFont="1" applyFill="1" applyBorder="1"/>
    <xf numFmtId="0" fontId="4" fillId="0" borderId="0" xfId="0" applyFont="1"/>
    <xf numFmtId="14" fontId="2" fillId="0" borderId="1" xfId="0" applyNumberFormat="1" applyFont="1" applyBorder="1"/>
    <xf numFmtId="164" fontId="2" fillId="0" borderId="1" xfId="0" applyNumberFormat="1" applyFont="1" applyBorder="1"/>
    <xf numFmtId="4" fontId="2" fillId="0" borderId="1" xfId="0" applyNumberFormat="1" applyFont="1" applyBorder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4" fontId="4" fillId="2" borderId="1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4" fontId="2" fillId="0" borderId="0" xfId="0" applyNumberFormat="1" applyFont="1"/>
    <xf numFmtId="4" fontId="4" fillId="2" borderId="0" xfId="0" applyNumberFormat="1" applyFont="1" applyFill="1"/>
    <xf numFmtId="4" fontId="1" fillId="2" borderId="0" xfId="0" applyNumberFormat="1" applyFont="1" applyFill="1"/>
    <xf numFmtId="0" fontId="5" fillId="0" borderId="1" xfId="0" applyFont="1" applyBorder="1"/>
    <xf numFmtId="164" fontId="5" fillId="0" borderId="1" xfId="0" applyNumberFormat="1" applyFont="1" applyBorder="1"/>
    <xf numFmtId="4" fontId="5" fillId="0" borderId="1" xfId="0" applyNumberFormat="1" applyFont="1" applyBorder="1"/>
    <xf numFmtId="4" fontId="5" fillId="0" borderId="0" xfId="0" applyNumberFormat="1" applyFont="1"/>
    <xf numFmtId="0" fontId="5" fillId="0" borderId="0" xfId="0" applyFont="1"/>
    <xf numFmtId="14" fontId="5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AF86-147E-49EE-B8AF-6BA67BA4D125}">
  <dimension ref="A2:N23"/>
  <sheetViews>
    <sheetView tabSelected="1" workbookViewId="0">
      <selection activeCell="J20" sqref="J20"/>
    </sheetView>
  </sheetViews>
  <sheetFormatPr defaultColWidth="8.85546875" defaultRowHeight="15.75" x14ac:dyDescent="0.25"/>
  <cols>
    <col min="1" max="1" width="18.42578125" style="1" customWidth="1"/>
    <col min="2" max="2" width="19.7109375" style="1" bestFit="1" customWidth="1"/>
    <col min="3" max="3" width="21.85546875" style="1" bestFit="1" customWidth="1"/>
    <col min="4" max="4" width="11.140625" style="1" customWidth="1"/>
    <col min="5" max="5" width="12.7109375" style="1" bestFit="1" customWidth="1"/>
    <col min="6" max="6" width="8.42578125" style="1" customWidth="1"/>
    <col min="7" max="7" width="18.5703125" style="1" bestFit="1" customWidth="1"/>
    <col min="8" max="8" width="16.42578125" style="1" bestFit="1" customWidth="1"/>
    <col min="9" max="9" width="16.42578125" style="1" customWidth="1"/>
    <col min="10" max="12" width="17.140625" style="1" customWidth="1"/>
    <col min="13" max="16384" width="8.85546875" style="1"/>
  </cols>
  <sheetData>
    <row r="2" spans="1:14" s="7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14</v>
      </c>
      <c r="J2" s="6" t="s">
        <v>15</v>
      </c>
      <c r="K2" s="6" t="s">
        <v>9</v>
      </c>
      <c r="L2" s="24"/>
    </row>
    <row r="3" spans="1:14" x14ac:dyDescent="0.25">
      <c r="A3" s="2" t="s">
        <v>8</v>
      </c>
      <c r="B3" s="2" t="s">
        <v>20</v>
      </c>
      <c r="C3" s="2" t="s">
        <v>11</v>
      </c>
      <c r="D3" s="13">
        <v>45321</v>
      </c>
      <c r="E3" s="9">
        <f>300*29/2</f>
        <v>4350</v>
      </c>
      <c r="F3" s="11">
        <f>30.95*1.95583</f>
        <v>60.5329385</v>
      </c>
      <c r="G3" s="11">
        <f>+E3*F3</f>
        <v>263318.28247500001</v>
      </c>
      <c r="H3" s="11">
        <f>+G3*1.2</f>
        <v>315981.93897000002</v>
      </c>
      <c r="I3" s="11">
        <v>315981.94</v>
      </c>
      <c r="J3" s="11">
        <f>+I3</f>
        <v>315981.94</v>
      </c>
      <c r="K3" s="11">
        <f>+H3-J3</f>
        <v>-1.0299999848939478E-3</v>
      </c>
      <c r="L3" s="22"/>
      <c r="M3" s="1">
        <v>300</v>
      </c>
      <c r="N3" s="1">
        <f>1800+500</f>
        <v>2300</v>
      </c>
    </row>
    <row r="4" spans="1:14" x14ac:dyDescent="0.25">
      <c r="A4" s="2" t="s">
        <v>8</v>
      </c>
      <c r="B4" s="2" t="s">
        <v>20</v>
      </c>
      <c r="C4" s="2" t="s">
        <v>11</v>
      </c>
      <c r="D4" s="13">
        <v>45334</v>
      </c>
      <c r="E4" s="9">
        <f>300*29/2</f>
        <v>4350</v>
      </c>
      <c r="F4" s="11">
        <f>30.95*1.95583</f>
        <v>60.5329385</v>
      </c>
      <c r="G4" s="11">
        <f t="shared" ref="G4:G16" si="0">+E4*F4</f>
        <v>263318.28247500001</v>
      </c>
      <c r="H4" s="11">
        <f t="shared" ref="H4:H15" si="1">+G4*1.2</f>
        <v>315981.93897000002</v>
      </c>
      <c r="I4" s="11">
        <v>315981.93897000002</v>
      </c>
      <c r="J4" s="11"/>
      <c r="K4" s="11">
        <f t="shared" ref="K4:K16" si="2">+H4-J4</f>
        <v>315981.93897000002</v>
      </c>
      <c r="L4" s="22"/>
    </row>
    <row r="5" spans="1:14" x14ac:dyDescent="0.25">
      <c r="A5" s="2" t="s">
        <v>8</v>
      </c>
      <c r="B5" s="2" t="s">
        <v>21</v>
      </c>
      <c r="C5" s="2" t="s">
        <v>11</v>
      </c>
      <c r="D5" s="13">
        <v>45321</v>
      </c>
      <c r="E5" s="9">
        <f>300*14.5</f>
        <v>4350</v>
      </c>
      <c r="F5" s="11">
        <f>30.8*1.95583</f>
        <v>60.239564000000001</v>
      </c>
      <c r="G5" s="11">
        <f t="shared" si="0"/>
        <v>262042.10339999999</v>
      </c>
      <c r="H5" s="11">
        <f t="shared" si="1"/>
        <v>314450.52408</v>
      </c>
      <c r="I5" s="11">
        <v>314450.52</v>
      </c>
      <c r="J5" s="11">
        <f>+I5</f>
        <v>314450.52</v>
      </c>
      <c r="K5" s="11">
        <f t="shared" si="2"/>
        <v>4.079999984242022E-3</v>
      </c>
      <c r="L5" s="22"/>
      <c r="M5" s="1">
        <v>300</v>
      </c>
    </row>
    <row r="6" spans="1:14" x14ac:dyDescent="0.25">
      <c r="A6" s="2" t="s">
        <v>8</v>
      </c>
      <c r="B6" s="2" t="s">
        <v>21</v>
      </c>
      <c r="C6" s="2" t="s">
        <v>11</v>
      </c>
      <c r="D6" s="13">
        <v>45334</v>
      </c>
      <c r="E6" s="9">
        <f>300*14.5</f>
        <v>4350</v>
      </c>
      <c r="F6" s="11">
        <f>30.8*1.95583</f>
        <v>60.239564000000001</v>
      </c>
      <c r="G6" s="11">
        <f t="shared" si="0"/>
        <v>262042.10339999999</v>
      </c>
      <c r="H6" s="11">
        <f t="shared" si="1"/>
        <v>314450.52408</v>
      </c>
      <c r="I6" s="11">
        <v>314450.52408</v>
      </c>
      <c r="J6" s="11"/>
      <c r="K6" s="11">
        <f t="shared" si="2"/>
        <v>314450.52408</v>
      </c>
      <c r="L6" s="22"/>
    </row>
    <row r="7" spans="1:14" x14ac:dyDescent="0.25">
      <c r="A7" s="2" t="s">
        <v>8</v>
      </c>
      <c r="B7" s="2" t="s">
        <v>22</v>
      </c>
      <c r="C7" s="2" t="s">
        <v>11</v>
      </c>
      <c r="D7" s="13">
        <v>45321</v>
      </c>
      <c r="E7" s="9">
        <f>400*14.5</f>
        <v>5800</v>
      </c>
      <c r="F7" s="11">
        <f>31.45*1.95583</f>
        <v>61.510853499999996</v>
      </c>
      <c r="G7" s="11">
        <f t="shared" si="0"/>
        <v>356762.95029999997</v>
      </c>
      <c r="H7" s="11">
        <f t="shared" si="1"/>
        <v>428115.54035999993</v>
      </c>
      <c r="I7" s="11">
        <v>428115.41</v>
      </c>
      <c r="J7" s="11">
        <f>+I7</f>
        <v>428115.41</v>
      </c>
      <c r="K7" s="11">
        <f t="shared" si="2"/>
        <v>0.1303599999519065</v>
      </c>
      <c r="L7" s="22"/>
      <c r="M7" s="1">
        <v>400</v>
      </c>
    </row>
    <row r="8" spans="1:14" x14ac:dyDescent="0.25">
      <c r="A8" s="2" t="s">
        <v>8</v>
      </c>
      <c r="B8" s="2" t="s">
        <v>22</v>
      </c>
      <c r="C8" s="2" t="s">
        <v>11</v>
      </c>
      <c r="D8" s="13">
        <v>45334</v>
      </c>
      <c r="E8" s="9">
        <f>400*14.5</f>
        <v>5800</v>
      </c>
      <c r="F8" s="11">
        <f>31.45*1.95583</f>
        <v>61.510853499999996</v>
      </c>
      <c r="G8" s="11">
        <f t="shared" si="0"/>
        <v>356762.95029999997</v>
      </c>
      <c r="H8" s="11">
        <f t="shared" si="1"/>
        <v>428115.54035999993</v>
      </c>
      <c r="I8" s="11">
        <v>428115.54035999993</v>
      </c>
      <c r="J8" s="11"/>
      <c r="K8" s="11">
        <f t="shared" si="2"/>
        <v>428115.54035999993</v>
      </c>
      <c r="L8" s="22"/>
    </row>
    <row r="9" spans="1:14" s="4" customFormat="1" x14ac:dyDescent="0.25">
      <c r="A9" s="3" t="s">
        <v>12</v>
      </c>
      <c r="B9" s="3"/>
      <c r="C9" s="3" t="s">
        <v>11</v>
      </c>
      <c r="D9" s="16"/>
      <c r="E9" s="17">
        <f>500*29</f>
        <v>14500</v>
      </c>
      <c r="F9" s="18">
        <f>30.9*1.95583</f>
        <v>60.435146999999994</v>
      </c>
      <c r="G9" s="18">
        <f>SUM(G10:G12)</f>
        <v>876309.63150000002</v>
      </c>
      <c r="H9" s="18">
        <f>SUM(H10:H12)</f>
        <v>876309.63150000002</v>
      </c>
      <c r="I9" s="18">
        <f>SUM(I10:I12)</f>
        <v>586749</v>
      </c>
      <c r="J9" s="18">
        <f>SUM(J10:J12)</f>
        <v>586749</v>
      </c>
      <c r="K9" s="18">
        <f>SUM(K10:K12)</f>
        <v>289560.63150000002</v>
      </c>
      <c r="L9" s="25"/>
      <c r="M9" s="4">
        <v>500</v>
      </c>
    </row>
    <row r="10" spans="1:14" s="15" customFormat="1" x14ac:dyDescent="0.25">
      <c r="A10" s="14" t="s">
        <v>12</v>
      </c>
      <c r="B10" s="14" t="s">
        <v>17</v>
      </c>
      <c r="C10" s="14"/>
      <c r="D10" s="19">
        <v>45307</v>
      </c>
      <c r="E10" s="20"/>
      <c r="F10" s="21"/>
      <c r="G10" s="21">
        <f>100000*1.95583</f>
        <v>195583</v>
      </c>
      <c r="H10" s="21">
        <f>+G10</f>
        <v>195583</v>
      </c>
      <c r="I10" s="21">
        <v>195583</v>
      </c>
      <c r="J10" s="21">
        <f>+H10</f>
        <v>195583</v>
      </c>
      <c r="K10" s="21">
        <f t="shared" ref="K10:K14" si="3">+H10-J10</f>
        <v>0</v>
      </c>
      <c r="L10" s="26"/>
    </row>
    <row r="11" spans="1:14" s="15" customFormat="1" x14ac:dyDescent="0.25">
      <c r="A11" s="14" t="s">
        <v>12</v>
      </c>
      <c r="B11" s="14" t="s">
        <v>18</v>
      </c>
      <c r="C11" s="14"/>
      <c r="D11" s="19">
        <v>45322</v>
      </c>
      <c r="E11" s="20"/>
      <c r="F11" s="21"/>
      <c r="G11" s="21">
        <f>100000*1.95583</f>
        <v>195583</v>
      </c>
      <c r="H11" s="21">
        <f>+G11</f>
        <v>195583</v>
      </c>
      <c r="I11" s="21">
        <v>195583</v>
      </c>
      <c r="J11" s="21">
        <v>195583</v>
      </c>
      <c r="K11" s="21">
        <f t="shared" si="3"/>
        <v>0</v>
      </c>
      <c r="L11" s="26"/>
    </row>
    <row r="12" spans="1:14" s="15" customFormat="1" x14ac:dyDescent="0.25">
      <c r="A12" s="14" t="s">
        <v>12</v>
      </c>
      <c r="B12" s="14" t="s">
        <v>19</v>
      </c>
      <c r="C12" s="14"/>
      <c r="D12" s="19">
        <v>45331</v>
      </c>
      <c r="E12" s="20"/>
      <c r="F12" s="21"/>
      <c r="G12" s="21">
        <f>248050*1.95583</f>
        <v>485143.63150000002</v>
      </c>
      <c r="H12" s="21">
        <f>+G12</f>
        <v>485143.63150000002</v>
      </c>
      <c r="I12" s="21">
        <v>195583</v>
      </c>
      <c r="J12" s="21">
        <v>195583</v>
      </c>
      <c r="K12" s="21">
        <f t="shared" si="3"/>
        <v>289560.63150000002</v>
      </c>
      <c r="L12" s="26"/>
    </row>
    <row r="13" spans="1:14" x14ac:dyDescent="0.25">
      <c r="A13" s="2" t="s">
        <v>8</v>
      </c>
      <c r="B13" s="2" t="s">
        <v>23</v>
      </c>
      <c r="C13" s="2" t="s">
        <v>11</v>
      </c>
      <c r="D13" s="13">
        <v>45321</v>
      </c>
      <c r="E13" s="9">
        <f>300*14.5</f>
        <v>4350</v>
      </c>
      <c r="F13" s="11">
        <f>27.9*1.95583</f>
        <v>54.567656999999997</v>
      </c>
      <c r="G13" s="11">
        <f t="shared" ref="G13:G14" si="4">+E13*F13</f>
        <v>237369.30794999999</v>
      </c>
      <c r="H13" s="11">
        <f t="shared" ref="H13:H14" si="5">+G13*1.2</f>
        <v>284843.16953999997</v>
      </c>
      <c r="I13" s="11">
        <v>284843.17</v>
      </c>
      <c r="J13" s="11">
        <f>+I13</f>
        <v>284843.17</v>
      </c>
      <c r="K13" s="11">
        <f t="shared" si="3"/>
        <v>-4.6000001020729542E-4</v>
      </c>
      <c r="L13" s="22"/>
      <c r="M13" s="1">
        <v>300</v>
      </c>
    </row>
    <row r="14" spans="1:14" x14ac:dyDescent="0.25">
      <c r="A14" s="2" t="s">
        <v>8</v>
      </c>
      <c r="B14" s="2" t="s">
        <v>23</v>
      </c>
      <c r="C14" s="2" t="s">
        <v>11</v>
      </c>
      <c r="D14" s="13">
        <v>45334</v>
      </c>
      <c r="E14" s="9">
        <f>300*14.5</f>
        <v>4350</v>
      </c>
      <c r="F14" s="11">
        <f>27.9*1.95583</f>
        <v>54.567656999999997</v>
      </c>
      <c r="G14" s="11">
        <f t="shared" si="4"/>
        <v>237369.30794999999</v>
      </c>
      <c r="H14" s="11">
        <f t="shared" si="5"/>
        <v>284843.16953999997</v>
      </c>
      <c r="I14" s="11">
        <v>284843.16953999997</v>
      </c>
      <c r="J14" s="11"/>
      <c r="K14" s="11">
        <f t="shared" si="3"/>
        <v>284843.16953999997</v>
      </c>
      <c r="L14" s="22"/>
    </row>
    <row r="15" spans="1:14" s="32" customFormat="1" x14ac:dyDescent="0.25">
      <c r="A15" s="28" t="s">
        <v>8</v>
      </c>
      <c r="B15" s="28" t="s">
        <v>24</v>
      </c>
      <c r="C15" s="28" t="s">
        <v>13</v>
      </c>
      <c r="D15" s="33">
        <v>45335</v>
      </c>
      <c r="E15" s="29">
        <f>500*15</f>
        <v>7500</v>
      </c>
      <c r="F15" s="30">
        <f>28.5*1.95583</f>
        <v>55.741154999999999</v>
      </c>
      <c r="G15" s="30">
        <f t="shared" si="0"/>
        <v>418058.66249999998</v>
      </c>
      <c r="H15" s="30">
        <f t="shared" si="1"/>
        <v>501670.39499999996</v>
      </c>
      <c r="I15" s="30">
        <v>501670.39499999996</v>
      </c>
      <c r="J15" s="30">
        <f>+I15</f>
        <v>501670.39499999996</v>
      </c>
      <c r="K15" s="30">
        <f t="shared" si="2"/>
        <v>0</v>
      </c>
      <c r="L15" s="31"/>
      <c r="M15" s="32">
        <v>250</v>
      </c>
    </row>
    <row r="16" spans="1:14" s="32" customFormat="1" x14ac:dyDescent="0.25">
      <c r="A16" s="28" t="s">
        <v>16</v>
      </c>
      <c r="B16" s="28" t="s">
        <v>25</v>
      </c>
      <c r="C16" s="2" t="s">
        <v>11</v>
      </c>
      <c r="D16" s="33">
        <v>45320</v>
      </c>
      <c r="E16" s="29">
        <f>500*29</f>
        <v>14500</v>
      </c>
      <c r="F16" s="30">
        <f>26.9*1.95583</f>
        <v>52.611826999999998</v>
      </c>
      <c r="G16" s="30">
        <f t="shared" si="0"/>
        <v>762871.4915</v>
      </c>
      <c r="H16" s="30">
        <f>+G16</f>
        <v>762871.4915</v>
      </c>
      <c r="I16" s="30">
        <v>762871.4915</v>
      </c>
      <c r="J16" s="30">
        <v>762871.4915</v>
      </c>
      <c r="K16" s="30">
        <f t="shared" si="2"/>
        <v>0</v>
      </c>
      <c r="L16" s="31"/>
      <c r="M16" s="32">
        <v>500</v>
      </c>
    </row>
    <row r="17" spans="1:14" x14ac:dyDescent="0.25">
      <c r="A17" s="5" t="s">
        <v>10</v>
      </c>
      <c r="B17" s="8"/>
      <c r="C17" s="8"/>
      <c r="D17" s="8"/>
      <c r="E17" s="10">
        <f>SUM(E3:E16)</f>
        <v>74200</v>
      </c>
      <c r="F17" s="12">
        <f>+G17/E17</f>
        <v>57.900607462937998</v>
      </c>
      <c r="G17" s="12">
        <f>SUM(G3:G9,G13:G16)</f>
        <v>4296225.0737499995</v>
      </c>
      <c r="H17" s="12">
        <f>SUM(H3:H9,H13:H16)</f>
        <v>4827633.8639000002</v>
      </c>
      <c r="I17" s="12">
        <f>SUM(I3:I9,I13:I16)</f>
        <v>4538073.0994499996</v>
      </c>
      <c r="J17" s="12">
        <f>SUM(J3:J9,J13:J16)</f>
        <v>3194681.9264999996</v>
      </c>
      <c r="K17" s="12">
        <f>SUM(K3:K9,K13:K16)</f>
        <v>1632951.9373999997</v>
      </c>
      <c r="L17" s="27"/>
    </row>
    <row r="18" spans="1:14" x14ac:dyDescent="0.25">
      <c r="M18" s="1">
        <f>SUM(M3:M17)</f>
        <v>2550</v>
      </c>
    </row>
    <row r="19" spans="1:14" x14ac:dyDescent="0.25">
      <c r="E19" s="23">
        <f>+E7+E8+E13+E14+E15+E9</f>
        <v>42300</v>
      </c>
      <c r="F19" s="22">
        <f>+G19/E19</f>
        <v>58.691082990543741</v>
      </c>
      <c r="G19" s="23">
        <f>+G7+G8+G13+G14+G15+G9</f>
        <v>2482632.8105000001</v>
      </c>
      <c r="M19" s="1">
        <f>+M18-600</f>
        <v>1950</v>
      </c>
      <c r="N19" s="1">
        <v>1700</v>
      </c>
    </row>
    <row r="21" spans="1:14" x14ac:dyDescent="0.25">
      <c r="D21" s="13">
        <v>45334</v>
      </c>
      <c r="E21" s="9">
        <f>+E4+E6+E8+E14</f>
        <v>18850</v>
      </c>
      <c r="F21" s="11">
        <f t="shared" ref="F21:F22" si="6">+G21/E21</f>
        <v>59.389530192307696</v>
      </c>
      <c r="G21" s="9">
        <f>+G4+G6+G8+G14</f>
        <v>1119492.6441250001</v>
      </c>
      <c r="H21" s="9">
        <f>+H4+H6+H8+H14</f>
        <v>1343391.1729499998</v>
      </c>
    </row>
    <row r="22" spans="1:14" x14ac:dyDescent="0.25">
      <c r="D22" s="13">
        <f>+D15</f>
        <v>45335</v>
      </c>
      <c r="E22" s="9">
        <f>+E15</f>
        <v>7500</v>
      </c>
      <c r="F22" s="11">
        <f t="shared" si="6"/>
        <v>55.741154999999999</v>
      </c>
      <c r="G22" s="9">
        <f>+G15</f>
        <v>418058.66249999998</v>
      </c>
      <c r="H22" s="9">
        <f>+H15</f>
        <v>501670.39499999996</v>
      </c>
    </row>
    <row r="23" spans="1:14" x14ac:dyDescent="0.25">
      <c r="D23" s="13">
        <f>+D12</f>
        <v>45331</v>
      </c>
      <c r="E23" s="2">
        <f>+G23/F9</f>
        <v>8027.5080906148878</v>
      </c>
      <c r="F23" s="2">
        <f>+G23/E23</f>
        <v>60.435146999999994</v>
      </c>
      <c r="G23" s="11">
        <f>+G12</f>
        <v>485143.63150000002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05BBF-9033-4C24-864B-A1A176CAC0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80062B-6A36-4B27-B8E7-0911B919EA33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1299EC3D-66E1-4F10-979F-3E7389DAFD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2024-01-18T07:18:10Z</dcterms:created>
  <dcterms:modified xsi:type="dcterms:W3CDTF">2024-02-12T07:23:59Z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