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JANUARI_2024/FAKTURI/Топлофикации/DRUGI_KLIENTI/Окончателни фактури/"/>
    </mc:Choice>
  </mc:AlternateContent>
  <xr:revisionPtr revIDLastSave="2318" documentId="8_{290B685A-61D3-4331-9FB5-CD31459AB3D8}" xr6:coauthVersionLast="47" xr6:coauthVersionMax="47" xr10:uidLastSave="{0BF1B603-34BC-48CD-A2D5-CB07B69877E3}"/>
  <bookViews>
    <workbookView xWindow="-108" yWindow="-108" windowWidth="23256" windowHeight="12576" tabRatio="895" firstSheet="2" activeTab="3" xr2:uid="{D93E4178-CC31-4D87-86F4-CC1B2ECB3685}"/>
  </bookViews>
  <sheets>
    <sheet name="Оконч.плащане Труд" sheetId="27" r:id="rId1"/>
    <sheet name="Оконч.плащане Берус" sheetId="32" r:id="rId2"/>
    <sheet name="Оконч.плащане Бултекс 1" sheetId="33" r:id="rId3"/>
    <sheet name="Оконч.плащане Доминекс" sheetId="5" r:id="rId4"/>
    <sheet name="оконч. плащане РВД " sheetId="31" r:id="rId5"/>
    <sheet name="Оконч. плащане Тенекс С" sheetId="17" r:id="rId6"/>
    <sheet name="Оконч.плащане Декотекс" sheetId="24" r:id="rId7"/>
    <sheet name="Оконч.плащане ЕМИ" sheetId="29" r:id="rId8"/>
    <sheet name="Оконч.плащане Алуком" sheetId="19" r:id="rId9"/>
    <sheet name="Оконч.плащане Илинден" sheetId="35" r:id="rId10"/>
    <sheet name="Оконч.плащане Ваптех АМ" sheetId="2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5" l="1"/>
  <c r="F4" i="5"/>
  <c r="G4" i="5" s="1"/>
  <c r="G9" i="5" s="1"/>
  <c r="G4" i="21"/>
  <c r="F4" i="32"/>
  <c r="E16" i="32"/>
  <c r="E15" i="32"/>
  <c r="E18" i="33"/>
  <c r="F4" i="33"/>
  <c r="E17" i="33"/>
  <c r="E16" i="33"/>
  <c r="F8" i="31"/>
  <c r="F6" i="31"/>
  <c r="F4" i="31"/>
  <c r="E24" i="31"/>
  <c r="E23" i="31"/>
  <c r="E22" i="31"/>
  <c r="E20" i="31"/>
  <c r="E19" i="31"/>
  <c r="E18" i="31"/>
  <c r="G9" i="24"/>
  <c r="H9" i="24"/>
  <c r="G6" i="24"/>
  <c r="H6" i="24" s="1"/>
  <c r="I6" i="24" s="1"/>
  <c r="G7" i="24"/>
  <c r="H7" i="24" s="1"/>
  <c r="G10" i="31"/>
  <c r="B6" i="27"/>
  <c r="H4" i="5" l="1"/>
  <c r="H4" i="21"/>
  <c r="I4" i="21" s="1"/>
  <c r="F19" i="21" s="1"/>
  <c r="F20" i="21" s="1"/>
  <c r="I7" i="24"/>
  <c r="H10" i="31"/>
  <c r="I10" i="31" s="1"/>
  <c r="I4" i="5" l="1"/>
  <c r="H9" i="5"/>
  <c r="I4" i="35"/>
  <c r="H4" i="35"/>
  <c r="G4" i="35"/>
  <c r="I9" i="5" l="1"/>
  <c r="G7" i="33"/>
  <c r="H7" i="33" s="1"/>
  <c r="I7" i="33" s="1"/>
  <c r="G7" i="35" l="1"/>
  <c r="H7" i="35" s="1"/>
  <c r="I7" i="35" s="1"/>
  <c r="B7" i="35"/>
  <c r="E6" i="35"/>
  <c r="G6" i="35" s="1"/>
  <c r="G5" i="35"/>
  <c r="H5" i="35" s="1"/>
  <c r="G4" i="32"/>
  <c r="I5" i="35" l="1"/>
  <c r="H6" i="35"/>
  <c r="H8" i="35" s="1"/>
  <c r="G8" i="35"/>
  <c r="H4" i="32"/>
  <c r="I4" i="32" s="1"/>
  <c r="G4" i="33"/>
  <c r="H4" i="33" s="1"/>
  <c r="I4" i="33" s="1"/>
  <c r="G5" i="33"/>
  <c r="H5" i="33" s="1"/>
  <c r="I5" i="33" s="1"/>
  <c r="E6" i="33"/>
  <c r="G6" i="33" s="1"/>
  <c r="G5" i="32"/>
  <c r="E6" i="32"/>
  <c r="G6" i="32" s="1"/>
  <c r="G7" i="32"/>
  <c r="H7" i="32" s="1"/>
  <c r="G4" i="29"/>
  <c r="I6" i="35" l="1"/>
  <c r="I8" i="35"/>
  <c r="G8" i="33"/>
  <c r="E19" i="33"/>
  <c r="E17" i="32"/>
  <c r="E18" i="32" s="1"/>
  <c r="H5" i="32"/>
  <c r="I5" i="32" s="1"/>
  <c r="G8" i="32"/>
  <c r="H6" i="33"/>
  <c r="H8" i="33" s="1"/>
  <c r="H6" i="32"/>
  <c r="I7" i="32"/>
  <c r="H8" i="32" l="1"/>
  <c r="I6" i="33"/>
  <c r="I8" i="33" s="1"/>
  <c r="I6" i="32"/>
  <c r="I8" i="32" s="1"/>
  <c r="G7" i="5" l="1"/>
  <c r="H7" i="5" s="1"/>
  <c r="I7" i="5" l="1"/>
  <c r="G11" i="31" l="1"/>
  <c r="H11" i="31" s="1"/>
  <c r="I11" i="31" s="1"/>
  <c r="E7" i="31"/>
  <c r="E9" i="31" s="1"/>
  <c r="G9" i="31" s="1"/>
  <c r="G8" i="31" s="1"/>
  <c r="G5" i="31"/>
  <c r="G4" i="31" s="1"/>
  <c r="B5" i="31"/>
  <c r="H9" i="31" l="1"/>
  <c r="I9" i="31" s="1"/>
  <c r="G7" i="31"/>
  <c r="H4" i="31"/>
  <c r="H5" i="31"/>
  <c r="I5" i="31" s="1"/>
  <c r="H8" i="31"/>
  <c r="I8" i="31" s="1"/>
  <c r="I4" i="31" l="1"/>
  <c r="G6" i="31"/>
  <c r="H7" i="31"/>
  <c r="I7" i="31" s="1"/>
  <c r="H6" i="31" l="1"/>
  <c r="H12" i="31" s="1"/>
  <c r="G12" i="31"/>
  <c r="E27" i="31"/>
  <c r="I12" i="31"/>
  <c r="I6" i="31"/>
  <c r="E28" i="31" s="1"/>
  <c r="E26" i="31" l="1"/>
  <c r="G8" i="24"/>
  <c r="H8" i="24" l="1"/>
  <c r="I8" i="24" s="1"/>
  <c r="G6" i="29" l="1"/>
  <c r="H6" i="29" s="1"/>
  <c r="I6" i="29" s="1"/>
  <c r="E5" i="29"/>
  <c r="G5" i="29" s="1"/>
  <c r="G7" i="29" l="1"/>
  <c r="H4" i="29"/>
  <c r="I4" i="29" s="1"/>
  <c r="H5" i="29"/>
  <c r="I5" i="29" l="1"/>
  <c r="I7" i="29" s="1"/>
  <c r="H7" i="29"/>
  <c r="G5" i="5" l="1"/>
  <c r="H5" i="5" l="1"/>
  <c r="G6" i="17"/>
  <c r="H6" i="17" s="1"/>
  <c r="I5" i="5" l="1"/>
  <c r="I6" i="17"/>
  <c r="E5" i="27" l="1"/>
  <c r="G4" i="27" l="1"/>
  <c r="H4" i="27" l="1"/>
  <c r="I4" i="27" l="1"/>
  <c r="E5" i="17"/>
  <c r="E6" i="21"/>
  <c r="E5" i="19"/>
  <c r="E5" i="24"/>
  <c r="G5" i="24" s="1"/>
  <c r="E6" i="5"/>
  <c r="B4" i="27" l="1"/>
  <c r="B5" i="27" s="1"/>
  <c r="G6" i="27" l="1"/>
  <c r="G5" i="27"/>
  <c r="G3" i="27"/>
  <c r="G7" i="27" l="1"/>
  <c r="H3" i="27"/>
  <c r="I3" i="27" s="1"/>
  <c r="E16" i="27" s="1"/>
  <c r="H5" i="27"/>
  <c r="H6" i="27"/>
  <c r="I6" i="27" s="1"/>
  <c r="H7" i="27" l="1"/>
  <c r="E17" i="27"/>
  <c r="I5" i="27"/>
  <c r="I7" i="27" s="1"/>
  <c r="G5" i="21" l="1"/>
  <c r="G4" i="19"/>
  <c r="G4" i="24"/>
  <c r="H5" i="21" l="1"/>
  <c r="H4" i="19"/>
  <c r="H4" i="24"/>
  <c r="I4" i="24" l="1"/>
  <c r="I5" i="21"/>
  <c r="I4" i="19"/>
  <c r="G4" i="17"/>
  <c r="H4" i="17" l="1"/>
  <c r="I4" i="17" s="1"/>
  <c r="G6" i="5" l="1"/>
  <c r="G5" i="17"/>
  <c r="G9" i="17" s="1"/>
  <c r="H6" i="5" l="1"/>
  <c r="I6" i="5" l="1"/>
  <c r="H5" i="24" l="1"/>
  <c r="I5" i="24" l="1"/>
  <c r="I9" i="24" s="1"/>
  <c r="G7" i="21"/>
  <c r="G6" i="21"/>
  <c r="B7" i="21"/>
  <c r="G6" i="19"/>
  <c r="G5" i="19"/>
  <c r="G7" i="19" s="1"/>
  <c r="B6" i="19"/>
  <c r="G8" i="21" l="1"/>
  <c r="H6" i="21"/>
  <c r="H8" i="21" s="1"/>
  <c r="H7" i="21"/>
  <c r="I7" i="21" s="1"/>
  <c r="H6" i="19"/>
  <c r="I6" i="19" s="1"/>
  <c r="H5" i="19"/>
  <c r="H7" i="19" s="1"/>
  <c r="I6" i="21" l="1"/>
  <c r="I8" i="21" s="1"/>
  <c r="I5" i="19"/>
  <c r="I7" i="19" s="1"/>
  <c r="G7" i="17" l="1"/>
  <c r="H5" i="17" l="1"/>
  <c r="H9" i="17" s="1"/>
  <c r="H7" i="17"/>
  <c r="I7" i="17" s="1"/>
  <c r="I5" i="17" l="1"/>
  <c r="I9" i="17" s="1"/>
  <c r="G8" i="5" l="1"/>
  <c r="H8" i="5" l="1"/>
  <c r="I8" i="5" l="1"/>
</calcChain>
</file>

<file path=xl/sharedStrings.xml><?xml version="1.0" encoding="utf-8"?>
<sst xmlns="http://schemas.openxmlformats.org/spreadsheetml/2006/main" count="257" uniqueCount="65">
  <si>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</si>
  <si>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</si>
  <si>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</si>
  <si>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</si>
  <si>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</si>
  <si>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</si>
  <si>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ДДС, 20%</t>
  </si>
  <si>
    <t>Стойност с ДДС</t>
  </si>
  <si>
    <t>Клиенти по аванси-Труд АД</t>
  </si>
  <si>
    <t>бр.</t>
  </si>
  <si>
    <t>MWh</t>
  </si>
  <si>
    <t>Пренос на природен газ</t>
  </si>
  <si>
    <t>Превишен капацитет</t>
  </si>
  <si>
    <t>Акциз за стопански нужди</t>
  </si>
  <si>
    <t>GJ</t>
  </si>
  <si>
    <t>ОБЩО</t>
  </si>
  <si>
    <t>Договор № ПГ- 0106/Дг22/004/01.09.2021</t>
  </si>
  <si>
    <t>лева с ДДС</t>
  </si>
  <si>
    <t>кредитно известие</t>
  </si>
  <si>
    <t>кредитно известие, без ДДС</t>
  </si>
  <si>
    <t>без ДДС</t>
  </si>
  <si>
    <t>Договор № ПГ-0106/Дг22/007/01.09.2021</t>
  </si>
  <si>
    <t>Клиенти по аванси - ДП РВД</t>
  </si>
  <si>
    <t xml:space="preserve">Пренос на природен газ </t>
  </si>
  <si>
    <t>Кредитно известие обща стойност</t>
  </si>
  <si>
    <t>с ДДС</t>
  </si>
  <si>
    <t>кредитно известие за  природен газ</t>
  </si>
  <si>
    <t>кредитно известие за пренос и добавка 20% ДДС</t>
  </si>
  <si>
    <t>Договор № ПГ- 0106/Дг22/003/05.07.2021</t>
  </si>
  <si>
    <t>Дневен капацитет</t>
  </si>
  <si>
    <t>Капацитет в рамките на деня</t>
  </si>
  <si>
    <t>Договор № ПГ-0106/Дг22/020/07.02.2022</t>
  </si>
  <si>
    <t>Клиенти по аванси-БУЛТЕКС 1</t>
  </si>
  <si>
    <t>Договор № ПГ-0106/Дг22/012/30.09.2021</t>
  </si>
  <si>
    <t>Договор № ПГ-0106/Дг22/013/30.09.2021</t>
  </si>
  <si>
    <t>Клиенти по аванси ф-ра 3000002582 / 22.12.2023</t>
  </si>
  <si>
    <t>Клиенти по аванси- БЕРУС</t>
  </si>
  <si>
    <t>Търговска надбавка за доставка на природен газ м.ДЕКЕМВРИ 2023</t>
  </si>
  <si>
    <t>Клиенти по аванси- ИЛИНДЕН</t>
  </si>
  <si>
    <t>Доставен природен газ на Труд АД по линия C025P01 м. ЯНУАРИ 2024</t>
  </si>
  <si>
    <t>Доставен природен газ на БЕРУС по линия С067Р05  м. ЯНУАРИ 2024</t>
  </si>
  <si>
    <t>Доставка на природен газ по линия C050P01 м. ЯНУАРИ 2024</t>
  </si>
  <si>
    <t>Доставен природен газ на Тенекс С по линия C050P01-  м. ЯНУАРИ 2024</t>
  </si>
  <si>
    <t>Доставен природен газ на Декотекс АД по линия С067Р05  м. ЯНУАРИ 2024</t>
  </si>
  <si>
    <t>Доставен природен газ на АЛУКОМ АД по линия C041P03  м. ЯНУАРИ 2024</t>
  </si>
  <si>
    <t>Доставен природен газ на ИЛИНДЕН ЕООД   м. ЯНУАРИ 2024</t>
  </si>
  <si>
    <t>Доставен природен газ на ВАПТЕХ ЕАД по линия C041P03 м. ЯНУАРИ 2024</t>
  </si>
  <si>
    <t>Доставен природен газ на БУЛТЕКС 1 по линия С025P01   м. ЯНУАРИ 2024</t>
  </si>
  <si>
    <t>Доставен природен газ на Доминекс про ЕООД по линия C025P01 м. ЯНУАРИ 2024</t>
  </si>
  <si>
    <t>Доставен природен газ на ЕМИ по линия C062P01-  м. ЯНУАРИ 2024</t>
  </si>
  <si>
    <t>Клиенти по аванси ф-ра 3000002615 / 12.01.2024</t>
  </si>
  <si>
    <t>Клиенти по аванси ф-ра 3000002623 / 22.01.2024</t>
  </si>
  <si>
    <t>Клиенти по аванси ф-ра 3000002615 / 12.01.2025</t>
  </si>
  <si>
    <t>Клиенти по аванси ф-ра 3000002615 / 12.01.2026</t>
  </si>
  <si>
    <t>Клиенти по аванси ф-ра 3000002623 / 22.01.2025</t>
  </si>
  <si>
    <t>Клиенти по аванси ф-ра 3000002623 / 22.01.2026</t>
  </si>
  <si>
    <t>Клиенти по аванси ф-ра 3000002616 / 16.01.2024</t>
  </si>
  <si>
    <t>Клиенти по аванси ф-ра 3000002625 / 24.01.2024</t>
  </si>
  <si>
    <t>Клиенти по аванси ф-ра 3000002617 / 16.01.2024</t>
  </si>
  <si>
    <t>Клиенти по аванси ф-ра 3000002624 / 24.01.2024</t>
  </si>
  <si>
    <t>Клиенти по аванси ф-ра 3000002618 / 19.01.2024</t>
  </si>
  <si>
    <t>Клиенти по аванси-ВАПТЕХ ЕАД</t>
  </si>
  <si>
    <t>Клиенти по аванси Доминекс</t>
  </si>
  <si>
    <t>Клиенти по аванси ф-ра 3000001811 / 25.08.2022</t>
  </si>
  <si>
    <t>Клиенти по аванси ф-ра 310000198 / 01.02.2023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</si>
</sst>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000"/>
    <numFmt numFmtId="166" formatCode="0.000"/>
    <numFmt numFmtId="167" formatCode="#,##0.00000"/>
    <numFmt numFmtId="168" formatCode="#,##0.000000"/>
  </numFmts>
  <fonts count="1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8"/>
      <color rgb="FF212529"/>
      <name val="Arial"/>
      <family val="2"/>
      <charset val="204"/>
    </font>
    <font>
      <sz val="12"/>
      <name val="Times New Roman"/>
      <family val="1"/>
      <charset val="20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8"/>
      <name val="Calibri"/>
      <family val="2"/>
      <charset val="204"/>
      <scheme val="minor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4" fontId="1" fillId="0" borderId="1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>
      <alignment horizontal="center" vertical="center"/>
    </xf>
    <xf numFmtId="0" fontId="2" fillId="3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165" fontId="2" fillId="3" borderId="1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0" fontId="4" fillId="4" borderId="0" xfId="0" applyFont="1" applyFill="1"/>
    <xf numFmtId="0" fontId="5" fillId="0" borderId="0" xfId="0" applyFont="1"/>
    <xf numFmtId="0" fontId="6" fillId="3" borderId="1" xfId="0" applyFont="1" applyFill="1" applyBorder="1" applyAlignment="1">
      <alignment horizontal="left" wrapText="1"/>
    </xf>
    <xf numFmtId="4" fontId="0" fillId="0" borderId="0" xfId="0" applyNumberFormat="1"/>
    <xf numFmtId="0" fontId="6" fillId="0" borderId="1" xfId="0" applyFont="1" applyBorder="1" applyAlignment="1">
      <alignment horizontal="left" wrapText="1"/>
    </xf>
    <xf numFmtId="4" fontId="2" fillId="0" borderId="1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wrapText="1"/>
    </xf>
    <xf numFmtId="164" fontId="2" fillId="3" borderId="3" xfId="0" applyNumberFormat="1" applyFont="1" applyFill="1" applyBorder="1" applyAlignment="1">
      <alignment horizontal="center" vertical="center"/>
    </xf>
    <xf numFmtId="4" fontId="2" fillId="3" borderId="3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wrapText="1"/>
    </xf>
    <xf numFmtId="164" fontId="2" fillId="3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3" borderId="0" xfId="0" applyFont="1" applyFill="1"/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8" fillId="0" borderId="0" xfId="0" applyFont="1"/>
    <xf numFmtId="4" fontId="8" fillId="0" borderId="0" xfId="0" applyNumberFormat="1" applyFont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wrapText="1"/>
    </xf>
    <xf numFmtId="164" fontId="8" fillId="3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wrapText="1"/>
    </xf>
    <xf numFmtId="164" fontId="8" fillId="3" borderId="0" xfId="0" applyNumberFormat="1" applyFont="1" applyFill="1" applyAlignment="1">
      <alignment horizontal="center" vertical="center"/>
    </xf>
    <xf numFmtId="0" fontId="7" fillId="0" borderId="1" xfId="0" applyFont="1" applyBorder="1"/>
    <xf numFmtId="4" fontId="7" fillId="0" borderId="1" xfId="0" applyNumberFormat="1" applyFont="1" applyBorder="1"/>
    <xf numFmtId="2" fontId="8" fillId="3" borderId="0" xfId="0" applyNumberFormat="1" applyFon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0" fontId="8" fillId="3" borderId="3" xfId="0" applyFont="1" applyFill="1" applyBorder="1" applyAlignment="1">
      <alignment horizontal="left" wrapText="1"/>
    </xf>
    <xf numFmtId="164" fontId="8" fillId="3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5" fontId="8" fillId="0" borderId="3" xfId="0" applyNumberFormat="1" applyFont="1" applyBorder="1" applyAlignment="1">
      <alignment horizontal="center" vertical="center"/>
    </xf>
    <xf numFmtId="4" fontId="8" fillId="3" borderId="3" xfId="0" applyNumberFormat="1" applyFont="1" applyFill="1" applyBorder="1" applyAlignment="1">
      <alignment horizontal="center" vertical="center"/>
    </xf>
    <xf numFmtId="0" fontId="7" fillId="3" borderId="0" xfId="0" applyFont="1" applyFill="1"/>
    <xf numFmtId="4" fontId="7" fillId="3" borderId="0" xfId="0" applyNumberFormat="1" applyFont="1" applyFill="1"/>
    <xf numFmtId="4" fontId="8" fillId="3" borderId="0" xfId="0" applyNumberFormat="1" applyFont="1" applyFill="1"/>
    <xf numFmtId="2" fontId="8" fillId="0" borderId="0" xfId="0" applyNumberFormat="1" applyFont="1"/>
    <xf numFmtId="0" fontId="7" fillId="0" borderId="0" xfId="0" applyFont="1"/>
    <xf numFmtId="0" fontId="8" fillId="3" borderId="3" xfId="0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0" borderId="0" xfId="0" applyNumberFormat="1" applyFont="1"/>
    <xf numFmtId="0" fontId="8" fillId="3" borderId="2" xfId="0" applyFont="1" applyFill="1" applyBorder="1" applyAlignment="1">
      <alignment horizontal="left" wrapText="1"/>
    </xf>
    <xf numFmtId="2" fontId="2" fillId="0" borderId="1" xfId="0" applyNumberFormat="1" applyFont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1" fillId="3" borderId="0" xfId="0" applyNumberFormat="1" applyFont="1" applyFill="1"/>
    <xf numFmtId="0" fontId="1" fillId="3" borderId="0" xfId="0" applyFont="1" applyFill="1"/>
    <xf numFmtId="4" fontId="0" fillId="3" borderId="0" xfId="0" applyNumberFormat="1" applyFill="1"/>
    <xf numFmtId="164" fontId="0" fillId="0" borderId="0" xfId="0" applyNumberFormat="1"/>
    <xf numFmtId="4" fontId="3" fillId="0" borderId="0" xfId="0" applyNumberFormat="1" applyFont="1"/>
    <xf numFmtId="164" fontId="2" fillId="0" borderId="3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9" fillId="3" borderId="0" xfId="0" applyFont="1" applyFill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wrapText="1"/>
    </xf>
    <xf numFmtId="164" fontId="9" fillId="3" borderId="1" xfId="0" applyNumberFormat="1" applyFont="1" applyFill="1" applyBorder="1" applyAlignment="1">
      <alignment horizontal="center" vertical="center"/>
    </xf>
    <xf numFmtId="4" fontId="9" fillId="3" borderId="1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wrapText="1"/>
    </xf>
    <xf numFmtId="164" fontId="9" fillId="3" borderId="3" xfId="0" applyNumberFormat="1" applyFont="1" applyFill="1" applyBorder="1" applyAlignment="1">
      <alignment horizontal="center" vertical="center"/>
    </xf>
    <xf numFmtId="4" fontId="9" fillId="3" borderId="3" xfId="0" applyNumberFormat="1" applyFont="1" applyFill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10" fillId="0" borderId="1" xfId="0" applyFont="1" applyBorder="1"/>
    <xf numFmtId="4" fontId="10" fillId="0" borderId="1" xfId="0" applyNumberFormat="1" applyFont="1" applyBorder="1"/>
    <xf numFmtId="0" fontId="11" fillId="4" borderId="0" xfId="0" applyFont="1" applyFill="1"/>
    <xf numFmtId="4" fontId="9" fillId="3" borderId="1" xfId="0" applyNumberFormat="1" applyFont="1" applyFill="1" applyBorder="1" applyAlignment="1" applyProtection="1">
      <alignment horizontal="center"/>
      <protection locked="0"/>
    </xf>
    <xf numFmtId="165" fontId="9" fillId="3" borderId="3" xfId="0" applyNumberFormat="1" applyFont="1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 vertical="center"/>
    </xf>
    <xf numFmtId="0" fontId="8" fillId="5" borderId="0" xfId="0" applyFont="1" applyFill="1"/>
    <xf numFmtId="4" fontId="1" fillId="5" borderId="1" xfId="0" applyNumberFormat="1" applyFont="1" applyFill="1" applyBorder="1"/>
    <xf numFmtId="4" fontId="7" fillId="5" borderId="0" xfId="0" applyNumberFormat="1" applyFont="1" applyFill="1"/>
    <xf numFmtId="2" fontId="7" fillId="5" borderId="0" xfId="0" applyNumberFormat="1" applyFont="1" applyFill="1"/>
    <xf numFmtId="4" fontId="3" fillId="3" borderId="0" xfId="0" applyNumberFormat="1" applyFont="1" applyFill="1"/>
    <xf numFmtId="4" fontId="9" fillId="0" borderId="0" xfId="0" applyNumberFormat="1" applyFont="1"/>
    <xf numFmtId="4" fontId="10" fillId="3" borderId="1" xfId="0" applyNumberFormat="1" applyFont="1" applyFill="1" applyBorder="1"/>
    <xf numFmtId="2" fontId="7" fillId="3" borderId="0" xfId="0" applyNumberFormat="1" applyFont="1" applyFill="1"/>
    <xf numFmtId="4" fontId="1" fillId="3" borderId="1" xfId="0" applyNumberFormat="1" applyFont="1" applyFill="1" applyBorder="1"/>
    <xf numFmtId="4" fontId="10" fillId="5" borderId="1" xfId="0" applyNumberFormat="1" applyFont="1" applyFill="1" applyBorder="1"/>
    <xf numFmtId="0" fontId="1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91E9-BBA6-4663-BA7E-9F3811E5008E}">
  <dimension ref="B2:K18"/>
  <sheetViews>
    <sheetView zoomScaleNormal="100" workbookViewId="0">
      <selection activeCell="C21" sqref="C21"/>
    </sheetView>
  </sheetViews>
  <sheetFormatPr defaultColWidth="8.88671875" defaultRowHeight="13.8" x14ac:dyDescent="0.25"/>
  <cols>
    <col min="1" max="1" width="8.88671875" style="47"/>
    <col min="2" max="2" width="9.109375" style="47" bestFit="1" customWidth="1"/>
    <col min="3" max="3" width="34.44140625" style="47" customWidth="1"/>
    <col min="4" max="4" width="7.109375" style="47" bestFit="1" customWidth="1"/>
    <col min="5" max="5" width="14.44140625" style="47" customWidth="1"/>
    <col min="6" max="6" width="15.6640625" style="47" customWidth="1"/>
    <col min="7" max="7" width="12.33203125" style="47" customWidth="1"/>
    <col min="8" max="8" width="10.6640625" style="47" customWidth="1"/>
    <col min="9" max="9" width="11.6640625" style="47" bestFit="1" customWidth="1"/>
    <col min="10" max="10" width="8.88671875" style="47"/>
    <col min="11" max="11" width="9.88671875" style="47" bestFit="1" customWidth="1"/>
    <col min="12" max="16384" width="8.88671875" style="47"/>
  </cols>
  <sheetData>
    <row r="2" spans="2:11" s="43" customFormat="1" ht="27.6" x14ac:dyDescent="0.25">
      <c r="B2" s="41" t="s">
        <v>0</v>
      </c>
      <c r="C2" s="41" t="s">
        <v>1</v>
      </c>
      <c r="D2" s="41" t="s">
        <v>2</v>
      </c>
      <c r="E2" s="42" t="s">
        <v>3</v>
      </c>
      <c r="F2" s="42" t="s">
        <v>4</v>
      </c>
      <c r="G2" s="42" t="s">
        <v>5</v>
      </c>
      <c r="H2" s="42" t="s">
        <v>6</v>
      </c>
      <c r="I2" s="42" t="s">
        <v>7</v>
      </c>
    </row>
    <row r="3" spans="2:11" x14ac:dyDescent="0.25">
      <c r="B3" s="44">
        <v>1</v>
      </c>
      <c r="C3" s="75" t="s">
        <v>8</v>
      </c>
      <c r="D3" s="49" t="s">
        <v>9</v>
      </c>
      <c r="E3" s="51">
        <v>-1</v>
      </c>
      <c r="F3" s="46"/>
      <c r="G3" s="52">
        <f>E3*F3</f>
        <v>0</v>
      </c>
      <c r="H3" s="52">
        <f>G3*0.2</f>
        <v>0</v>
      </c>
      <c r="I3" s="52">
        <f>G3+H3</f>
        <v>0</v>
      </c>
      <c r="K3" s="48"/>
    </row>
    <row r="4" spans="2:11" s="43" customFormat="1" ht="27.6" x14ac:dyDescent="0.25">
      <c r="B4" s="49">
        <f>+B3+1</f>
        <v>2</v>
      </c>
      <c r="C4" s="50" t="s">
        <v>39</v>
      </c>
      <c r="D4" s="49" t="s">
        <v>10</v>
      </c>
      <c r="E4" s="51">
        <v>7.2179999999999991</v>
      </c>
      <c r="F4" s="78">
        <v>60.89</v>
      </c>
      <c r="G4" s="52">
        <f>E4*F4</f>
        <v>439.50401999999997</v>
      </c>
      <c r="H4" s="52">
        <f>G4*0.2</f>
        <v>87.900803999999994</v>
      </c>
      <c r="I4" s="52">
        <f>G4+H4</f>
        <v>527.40482399999996</v>
      </c>
    </row>
    <row r="5" spans="2:11" s="43" customFormat="1" ht="15.6" x14ac:dyDescent="0.25">
      <c r="B5" s="49">
        <f>+B4+1</f>
        <v>3</v>
      </c>
      <c r="C5" s="50" t="s">
        <v>11</v>
      </c>
      <c r="D5" s="49" t="s">
        <v>10</v>
      </c>
      <c r="E5" s="51">
        <f>E4</f>
        <v>7.2179999999999991</v>
      </c>
      <c r="F5" s="77">
        <v>0.52290000000000003</v>
      </c>
      <c r="G5" s="52">
        <f>E5*F5</f>
        <v>3.7742921999999997</v>
      </c>
      <c r="H5" s="52">
        <f t="shared" ref="H5:H6" si="0">G5*0.2</f>
        <v>0.75485844000000002</v>
      </c>
      <c r="I5" s="52">
        <f t="shared" ref="I5:I6" si="1">G5+H5</f>
        <v>4.5291506399999992</v>
      </c>
    </row>
    <row r="6" spans="2:11" x14ac:dyDescent="0.25">
      <c r="B6" s="49">
        <f>+B5+1</f>
        <v>4</v>
      </c>
      <c r="C6" s="62" t="s">
        <v>13</v>
      </c>
      <c r="D6" s="63" t="s">
        <v>14</v>
      </c>
      <c r="E6" s="64"/>
      <c r="F6" s="65"/>
      <c r="G6" s="66">
        <f t="shared" ref="G6" si="2">E6*F6</f>
        <v>0</v>
      </c>
      <c r="H6" s="66">
        <f t="shared" si="0"/>
        <v>0</v>
      </c>
      <c r="I6" s="66">
        <f t="shared" si="1"/>
        <v>0</v>
      </c>
    </row>
    <row r="7" spans="2:11" x14ac:dyDescent="0.25">
      <c r="F7" s="56" t="s">
        <v>15</v>
      </c>
      <c r="G7" s="57">
        <f>SUM(G3:G6)</f>
        <v>443.27831219999996</v>
      </c>
      <c r="H7" s="57">
        <f>SUM(H3:H6)</f>
        <v>88.65566244</v>
      </c>
      <c r="I7" s="57">
        <f>SUM(I3:I6)</f>
        <v>531.93397463999997</v>
      </c>
    </row>
    <row r="12" spans="2:11" x14ac:dyDescent="0.25">
      <c r="C12" s="47" t="s">
        <v>16</v>
      </c>
      <c r="F12" s="48"/>
    </row>
    <row r="14" spans="2:11" s="43" customFormat="1" ht="15.6" x14ac:dyDescent="0.3">
      <c r="B14" s="43" t="s">
        <v>35</v>
      </c>
      <c r="C14" s="109"/>
      <c r="D14" s="109"/>
      <c r="E14" s="110">
        <v>11319.048000000001</v>
      </c>
      <c r="F14" s="67" t="s">
        <v>17</v>
      </c>
      <c r="H14" s="47"/>
    </row>
    <row r="15" spans="2:11" s="43" customFormat="1" x14ac:dyDescent="0.25">
      <c r="C15" s="109"/>
      <c r="D15" s="109"/>
      <c r="E15" s="111"/>
      <c r="F15" s="67"/>
      <c r="H15" s="47"/>
    </row>
    <row r="16" spans="2:11" s="43" customFormat="1" x14ac:dyDescent="0.25">
      <c r="C16" s="109" t="s">
        <v>18</v>
      </c>
      <c r="D16" s="109"/>
      <c r="E16" s="111">
        <f>E14+I3</f>
        <v>11319.048000000001</v>
      </c>
      <c r="F16" s="67" t="s">
        <v>17</v>
      </c>
      <c r="H16" s="69"/>
    </row>
    <row r="17" spans="2:7" s="43" customFormat="1" x14ac:dyDescent="0.25">
      <c r="B17" s="47"/>
      <c r="C17" s="109" t="s">
        <v>19</v>
      </c>
      <c r="D17" s="109"/>
      <c r="E17" s="112">
        <f>+E16/1.2</f>
        <v>9432.5400000000009</v>
      </c>
      <c r="F17" s="67" t="s">
        <v>20</v>
      </c>
      <c r="G17" s="69"/>
    </row>
    <row r="18" spans="2:7" x14ac:dyDescent="0.25">
      <c r="E18" s="7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4FCB-A276-4F29-B0A7-F2B9438BED42}">
  <dimension ref="A2:I12"/>
  <sheetViews>
    <sheetView topLeftCell="A3" workbookViewId="0">
      <selection activeCell="E5" sqref="E5"/>
    </sheetView>
  </sheetViews>
  <sheetFormatPr defaultColWidth="8.88671875" defaultRowHeight="15.6" x14ac:dyDescent="0.3"/>
  <cols>
    <col min="1" max="1" width="8.88671875" style="3"/>
    <col min="2" max="2" width="9.109375" style="3" bestFit="1" customWidth="1"/>
    <col min="3" max="3" width="34.44140625" style="3" customWidth="1"/>
    <col min="4" max="4" width="7.109375" style="3" bestFit="1" customWidth="1"/>
    <col min="5" max="5" width="14.44140625" style="3" customWidth="1"/>
    <col min="6" max="6" width="15.6640625" style="3" customWidth="1"/>
    <col min="7" max="7" width="12.33203125" style="3" customWidth="1"/>
    <col min="8" max="8" width="10.6640625" style="3" customWidth="1"/>
    <col min="9" max="9" width="11" style="3" bestFit="1" customWidth="1"/>
    <col min="10" max="16384" width="8.88671875" style="3"/>
  </cols>
  <sheetData>
    <row r="2" spans="1:9" s="12" customFormat="1" x14ac:dyDescent="0.3">
      <c r="B2" s="37"/>
      <c r="C2" s="38"/>
      <c r="D2" s="37"/>
      <c r="E2" s="39"/>
      <c r="F2" s="35"/>
      <c r="G2" s="40"/>
      <c r="H2" s="40"/>
      <c r="I2" s="40"/>
    </row>
    <row r="3" spans="1:9" s="12" customFormat="1" ht="31.2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1:9" s="12" customFormat="1" x14ac:dyDescent="0.3">
      <c r="B4" s="4">
        <v>1</v>
      </c>
      <c r="C4" s="24" t="s">
        <v>38</v>
      </c>
      <c r="D4" s="4" t="s">
        <v>10</v>
      </c>
      <c r="E4" s="6">
        <v>-1</v>
      </c>
      <c r="F4" s="76">
        <v>437.5</v>
      </c>
      <c r="G4" s="25">
        <f>E4*F4</f>
        <v>-437.5</v>
      </c>
      <c r="H4" s="25">
        <f>G4*0.2</f>
        <v>-87.5</v>
      </c>
      <c r="I4" s="25">
        <f>G4*1.2</f>
        <v>-525</v>
      </c>
    </row>
    <row r="5" spans="1:9" s="12" customFormat="1" ht="46.8" x14ac:dyDescent="0.3">
      <c r="B5" s="4">
        <v>1</v>
      </c>
      <c r="C5" s="24" t="s">
        <v>45</v>
      </c>
      <c r="D5" s="4" t="s">
        <v>10</v>
      </c>
      <c r="E5" s="6">
        <v>92.052999999999997</v>
      </c>
      <c r="F5" s="76">
        <v>69.650000000000006</v>
      </c>
      <c r="G5" s="25">
        <f t="shared" ref="G5:G7" si="0">E5*F5</f>
        <v>6411.4914500000004</v>
      </c>
      <c r="H5" s="25">
        <f>G5*0.2</f>
        <v>1282.2982900000002</v>
      </c>
      <c r="I5" s="25">
        <f>G5+H5</f>
        <v>7693.7897400000002</v>
      </c>
    </row>
    <row r="6" spans="1:9" x14ac:dyDescent="0.3">
      <c r="A6" s="12"/>
      <c r="B6" s="4">
        <v>1</v>
      </c>
      <c r="C6" s="5" t="s">
        <v>11</v>
      </c>
      <c r="D6" s="4" t="s">
        <v>10</v>
      </c>
      <c r="E6" s="6">
        <f>E5</f>
        <v>92.052999999999997</v>
      </c>
      <c r="F6" s="18">
        <v>1.0194000000000001</v>
      </c>
      <c r="G6" s="25">
        <f t="shared" si="0"/>
        <v>93.838828200000009</v>
      </c>
      <c r="H6" s="25">
        <f t="shared" ref="H6:H7" si="1">G6*0.2</f>
        <v>18.767765640000004</v>
      </c>
      <c r="I6" s="25">
        <f t="shared" ref="I6:I7" si="2">G6+H6</f>
        <v>112.60659384000002</v>
      </c>
    </row>
    <row r="7" spans="1:9" x14ac:dyDescent="0.3">
      <c r="B7" s="4">
        <f t="shared" ref="B7" si="3">+B6+1</f>
        <v>2</v>
      </c>
      <c r="C7" s="5" t="s">
        <v>13</v>
      </c>
      <c r="D7" s="4" t="s">
        <v>14</v>
      </c>
      <c r="E7" s="6"/>
      <c r="F7" s="11"/>
      <c r="G7" s="25">
        <f t="shared" si="0"/>
        <v>0</v>
      </c>
      <c r="H7" s="25">
        <f t="shared" si="1"/>
        <v>0</v>
      </c>
      <c r="I7" s="25">
        <f t="shared" si="2"/>
        <v>0</v>
      </c>
    </row>
    <row r="8" spans="1:9" x14ac:dyDescent="0.3">
      <c r="F8" s="8" t="s">
        <v>15</v>
      </c>
      <c r="G8" s="81">
        <f>SUM(G5:G7)</f>
        <v>6505.3302782000001</v>
      </c>
      <c r="H8" s="81">
        <f t="shared" ref="H8" si="4">SUM(H5:H7)</f>
        <v>1301.0660556400003</v>
      </c>
      <c r="I8" s="81">
        <f>SUM(I4:I7)</f>
        <v>7281.3963338399999</v>
      </c>
    </row>
    <row r="9" spans="1:9" x14ac:dyDescent="0.3">
      <c r="C9" s="7"/>
      <c r="E9" s="10"/>
    </row>
    <row r="10" spans="1:9" x14ac:dyDescent="0.3">
      <c r="C10" s="7"/>
      <c r="E10" s="10"/>
    </row>
    <row r="11" spans="1:9" x14ac:dyDescent="0.3">
      <c r="C11" s="7"/>
      <c r="E11" s="10"/>
    </row>
    <row r="12" spans="1:9" x14ac:dyDescent="0.3">
      <c r="C12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E379-FDD3-41FC-B807-A85BAE499A5C}">
  <sheetPr>
    <tabColor theme="0" tint="-0.14999847407452621"/>
  </sheetPr>
  <dimension ref="B2:I20"/>
  <sheetViews>
    <sheetView workbookViewId="0">
      <selection activeCell="H15" sqref="H15"/>
    </sheetView>
  </sheetViews>
  <sheetFormatPr defaultColWidth="8.88671875" defaultRowHeight="15.6" x14ac:dyDescent="0.3"/>
  <cols>
    <col min="1" max="1" width="8.88671875" style="3"/>
    <col min="2" max="2" width="9.109375" style="3" bestFit="1" customWidth="1"/>
    <col min="3" max="3" width="34.44140625" style="3" customWidth="1"/>
    <col min="4" max="4" width="7.109375" style="3" bestFit="1" customWidth="1"/>
    <col min="5" max="5" width="13.109375" style="3" bestFit="1" customWidth="1"/>
    <col min="6" max="6" width="15.6640625" style="3" customWidth="1"/>
    <col min="7" max="7" width="12.33203125" style="3" customWidth="1"/>
    <col min="8" max="8" width="10.6640625" style="3" customWidth="1"/>
    <col min="9" max="9" width="11" style="3" bestFit="1" customWidth="1"/>
    <col min="10" max="16384" width="8.88671875" style="3"/>
  </cols>
  <sheetData>
    <row r="2" spans="2:9" s="12" customFormat="1" x14ac:dyDescent="0.3">
      <c r="B2" s="30"/>
      <c r="C2" s="36"/>
      <c r="D2" s="30"/>
      <c r="E2" s="32"/>
      <c r="F2" s="33"/>
      <c r="G2" s="34"/>
      <c r="H2" s="34"/>
      <c r="I2" s="34"/>
    </row>
    <row r="3" spans="2:9" s="12" customFormat="1" ht="31.2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2:9" s="12" customFormat="1" x14ac:dyDescent="0.3">
      <c r="B4" s="44">
        <v>1</v>
      </c>
      <c r="C4" s="75" t="s">
        <v>61</v>
      </c>
      <c r="D4" s="49" t="s">
        <v>9</v>
      </c>
      <c r="E4" s="51">
        <v>-1</v>
      </c>
      <c r="F4" s="46">
        <v>11496.000000000002</v>
      </c>
      <c r="G4" s="52">
        <f>E4*F4</f>
        <v>-11496.000000000002</v>
      </c>
      <c r="H4" s="52">
        <f>G4*0.2</f>
        <v>-2299.2000000000003</v>
      </c>
      <c r="I4" s="52">
        <f>G4+H4</f>
        <v>-13795.200000000003</v>
      </c>
    </row>
    <row r="5" spans="2:9" s="12" customFormat="1" ht="46.8" x14ac:dyDescent="0.3">
      <c r="B5" s="13">
        <v>1</v>
      </c>
      <c r="C5" s="22" t="s">
        <v>46</v>
      </c>
      <c r="D5" s="13" t="s">
        <v>10</v>
      </c>
      <c r="E5" s="80">
        <v>412.60700000000003</v>
      </c>
      <c r="F5" s="76">
        <v>69.650000000000006</v>
      </c>
      <c r="G5" s="16">
        <f t="shared" ref="G5" si="0">E5*F5</f>
        <v>28738.077550000005</v>
      </c>
      <c r="H5" s="16">
        <f>G5*0.2</f>
        <v>5747.6155100000014</v>
      </c>
      <c r="I5" s="16">
        <f t="shared" ref="I5" si="1">G5+H5</f>
        <v>34485.693060000005</v>
      </c>
    </row>
    <row r="6" spans="2:9" s="12" customFormat="1" x14ac:dyDescent="0.3">
      <c r="B6" s="26">
        <v>1</v>
      </c>
      <c r="C6" s="27" t="s">
        <v>11</v>
      </c>
      <c r="D6" s="26" t="s">
        <v>10</v>
      </c>
      <c r="E6" s="28">
        <f>E5</f>
        <v>412.60700000000003</v>
      </c>
      <c r="F6" s="18">
        <v>0.52290000000000003</v>
      </c>
      <c r="G6" s="29">
        <f t="shared" ref="G6:G7" si="2">E6*F6</f>
        <v>215.75220030000003</v>
      </c>
      <c r="H6" s="29">
        <f t="shared" ref="H6:H7" si="3">G6*0.2</f>
        <v>43.150440060000008</v>
      </c>
      <c r="I6" s="29">
        <f t="shared" ref="I6:I7" si="4">G6+H6</f>
        <v>258.90264036000002</v>
      </c>
    </row>
    <row r="7" spans="2:9" x14ac:dyDescent="0.3">
      <c r="B7" s="13">
        <f t="shared" ref="B7" si="5">+B6+1</f>
        <v>2</v>
      </c>
      <c r="C7" s="5" t="s">
        <v>13</v>
      </c>
      <c r="D7" s="4" t="s">
        <v>14</v>
      </c>
      <c r="E7" s="6"/>
      <c r="F7" s="11"/>
      <c r="G7" s="16">
        <f t="shared" si="2"/>
        <v>0</v>
      </c>
      <c r="H7" s="16">
        <f t="shared" si="3"/>
        <v>0</v>
      </c>
      <c r="I7" s="16">
        <f t="shared" si="4"/>
        <v>0</v>
      </c>
    </row>
    <row r="8" spans="2:9" x14ac:dyDescent="0.3">
      <c r="F8" s="8" t="s">
        <v>15</v>
      </c>
      <c r="G8" s="9">
        <f>SUM(G5:G7)</f>
        <v>28953.829750300007</v>
      </c>
      <c r="H8" s="9">
        <f>SUM(H5:H7)</f>
        <v>5790.7659500600012</v>
      </c>
      <c r="I8" s="9">
        <f>SUM(I5:I7)</f>
        <v>34744.595700360005</v>
      </c>
    </row>
    <row r="9" spans="2:9" x14ac:dyDescent="0.3">
      <c r="C9" s="7"/>
      <c r="E9" s="10"/>
    </row>
    <row r="10" spans="2:9" x14ac:dyDescent="0.3">
      <c r="C10" s="7"/>
      <c r="E10" s="10"/>
    </row>
    <row r="11" spans="2:9" x14ac:dyDescent="0.3">
      <c r="C11" s="7"/>
      <c r="E11" s="10"/>
    </row>
    <row r="12" spans="2:9" x14ac:dyDescent="0.3">
      <c r="C12" s="12" t="s">
        <v>34</v>
      </c>
    </row>
    <row r="15" spans="2:9" s="12" customFormat="1" x14ac:dyDescent="0.3">
      <c r="B15" s="43"/>
      <c r="C15" s="43"/>
      <c r="D15" s="43"/>
      <c r="E15" s="68"/>
      <c r="F15" s="68"/>
    </row>
    <row r="16" spans="2:9" s="12" customFormat="1" x14ac:dyDescent="0.3">
      <c r="B16" s="43"/>
      <c r="C16" s="43"/>
      <c r="D16" s="43"/>
      <c r="E16" s="68"/>
      <c r="F16" s="67"/>
    </row>
    <row r="17" spans="2:7" s="12" customFormat="1" x14ac:dyDescent="0.3">
      <c r="B17" s="43"/>
      <c r="C17" s="43" t="s">
        <v>60</v>
      </c>
      <c r="D17" s="91"/>
      <c r="E17" s="91"/>
      <c r="F17" s="115">
        <v>13795.2</v>
      </c>
      <c r="G17" s="67" t="s">
        <v>17</v>
      </c>
    </row>
    <row r="18" spans="2:7" s="12" customFormat="1" x14ac:dyDescent="0.3">
      <c r="C18" s="43"/>
      <c r="D18" s="43"/>
      <c r="E18" s="43"/>
      <c r="F18" s="118"/>
      <c r="G18" s="67" t="s">
        <v>17</v>
      </c>
    </row>
    <row r="19" spans="2:7" x14ac:dyDescent="0.3">
      <c r="C19" s="43"/>
      <c r="D19" s="43" t="s">
        <v>18</v>
      </c>
      <c r="E19" s="43"/>
      <c r="F19" s="68">
        <f>F18+I4+F17</f>
        <v>0</v>
      </c>
      <c r="G19" s="67" t="s">
        <v>17</v>
      </c>
    </row>
    <row r="20" spans="2:7" x14ac:dyDescent="0.3">
      <c r="C20" s="43"/>
      <c r="D20" s="43" t="s">
        <v>19</v>
      </c>
      <c r="E20" s="43"/>
      <c r="F20" s="116">
        <f>+F19/1.2</f>
        <v>0</v>
      </c>
      <c r="G20" s="6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2597-DC55-4880-820C-E58F83E76848}">
  <dimension ref="B3:I18"/>
  <sheetViews>
    <sheetView workbookViewId="0">
      <selection activeCell="G13" sqref="G13"/>
    </sheetView>
  </sheetViews>
  <sheetFormatPr defaultColWidth="8.88671875" defaultRowHeight="15.6" x14ac:dyDescent="0.3"/>
  <cols>
    <col min="1" max="1" width="8.88671875" style="90"/>
    <col min="2" max="2" width="9.109375" style="90" bestFit="1" customWidth="1"/>
    <col min="3" max="3" width="34.44140625" style="90" customWidth="1"/>
    <col min="4" max="4" width="7.109375" style="90" bestFit="1" customWidth="1"/>
    <col min="5" max="5" width="14.44140625" style="90" customWidth="1"/>
    <col min="6" max="6" width="15.6640625" style="90" customWidth="1"/>
    <col min="7" max="7" width="12.33203125" style="90" customWidth="1"/>
    <col min="8" max="8" width="10.6640625" style="90" customWidth="1"/>
    <col min="9" max="9" width="11.6640625" style="90" bestFit="1" customWidth="1"/>
    <col min="10" max="16384" width="8.88671875" style="90"/>
  </cols>
  <sheetData>
    <row r="3" spans="2:9" s="91" customFormat="1" ht="31.2" x14ac:dyDescent="0.3">
      <c r="B3" s="92" t="s">
        <v>0</v>
      </c>
      <c r="C3" s="92" t="s">
        <v>1</v>
      </c>
      <c r="D3" s="92" t="s">
        <v>2</v>
      </c>
      <c r="E3" s="93" t="s">
        <v>3</v>
      </c>
      <c r="F3" s="93" t="s">
        <v>4</v>
      </c>
      <c r="G3" s="93" t="s">
        <v>5</v>
      </c>
      <c r="H3" s="42" t="s">
        <v>6</v>
      </c>
      <c r="I3" s="93" t="s">
        <v>7</v>
      </c>
    </row>
    <row r="4" spans="2:9" s="91" customFormat="1" x14ac:dyDescent="0.3">
      <c r="B4" s="94">
        <v>1</v>
      </c>
      <c r="C4" s="95" t="s">
        <v>36</v>
      </c>
      <c r="D4" s="94" t="s">
        <v>10</v>
      </c>
      <c r="E4" s="96">
        <v>-1</v>
      </c>
      <c r="F4" s="46">
        <f>+G5</f>
        <v>742.95654999999988</v>
      </c>
      <c r="G4" s="97">
        <f>E4*F4</f>
        <v>-742.95654999999988</v>
      </c>
      <c r="H4" s="97">
        <f>G4*0.2</f>
        <v>-148.59130999999999</v>
      </c>
      <c r="I4" s="97">
        <f>G4+H4</f>
        <v>-891.5478599999999</v>
      </c>
    </row>
    <row r="5" spans="2:9" s="91" customFormat="1" ht="46.8" x14ac:dyDescent="0.3">
      <c r="B5" s="94">
        <v>1</v>
      </c>
      <c r="C5" s="95" t="s">
        <v>40</v>
      </c>
      <c r="D5" s="94" t="s">
        <v>10</v>
      </c>
      <c r="E5" s="96">
        <v>10.666999999999998</v>
      </c>
      <c r="F5" s="46">
        <v>69.650000000000006</v>
      </c>
      <c r="G5" s="97">
        <f>E5*F5</f>
        <v>742.95654999999988</v>
      </c>
      <c r="H5" s="97">
        <f>G5*0.2</f>
        <v>148.59130999999999</v>
      </c>
      <c r="I5" s="97">
        <f>G5+H5</f>
        <v>891.5478599999999</v>
      </c>
    </row>
    <row r="6" spans="2:9" s="91" customFormat="1" x14ac:dyDescent="0.3">
      <c r="B6" s="98">
        <v>2</v>
      </c>
      <c r="C6" s="99" t="s">
        <v>11</v>
      </c>
      <c r="D6" s="98" t="s">
        <v>10</v>
      </c>
      <c r="E6" s="100">
        <f>E5</f>
        <v>10.666999999999998</v>
      </c>
      <c r="F6" s="107">
        <v>0.52290000000000003</v>
      </c>
      <c r="G6" s="101">
        <f>E6*F6</f>
        <v>5.5777742999999997</v>
      </c>
      <c r="H6" s="101">
        <f>G6*0.2</f>
        <v>1.11555486</v>
      </c>
      <c r="I6" s="101">
        <f>G6+H6</f>
        <v>6.6933291599999993</v>
      </c>
    </row>
    <row r="7" spans="2:9" s="91" customFormat="1" x14ac:dyDescent="0.3">
      <c r="B7" s="94">
        <v>5</v>
      </c>
      <c r="C7" s="99" t="s">
        <v>12</v>
      </c>
      <c r="D7" s="98" t="s">
        <v>10</v>
      </c>
      <c r="E7" s="102">
        <v>0.84700000000000042</v>
      </c>
      <c r="F7" s="107">
        <v>3.3016999999999999</v>
      </c>
      <c r="G7" s="101">
        <f>E7*F7</f>
        <v>2.7965399000000013</v>
      </c>
      <c r="H7" s="101">
        <f>G7*0.2</f>
        <v>0.55930798000000026</v>
      </c>
      <c r="I7" s="101">
        <f>G7+H7</f>
        <v>3.3558478800000016</v>
      </c>
    </row>
    <row r="8" spans="2:9" x14ac:dyDescent="0.3">
      <c r="F8" s="103" t="s">
        <v>15</v>
      </c>
      <c r="G8" s="104">
        <f>SUM(G4:G7)</f>
        <v>8.3743142000000006</v>
      </c>
      <c r="H8" s="104">
        <f t="shared" ref="H8" si="0">SUM(H4:H7)</f>
        <v>1.6748628400000003</v>
      </c>
      <c r="I8" s="104">
        <f>SUM(I4:I7)</f>
        <v>10.04917704</v>
      </c>
    </row>
    <row r="13" spans="2:9" x14ac:dyDescent="0.3">
      <c r="C13" s="105" t="s">
        <v>31</v>
      </c>
    </row>
    <row r="15" spans="2:9" x14ac:dyDescent="0.3">
      <c r="B15" s="43" t="s">
        <v>58</v>
      </c>
      <c r="C15" s="43"/>
      <c r="D15" s="43"/>
      <c r="E15" s="117">
        <f>390.15*1.2</f>
        <v>468.17999999999995</v>
      </c>
      <c r="F15" s="67" t="s">
        <v>17</v>
      </c>
    </row>
    <row r="16" spans="2:9" x14ac:dyDescent="0.3">
      <c r="B16" s="43" t="s">
        <v>59</v>
      </c>
      <c r="C16" s="43"/>
      <c r="D16" s="43"/>
      <c r="E16" s="117">
        <f>390.15*1.2</f>
        <v>468.17999999999995</v>
      </c>
      <c r="F16" s="67" t="s">
        <v>17</v>
      </c>
    </row>
    <row r="17" spans="2:6" x14ac:dyDescent="0.3">
      <c r="B17" s="43"/>
      <c r="C17" s="43" t="s">
        <v>18</v>
      </c>
      <c r="D17" s="43"/>
      <c r="E17" s="68">
        <f>E15+E16+I4</f>
        <v>44.812139999999999</v>
      </c>
      <c r="F17" s="67" t="s">
        <v>17</v>
      </c>
    </row>
    <row r="18" spans="2:6" x14ac:dyDescent="0.3">
      <c r="B18" s="43"/>
      <c r="C18" s="43" t="s">
        <v>19</v>
      </c>
      <c r="D18" s="43"/>
      <c r="E18" s="116">
        <f>+E17/1.2</f>
        <v>37.343450000000004</v>
      </c>
      <c r="F18" s="67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E481-B964-4CA5-8100-2704296FD1E8}">
  <dimension ref="B3:I19"/>
  <sheetViews>
    <sheetView topLeftCell="A3" workbookViewId="0">
      <selection activeCell="B16" sqref="B16:F19"/>
    </sheetView>
  </sheetViews>
  <sheetFormatPr defaultColWidth="8.88671875" defaultRowHeight="15.6" x14ac:dyDescent="0.3"/>
  <cols>
    <col min="1" max="1" width="8.88671875" style="90"/>
    <col min="2" max="2" width="9.109375" style="90" bestFit="1" customWidth="1"/>
    <col min="3" max="3" width="34.44140625" style="90" customWidth="1"/>
    <col min="4" max="4" width="7.109375" style="90" bestFit="1" customWidth="1"/>
    <col min="5" max="5" width="14.44140625" style="90" customWidth="1"/>
    <col min="6" max="6" width="15.6640625" style="90" customWidth="1"/>
    <col min="7" max="7" width="12.33203125" style="90" customWidth="1"/>
    <col min="8" max="8" width="10.6640625" style="90" customWidth="1"/>
    <col min="9" max="9" width="11.6640625" style="90" bestFit="1" customWidth="1"/>
    <col min="10" max="16384" width="8.88671875" style="90"/>
  </cols>
  <sheetData>
    <row r="3" spans="2:9" s="91" customFormat="1" ht="31.2" x14ac:dyDescent="0.3">
      <c r="B3" s="92" t="s">
        <v>0</v>
      </c>
      <c r="C3" s="92" t="s">
        <v>1</v>
      </c>
      <c r="D3" s="92" t="s">
        <v>2</v>
      </c>
      <c r="E3" s="93" t="s">
        <v>3</v>
      </c>
      <c r="F3" s="93" t="s">
        <v>4</v>
      </c>
      <c r="G3" s="93" t="s">
        <v>5</v>
      </c>
      <c r="H3" s="42" t="s">
        <v>6</v>
      </c>
      <c r="I3" s="93" t="s">
        <v>7</v>
      </c>
    </row>
    <row r="4" spans="2:9" s="91" customFormat="1" x14ac:dyDescent="0.3">
      <c r="B4" s="44">
        <v>1</v>
      </c>
      <c r="C4" s="75" t="s">
        <v>32</v>
      </c>
      <c r="D4" s="49" t="s">
        <v>9</v>
      </c>
      <c r="E4" s="51">
        <v>-1</v>
      </c>
      <c r="F4" s="46">
        <f>+G5</f>
        <v>3878.5995500000004</v>
      </c>
      <c r="G4" s="52">
        <f>E4*F4</f>
        <v>-3878.5995500000004</v>
      </c>
      <c r="H4" s="52">
        <f>G4*0.2</f>
        <v>-775.71991000000014</v>
      </c>
      <c r="I4" s="52">
        <f>G4+H4</f>
        <v>-4654.3194600000006</v>
      </c>
    </row>
    <row r="5" spans="2:9" s="91" customFormat="1" ht="46.8" x14ac:dyDescent="0.3">
      <c r="B5" s="94">
        <v>2</v>
      </c>
      <c r="C5" s="95" t="s">
        <v>47</v>
      </c>
      <c r="D5" s="94" t="s">
        <v>10</v>
      </c>
      <c r="E5" s="96">
        <v>55.686999999999998</v>
      </c>
      <c r="F5" s="46">
        <v>69.650000000000006</v>
      </c>
      <c r="G5" s="97">
        <f>E5*F5</f>
        <v>3878.5995500000004</v>
      </c>
      <c r="H5" s="97">
        <f>G5*0.2</f>
        <v>775.71991000000014</v>
      </c>
      <c r="I5" s="97">
        <f>G5+H5</f>
        <v>4654.3194600000006</v>
      </c>
    </row>
    <row r="6" spans="2:9" s="91" customFormat="1" x14ac:dyDescent="0.3">
      <c r="B6" s="98">
        <v>3</v>
      </c>
      <c r="C6" s="99" t="s">
        <v>11</v>
      </c>
      <c r="D6" s="98" t="s">
        <v>10</v>
      </c>
      <c r="E6" s="100">
        <f>E5</f>
        <v>55.686999999999998</v>
      </c>
      <c r="F6" s="107">
        <v>0.52290000000000003</v>
      </c>
      <c r="G6" s="101">
        <f>E6*F6</f>
        <v>29.118732300000001</v>
      </c>
      <c r="H6" s="101">
        <f>G6*0.2</f>
        <v>5.8237464600000006</v>
      </c>
      <c r="I6" s="101">
        <f>G6+H6</f>
        <v>34.94247876</v>
      </c>
    </row>
    <row r="7" spans="2:9" s="91" customFormat="1" x14ac:dyDescent="0.3">
      <c r="B7" s="98">
        <v>4</v>
      </c>
      <c r="C7" s="99" t="s">
        <v>12</v>
      </c>
      <c r="D7" s="98" t="s">
        <v>10</v>
      </c>
      <c r="E7" s="100">
        <v>7.9540000000000015</v>
      </c>
      <c r="F7" s="107">
        <v>3.3016999999999999</v>
      </c>
      <c r="G7" s="101">
        <f>E7*F7</f>
        <v>26.261721800000004</v>
      </c>
      <c r="H7" s="101">
        <f>G7*0.2</f>
        <v>5.2523443600000013</v>
      </c>
      <c r="I7" s="101">
        <f>G7+H7</f>
        <v>31.514066160000006</v>
      </c>
    </row>
    <row r="8" spans="2:9" x14ac:dyDescent="0.3">
      <c r="F8" s="103" t="s">
        <v>15</v>
      </c>
      <c r="G8" s="104">
        <f>SUM(G4:G7)</f>
        <v>55.380454100000009</v>
      </c>
      <c r="H8" s="104">
        <f>SUM(H4:H7)</f>
        <v>11.076090820000001</v>
      </c>
      <c r="I8" s="104">
        <f>SUM(I4:I7)</f>
        <v>66.456544919999999</v>
      </c>
    </row>
    <row r="13" spans="2:9" x14ac:dyDescent="0.3">
      <c r="C13" s="105" t="s">
        <v>31</v>
      </c>
    </row>
    <row r="16" spans="2:9" x14ac:dyDescent="0.3">
      <c r="B16" s="43" t="s">
        <v>56</v>
      </c>
      <c r="C16" s="91"/>
      <c r="D16" s="91"/>
      <c r="E16" s="115">
        <f>2293.45*1.2</f>
        <v>2752.14</v>
      </c>
      <c r="F16" s="67" t="s">
        <v>17</v>
      </c>
      <c r="G16" s="114"/>
    </row>
    <row r="17" spans="2:7" x14ac:dyDescent="0.3">
      <c r="B17" s="43" t="s">
        <v>57</v>
      </c>
      <c r="C17" s="43"/>
      <c r="D17" s="43"/>
      <c r="E17" s="115">
        <f>2293.45*1.2</f>
        <v>2752.14</v>
      </c>
      <c r="F17" s="67" t="s">
        <v>17</v>
      </c>
      <c r="G17" s="114"/>
    </row>
    <row r="18" spans="2:7" x14ac:dyDescent="0.3">
      <c r="B18" s="43"/>
      <c r="C18" s="43" t="s">
        <v>18</v>
      </c>
      <c r="D18" s="43"/>
      <c r="E18" s="68">
        <f>E17+I4+E16</f>
        <v>849.96053999999913</v>
      </c>
      <c r="F18" s="67" t="s">
        <v>17</v>
      </c>
    </row>
    <row r="19" spans="2:7" x14ac:dyDescent="0.3">
      <c r="B19" s="43"/>
      <c r="C19" s="43" t="s">
        <v>19</v>
      </c>
      <c r="D19" s="43"/>
      <c r="E19" s="116">
        <f>+E18/1.2</f>
        <v>708.30044999999927</v>
      </c>
      <c r="F19" s="67" t="s">
        <v>20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dimension ref="A2:I21"/>
  <sheetViews>
    <sheetView tabSelected="1" topLeftCell="A2" workbookViewId="0">
      <selection activeCell="F21" sqref="F21"/>
    </sheetView>
  </sheetViews>
  <sheetFormatPr defaultColWidth="8.88671875" defaultRowHeight="13.8" x14ac:dyDescent="0.25"/>
  <cols>
    <col min="1" max="1" width="8.88671875" style="47"/>
    <col min="2" max="2" width="9.109375" style="47" bestFit="1" customWidth="1"/>
    <col min="3" max="3" width="34.44140625" style="47" customWidth="1"/>
    <col min="4" max="4" width="7.109375" style="47" bestFit="1" customWidth="1"/>
    <col min="5" max="5" width="14.44140625" style="47" customWidth="1"/>
    <col min="6" max="6" width="15.6640625" style="47" customWidth="1"/>
    <col min="7" max="7" width="12.6640625" style="47" bestFit="1" customWidth="1"/>
    <col min="8" max="8" width="10.6640625" style="47" customWidth="1"/>
    <col min="9" max="9" width="11.6640625" style="47" bestFit="1" customWidth="1"/>
    <col min="10" max="16384" width="8.88671875" style="47"/>
  </cols>
  <sheetData>
    <row r="2" spans="1:9" s="43" customFormat="1" x14ac:dyDescent="0.25">
      <c r="B2" s="53"/>
      <c r="C2" s="54"/>
      <c r="D2" s="53"/>
      <c r="E2" s="55"/>
      <c r="F2" s="58"/>
      <c r="G2" s="59"/>
      <c r="H2" s="59"/>
      <c r="I2" s="59"/>
    </row>
    <row r="3" spans="1:9" s="43" customFormat="1" ht="27.6" x14ac:dyDescent="0.25">
      <c r="B3" s="41" t="s">
        <v>0</v>
      </c>
      <c r="C3" s="41" t="s">
        <v>1</v>
      </c>
      <c r="D3" s="41" t="s">
        <v>2</v>
      </c>
      <c r="E3" s="42" t="s">
        <v>3</v>
      </c>
      <c r="F3" s="42" t="s">
        <v>4</v>
      </c>
      <c r="G3" s="42" t="s">
        <v>5</v>
      </c>
      <c r="H3" s="42" t="s">
        <v>6</v>
      </c>
      <c r="I3" s="42" t="s">
        <v>7</v>
      </c>
    </row>
    <row r="4" spans="1:9" s="43" customFormat="1" ht="15.6" x14ac:dyDescent="0.3">
      <c r="B4" s="13">
        <v>1</v>
      </c>
      <c r="C4" s="14" t="s">
        <v>62</v>
      </c>
      <c r="D4" s="13" t="s">
        <v>9</v>
      </c>
      <c r="E4" s="6">
        <v>-1</v>
      </c>
      <c r="F4" s="25">
        <f>+G5</f>
        <v>36392.891149999996</v>
      </c>
      <c r="G4" s="16">
        <f>E4*F4</f>
        <v>-36392.891149999996</v>
      </c>
      <c r="H4" s="16">
        <f>G4*0.2</f>
        <v>-7278.5782299999992</v>
      </c>
      <c r="I4" s="16">
        <f>G4+H4</f>
        <v>-43671.469379999995</v>
      </c>
    </row>
    <row r="5" spans="1:9" s="43" customFormat="1" ht="41.4" x14ac:dyDescent="0.25">
      <c r="B5" s="49">
        <v>1</v>
      </c>
      <c r="C5" s="50" t="s">
        <v>48</v>
      </c>
      <c r="D5" s="49" t="s">
        <v>10</v>
      </c>
      <c r="E5" s="51">
        <v>522.51099999999985</v>
      </c>
      <c r="F5" s="46">
        <v>69.650000000000006</v>
      </c>
      <c r="G5" s="52">
        <f>E5*F5</f>
        <v>36392.891149999996</v>
      </c>
      <c r="H5" s="52">
        <f>G5*0.2</f>
        <v>7278.5782299999992</v>
      </c>
      <c r="I5" s="52">
        <f t="shared" ref="I5" si="0">G5+H5</f>
        <v>43671.469379999995</v>
      </c>
    </row>
    <row r="6" spans="1:9" s="43" customFormat="1" x14ac:dyDescent="0.25">
      <c r="B6" s="44">
        <v>2</v>
      </c>
      <c r="C6" s="60" t="s">
        <v>11</v>
      </c>
      <c r="D6" s="72" t="s">
        <v>10</v>
      </c>
      <c r="E6" s="61">
        <f>E5</f>
        <v>522.51099999999985</v>
      </c>
      <c r="F6" s="65">
        <v>0.52290000000000003</v>
      </c>
      <c r="G6" s="66">
        <f t="shared" ref="G6" si="1">E6*F6</f>
        <v>273.22100189999992</v>
      </c>
      <c r="H6" s="66">
        <f t="shared" ref="H6" si="2">G6*0.2</f>
        <v>54.644200379999987</v>
      </c>
      <c r="I6" s="66">
        <f t="shared" ref="I6" si="3">G6+H6</f>
        <v>327.86520227999989</v>
      </c>
    </row>
    <row r="7" spans="1:9" s="43" customFormat="1" x14ac:dyDescent="0.25">
      <c r="B7" s="49">
        <v>3</v>
      </c>
      <c r="C7" s="50" t="s">
        <v>12</v>
      </c>
      <c r="D7" s="72" t="s">
        <v>10</v>
      </c>
      <c r="E7" s="61">
        <v>106.49200000000002</v>
      </c>
      <c r="F7" s="108">
        <v>3.3016999999999999</v>
      </c>
      <c r="G7" s="66">
        <f t="shared" ref="G7" si="4">E7*F7</f>
        <v>351.60463640000006</v>
      </c>
      <c r="H7" s="66">
        <f t="shared" ref="H7" si="5">G7*0.2</f>
        <v>70.320927280000021</v>
      </c>
      <c r="I7" s="66">
        <f t="shared" ref="I7" si="6">G7+H7</f>
        <v>421.9255636800001</v>
      </c>
    </row>
    <row r="8" spans="1:9" x14ac:dyDescent="0.25">
      <c r="B8" s="44">
        <v>4</v>
      </c>
      <c r="C8" s="62" t="s">
        <v>13</v>
      </c>
      <c r="D8" s="44" t="s">
        <v>14</v>
      </c>
      <c r="E8" s="45"/>
      <c r="F8" s="73"/>
      <c r="G8" s="52">
        <f t="shared" ref="G8" si="7">E8*F8</f>
        <v>0</v>
      </c>
      <c r="H8" s="52">
        <f t="shared" ref="H8" si="8">G8*0.2</f>
        <v>0</v>
      </c>
      <c r="I8" s="52">
        <f t="shared" ref="I8" si="9">G8+H8</f>
        <v>0</v>
      </c>
    </row>
    <row r="9" spans="1:9" x14ac:dyDescent="0.25">
      <c r="F9" s="56" t="s">
        <v>15</v>
      </c>
      <c r="G9" s="57">
        <f t="shared" ref="G9:H9" si="10">SUM(G4:G8)</f>
        <v>624.82563830000004</v>
      </c>
      <c r="H9" s="57">
        <f t="shared" si="10"/>
        <v>124.96512766000001</v>
      </c>
      <c r="I9" s="57">
        <f>SUM(I4:I8)</f>
        <v>749.79076596000004</v>
      </c>
    </row>
    <row r="10" spans="1:9" x14ac:dyDescent="0.25">
      <c r="C10" s="71"/>
      <c r="E10" s="74"/>
    </row>
    <row r="11" spans="1:9" x14ac:dyDescent="0.25">
      <c r="A11" s="43"/>
      <c r="B11" s="43"/>
      <c r="C11" s="43"/>
      <c r="D11" s="43"/>
      <c r="E11" s="57"/>
      <c r="F11" s="67"/>
    </row>
    <row r="12" spans="1:9" x14ac:dyDescent="0.25">
      <c r="C12" s="71"/>
      <c r="E12" s="74"/>
    </row>
    <row r="13" spans="1:9" x14ac:dyDescent="0.25">
      <c r="C13" s="47" t="s">
        <v>21</v>
      </c>
    </row>
    <row r="14" spans="1:9" s="43" customFormat="1" x14ac:dyDescent="0.25"/>
    <row r="16" spans="1:9" x14ac:dyDescent="0.25">
      <c r="B16" s="43"/>
      <c r="C16" s="43"/>
      <c r="D16" s="43"/>
      <c r="E16" s="68"/>
      <c r="F16" s="67"/>
    </row>
    <row r="18" spans="2:6" ht="15.6" x14ac:dyDescent="0.3">
      <c r="B18" s="43" t="s">
        <v>63</v>
      </c>
      <c r="C18" s="91"/>
      <c r="D18" s="91"/>
      <c r="E18" s="115">
        <v>64383.38</v>
      </c>
      <c r="F18" s="119" t="s">
        <v>20</v>
      </c>
    </row>
    <row r="19" spans="2:6" ht="15.6" x14ac:dyDescent="0.3">
      <c r="B19" s="43" t="s">
        <v>64</v>
      </c>
      <c r="C19" s="43"/>
      <c r="D19" s="43"/>
      <c r="E19" s="115">
        <v>49390.48</v>
      </c>
      <c r="F19" s="119" t="s">
        <v>20</v>
      </c>
    </row>
    <row r="20" spans="2:6" x14ac:dyDescent="0.25">
      <c r="B20" s="43"/>
      <c r="C20" s="43" t="s">
        <v>18</v>
      </c>
      <c r="D20" s="43"/>
      <c r="E20" s="68">
        <f>E19+G4+E18</f>
        <v>77380.968850000005</v>
      </c>
      <c r="F20" s="119" t="s">
        <v>20</v>
      </c>
    </row>
    <row r="21" spans="2:6" x14ac:dyDescent="0.25">
      <c r="B21" s="43"/>
      <c r="C21" s="43"/>
      <c r="D21" s="43"/>
      <c r="E21" s="116"/>
      <c r="F21" s="6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2A9F-B950-444A-8426-38789F57CEB4}">
  <dimension ref="B3:I30"/>
  <sheetViews>
    <sheetView topLeftCell="B1" workbookViewId="0">
      <selection activeCell="B4" sqref="B4:I4"/>
    </sheetView>
  </sheetViews>
  <sheetFormatPr defaultRowHeight="14.4" x14ac:dyDescent="0.3"/>
  <cols>
    <col min="3" max="3" width="38.44140625" customWidth="1"/>
    <col min="4" max="4" width="11.33203125" customWidth="1"/>
    <col min="5" max="5" width="15" customWidth="1"/>
    <col min="6" max="6" width="12.44140625" customWidth="1"/>
    <col min="7" max="7" width="14.5546875" customWidth="1"/>
    <col min="8" max="8" width="12.6640625" customWidth="1"/>
    <col min="9" max="9" width="14.44140625" customWidth="1"/>
    <col min="12" max="12" width="9.33203125" bestFit="1" customWidth="1"/>
  </cols>
  <sheetData>
    <row r="3" spans="2:9" s="17" customFormat="1" ht="31.2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17" customFormat="1" ht="15.6" x14ac:dyDescent="0.3">
      <c r="B4" s="13">
        <v>1</v>
      </c>
      <c r="C4" s="14" t="s">
        <v>22</v>
      </c>
      <c r="D4" s="13" t="s">
        <v>9</v>
      </c>
      <c r="E4" s="6">
        <v>-1</v>
      </c>
      <c r="F4" s="25">
        <f>+G5</f>
        <v>60294.618450000009</v>
      </c>
      <c r="G4" s="16">
        <f>E4*F4</f>
        <v>-60294.618450000009</v>
      </c>
      <c r="H4" s="16">
        <f>G4*0.2</f>
        <v>-12058.923690000003</v>
      </c>
      <c r="I4" s="16">
        <f>G4+H4</f>
        <v>-72353.542140000005</v>
      </c>
    </row>
    <row r="5" spans="2:9" s="17" customFormat="1" ht="31.2" x14ac:dyDescent="0.3">
      <c r="B5" s="13">
        <f>+B4+1</f>
        <v>2</v>
      </c>
      <c r="C5" s="14" t="s">
        <v>41</v>
      </c>
      <c r="D5" s="13" t="s">
        <v>10</v>
      </c>
      <c r="E5" s="15">
        <v>891.27300000000002</v>
      </c>
      <c r="F5" s="76">
        <v>67.650000000000006</v>
      </c>
      <c r="G5" s="16">
        <f>E5*F5</f>
        <v>60294.618450000009</v>
      </c>
      <c r="H5" s="16">
        <f>G5*0.2</f>
        <v>12058.923690000003</v>
      </c>
      <c r="I5" s="16">
        <f>G5+H5</f>
        <v>72353.542140000005</v>
      </c>
    </row>
    <row r="6" spans="2:9" s="17" customFormat="1" ht="15.6" x14ac:dyDescent="0.3">
      <c r="B6" s="13">
        <v>1</v>
      </c>
      <c r="C6" s="14" t="s">
        <v>22</v>
      </c>
      <c r="D6" s="13" t="s">
        <v>9</v>
      </c>
      <c r="E6" s="15">
        <v>-1</v>
      </c>
      <c r="F6" s="106">
        <f>+G7</f>
        <v>445.63650000000001</v>
      </c>
      <c r="G6" s="16">
        <f t="shared" ref="G6:G11" si="0">E6*F6</f>
        <v>-445.63650000000001</v>
      </c>
      <c r="H6" s="16">
        <f t="shared" ref="H6:H11" si="1">G6*0.2</f>
        <v>-89.127300000000005</v>
      </c>
      <c r="I6" s="16">
        <f t="shared" ref="I6:I11" si="2">G6+H6</f>
        <v>-534.76380000000006</v>
      </c>
    </row>
    <row r="7" spans="2:9" s="17" customFormat="1" ht="31.2" x14ac:dyDescent="0.3">
      <c r="B7" s="13">
        <v>2</v>
      </c>
      <c r="C7" s="14" t="s">
        <v>37</v>
      </c>
      <c r="D7" s="13" t="s">
        <v>10</v>
      </c>
      <c r="E7" s="15">
        <f>E5</f>
        <v>891.27300000000002</v>
      </c>
      <c r="F7" s="82">
        <v>0.5</v>
      </c>
      <c r="G7" s="16">
        <f>E7*F7</f>
        <v>445.63650000000001</v>
      </c>
      <c r="H7" s="16">
        <f t="shared" si="1"/>
        <v>89.127300000000005</v>
      </c>
      <c r="I7" s="16">
        <f t="shared" si="2"/>
        <v>534.76380000000006</v>
      </c>
    </row>
    <row r="8" spans="2:9" s="17" customFormat="1" ht="15.6" x14ac:dyDescent="0.3">
      <c r="B8" s="13">
        <v>3</v>
      </c>
      <c r="C8" s="14" t="s">
        <v>22</v>
      </c>
      <c r="D8" s="13" t="s">
        <v>9</v>
      </c>
      <c r="E8" s="15">
        <v>-1</v>
      </c>
      <c r="F8" s="16">
        <f>+G9</f>
        <v>466.04665170000004</v>
      </c>
      <c r="G8" s="16">
        <f t="shared" si="0"/>
        <v>-466.04665170000004</v>
      </c>
      <c r="H8" s="16">
        <f t="shared" si="1"/>
        <v>-93.209330340000008</v>
      </c>
      <c r="I8" s="16">
        <f t="shared" si="2"/>
        <v>-559.25598204000005</v>
      </c>
    </row>
    <row r="9" spans="2:9" s="17" customFormat="1" ht="15.6" x14ac:dyDescent="0.3">
      <c r="B9" s="13">
        <v>4</v>
      </c>
      <c r="C9" s="14" t="s">
        <v>23</v>
      </c>
      <c r="D9" s="13" t="s">
        <v>10</v>
      </c>
      <c r="E9" s="15">
        <f>E7</f>
        <v>891.27300000000002</v>
      </c>
      <c r="F9" s="18">
        <v>0.52290000000000003</v>
      </c>
      <c r="G9" s="16">
        <f>E9*F9</f>
        <v>466.04665170000004</v>
      </c>
      <c r="H9" s="16">
        <f t="shared" si="1"/>
        <v>93.209330340000008</v>
      </c>
      <c r="I9" s="16">
        <f>G9+H9</f>
        <v>559.25598204000005</v>
      </c>
    </row>
    <row r="10" spans="2:9" s="43" customFormat="1" ht="13.8" x14ac:dyDescent="0.25">
      <c r="B10" s="49">
        <v>3</v>
      </c>
      <c r="C10" s="50" t="s">
        <v>12</v>
      </c>
      <c r="D10" s="72" t="s">
        <v>10</v>
      </c>
      <c r="E10" s="61">
        <v>4.4840000000000018</v>
      </c>
      <c r="F10" s="108">
        <v>3.3016999999999999</v>
      </c>
      <c r="G10" s="66">
        <f t="shared" ref="G10" si="3">E10*F10</f>
        <v>14.804822800000006</v>
      </c>
      <c r="H10" s="66">
        <f t="shared" si="1"/>
        <v>2.9609645600000012</v>
      </c>
      <c r="I10" s="66">
        <f t="shared" ref="I10" si="4">G10+H10</f>
        <v>17.765787360000008</v>
      </c>
    </row>
    <row r="11" spans="2:9" s="17" customFormat="1" ht="15.6" x14ac:dyDescent="0.3">
      <c r="B11" s="13">
        <v>8</v>
      </c>
      <c r="C11" s="14" t="s">
        <v>13</v>
      </c>
      <c r="D11" s="13" t="s">
        <v>14</v>
      </c>
      <c r="E11" s="15"/>
      <c r="F11" s="18"/>
      <c r="G11" s="16">
        <f t="shared" si="0"/>
        <v>0</v>
      </c>
      <c r="H11" s="16">
        <f t="shared" si="1"/>
        <v>0</v>
      </c>
      <c r="I11" s="16">
        <f t="shared" si="2"/>
        <v>0</v>
      </c>
    </row>
    <row r="12" spans="2:9" ht="15.6" x14ac:dyDescent="0.3">
      <c r="B12" s="3"/>
      <c r="C12" s="3"/>
      <c r="D12" s="3"/>
      <c r="E12" s="3"/>
      <c r="F12" s="8" t="s">
        <v>15</v>
      </c>
      <c r="G12" s="9">
        <f>SUM(G4:G11)</f>
        <v>14.804822800000006</v>
      </c>
      <c r="H12" s="9">
        <f t="shared" ref="H12:I12" si="5">SUM(H4:H11)</f>
        <v>2.9609645600000012</v>
      </c>
      <c r="I12" s="9">
        <f t="shared" si="5"/>
        <v>17.765787360000008</v>
      </c>
    </row>
    <row r="14" spans="2:9" x14ac:dyDescent="0.3">
      <c r="E14" s="21"/>
      <c r="F14" s="21"/>
    </row>
    <row r="15" spans="2:9" x14ac:dyDescent="0.3">
      <c r="H15" s="19"/>
    </row>
    <row r="18" spans="2:9" s="17" customFormat="1" ht="15.6" x14ac:dyDescent="0.3">
      <c r="B18" s="12" t="s">
        <v>50</v>
      </c>
      <c r="C18" s="12"/>
      <c r="D18" s="12"/>
      <c r="E18" s="83">
        <f>36810.95*1.2</f>
        <v>44173.139999999992</v>
      </c>
      <c r="F18" s="84" t="s">
        <v>17</v>
      </c>
      <c r="G18" s="85"/>
    </row>
    <row r="19" spans="2:9" s="17" customFormat="1" ht="15.6" x14ac:dyDescent="0.3">
      <c r="B19" s="12" t="s">
        <v>52</v>
      </c>
      <c r="C19" s="12"/>
      <c r="D19" s="12"/>
      <c r="E19" s="83">
        <f>263.5*1.2</f>
        <v>316.2</v>
      </c>
      <c r="F19" s="84" t="s">
        <v>17</v>
      </c>
      <c r="G19" s="85"/>
    </row>
    <row r="20" spans="2:9" s="17" customFormat="1" ht="15.6" x14ac:dyDescent="0.3">
      <c r="B20" s="12" t="s">
        <v>53</v>
      </c>
      <c r="C20" s="12"/>
      <c r="D20" s="12"/>
      <c r="E20" s="83">
        <f>275.57*1.2</f>
        <v>330.68399999999997</v>
      </c>
      <c r="F20" s="84" t="s">
        <v>17</v>
      </c>
      <c r="G20" s="85"/>
    </row>
    <row r="21" spans="2:9" s="17" customFormat="1" ht="15.6" x14ac:dyDescent="0.3">
      <c r="B21" s="12"/>
      <c r="C21" s="12"/>
      <c r="D21" s="12"/>
      <c r="E21" s="83"/>
      <c r="F21" s="84"/>
    </row>
    <row r="22" spans="2:9" s="17" customFormat="1" ht="15.6" x14ac:dyDescent="0.3">
      <c r="B22" s="12" t="s">
        <v>51</v>
      </c>
      <c r="C22" s="12"/>
      <c r="D22" s="12"/>
      <c r="E22" s="83">
        <f>36810.95*1.2</f>
        <v>44173.139999999992</v>
      </c>
      <c r="F22" s="84" t="s">
        <v>17</v>
      </c>
    </row>
    <row r="23" spans="2:9" s="17" customFormat="1" ht="15.6" x14ac:dyDescent="0.3">
      <c r="B23" s="12" t="s">
        <v>54</v>
      </c>
      <c r="C23" s="12"/>
      <c r="D23" s="12"/>
      <c r="E23" s="83">
        <f>263.5*1.2</f>
        <v>316.2</v>
      </c>
      <c r="F23" s="84" t="s">
        <v>17</v>
      </c>
      <c r="G23" s="85"/>
    </row>
    <row r="24" spans="2:9" s="17" customFormat="1" ht="15.6" x14ac:dyDescent="0.3">
      <c r="B24" s="12" t="s">
        <v>55</v>
      </c>
      <c r="C24" s="12"/>
      <c r="D24" s="12"/>
      <c r="E24" s="83">
        <f>275.57*1.2</f>
        <v>330.68399999999997</v>
      </c>
      <c r="F24" s="84" t="s">
        <v>17</v>
      </c>
      <c r="G24" s="85"/>
    </row>
    <row r="25" spans="2:9" s="17" customFormat="1" ht="15.6" x14ac:dyDescent="0.3">
      <c r="B25" s="12"/>
      <c r="C25" s="12"/>
      <c r="D25" s="12"/>
      <c r="E25" s="83"/>
      <c r="F25" s="84"/>
    </row>
    <row r="26" spans="2:9" s="17" customFormat="1" ht="15.6" x14ac:dyDescent="0.3">
      <c r="B26" s="12"/>
      <c r="C26" s="12" t="s">
        <v>24</v>
      </c>
      <c r="D26" s="12"/>
      <c r="E26" s="83">
        <f>E27+E28</f>
        <v>16192.486077959979</v>
      </c>
      <c r="F26" s="84" t="s">
        <v>25</v>
      </c>
    </row>
    <row r="27" spans="2:9" s="17" customFormat="1" ht="15.6" x14ac:dyDescent="0.3">
      <c r="B27" s="12"/>
      <c r="C27" s="17" t="s">
        <v>26</v>
      </c>
      <c r="D27" s="12"/>
      <c r="E27" s="83">
        <f>E22+E18+I4</f>
        <v>15992.737859999979</v>
      </c>
      <c r="F27" s="84" t="s">
        <v>17</v>
      </c>
    </row>
    <row r="28" spans="2:9" ht="15.6" x14ac:dyDescent="0.3">
      <c r="B28" s="17"/>
      <c r="C28" s="17" t="s">
        <v>27</v>
      </c>
      <c r="D28" s="17"/>
      <c r="E28" s="113">
        <f>E24+E23+E20+E19+I6+I8</f>
        <v>199.74821795999992</v>
      </c>
      <c r="F28" s="84" t="s">
        <v>17</v>
      </c>
      <c r="I28" s="23"/>
    </row>
    <row r="29" spans="2:9" ht="15.6" x14ac:dyDescent="0.3">
      <c r="E29" s="87"/>
      <c r="F29" s="84"/>
      <c r="I29" s="23"/>
    </row>
    <row r="30" spans="2:9" x14ac:dyDescent="0.3">
      <c r="E30" s="86"/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4122-EA05-45FA-908B-61F26C29C64E}">
  <dimension ref="B2:I13"/>
  <sheetViews>
    <sheetView zoomScale="85" zoomScaleNormal="85" workbookViewId="0">
      <selection activeCell="E6" sqref="E6"/>
    </sheetView>
  </sheetViews>
  <sheetFormatPr defaultRowHeight="14.4" x14ac:dyDescent="0.3"/>
  <cols>
    <col min="3" max="3" width="38.44140625" customWidth="1"/>
    <col min="4" max="4" width="25.44140625" bestFit="1" customWidth="1"/>
    <col min="5" max="5" width="15" customWidth="1"/>
    <col min="6" max="7" width="15.6640625" customWidth="1"/>
    <col min="8" max="8" width="13.5546875" bestFit="1" customWidth="1"/>
    <col min="9" max="9" width="12.44140625" bestFit="1" customWidth="1"/>
  </cols>
  <sheetData>
    <row r="2" spans="2:9" s="17" customFormat="1" ht="15.6" x14ac:dyDescent="0.3">
      <c r="B2" s="30"/>
      <c r="C2" s="31"/>
      <c r="D2" s="30"/>
      <c r="E2" s="32"/>
      <c r="F2" s="33"/>
      <c r="G2" s="34"/>
      <c r="H2" s="34"/>
      <c r="I2" s="34"/>
    </row>
    <row r="3" spans="2:9" s="17" customFormat="1" ht="31.2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2:9" s="17" customFormat="1" ht="31.2" x14ac:dyDescent="0.3">
      <c r="B4" s="13">
        <v>1</v>
      </c>
      <c r="C4" s="14" t="s">
        <v>42</v>
      </c>
      <c r="D4" s="13" t="s">
        <v>10</v>
      </c>
      <c r="E4" s="15">
        <v>1571.4849999999999</v>
      </c>
      <c r="F4" s="89">
        <v>60.89</v>
      </c>
      <c r="G4" s="16">
        <f>E4*F4</f>
        <v>95687.721649999992</v>
      </c>
      <c r="H4" s="16">
        <f>G4*0.2</f>
        <v>19137.544330000001</v>
      </c>
      <c r="I4" s="16">
        <f t="shared" ref="I4" si="0">G4+H4</f>
        <v>114825.26598</v>
      </c>
    </row>
    <row r="5" spans="2:9" s="17" customFormat="1" ht="15.6" x14ac:dyDescent="0.3">
      <c r="B5" s="26">
        <v>1</v>
      </c>
      <c r="C5" s="27" t="s">
        <v>23</v>
      </c>
      <c r="D5" s="26" t="s">
        <v>10</v>
      </c>
      <c r="E5" s="28">
        <f>E4</f>
        <v>1571.4849999999999</v>
      </c>
      <c r="F5" s="77">
        <v>1.0194000000000001</v>
      </c>
      <c r="G5" s="29">
        <f>E5*F5</f>
        <v>1601.9718090000001</v>
      </c>
      <c r="H5" s="29">
        <f t="shared" ref="H5:H7" si="1">G5*0.2</f>
        <v>320.39436180000007</v>
      </c>
      <c r="I5" s="29">
        <f t="shared" ref="I5:I7" si="2">G5+H5</f>
        <v>1922.3661708000002</v>
      </c>
    </row>
    <row r="6" spans="2:9" s="17" customFormat="1" ht="15.6" x14ac:dyDescent="0.3">
      <c r="B6" s="26">
        <v>2</v>
      </c>
      <c r="C6" s="27" t="s">
        <v>12</v>
      </c>
      <c r="D6" s="26" t="s">
        <v>10</v>
      </c>
      <c r="E6" s="88">
        <v>129.89600000000002</v>
      </c>
      <c r="F6" s="77">
        <v>8.3582999999999998</v>
      </c>
      <c r="G6" s="29">
        <f>E6*F6</f>
        <v>1085.7097368000002</v>
      </c>
      <c r="H6" s="29">
        <f t="shared" ref="H6" si="3">G6*0.2</f>
        <v>217.14194736000005</v>
      </c>
      <c r="I6" s="29">
        <f t="shared" ref="I6" si="4">G6+H6</f>
        <v>1302.8516841600003</v>
      </c>
    </row>
    <row r="7" spans="2:9" s="17" customFormat="1" ht="15.6" x14ac:dyDescent="0.3">
      <c r="B7" s="13">
        <v>3</v>
      </c>
      <c r="C7" s="14" t="s">
        <v>13</v>
      </c>
      <c r="D7" s="13" t="s">
        <v>14</v>
      </c>
      <c r="E7" s="15"/>
      <c r="F7" s="18"/>
      <c r="G7" s="16">
        <f t="shared" ref="G7" si="5">E7*F7</f>
        <v>0</v>
      </c>
      <c r="H7" s="16">
        <f t="shared" si="1"/>
        <v>0</v>
      </c>
      <c r="I7" s="16">
        <f t="shared" si="2"/>
        <v>0</v>
      </c>
    </row>
    <row r="8" spans="2:9" s="17" customFormat="1" ht="15.6" x14ac:dyDescent="0.3">
      <c r="B8" s="30"/>
      <c r="C8" s="31"/>
      <c r="D8" s="30"/>
      <c r="E8" s="32"/>
      <c r="F8" s="18"/>
      <c r="G8" s="16"/>
      <c r="H8" s="16"/>
      <c r="I8" s="16"/>
    </row>
    <row r="9" spans="2:9" ht="15.6" x14ac:dyDescent="0.3">
      <c r="B9" s="3"/>
      <c r="C9" s="3"/>
      <c r="D9" s="3"/>
      <c r="E9" s="3"/>
      <c r="F9" s="8" t="s">
        <v>15</v>
      </c>
      <c r="G9" s="9">
        <f>SUM(G4:G7)</f>
        <v>98375.403195799983</v>
      </c>
      <c r="H9" s="9">
        <f t="shared" ref="H9:I9" si="6">SUM(H4:H7)</f>
        <v>19675.080639160002</v>
      </c>
      <c r="I9" s="9">
        <f t="shared" si="6"/>
        <v>118050.48383496</v>
      </c>
    </row>
    <row r="11" spans="2:9" x14ac:dyDescent="0.3">
      <c r="E11" s="21"/>
    </row>
    <row r="12" spans="2:9" ht="15.6" x14ac:dyDescent="0.3">
      <c r="C12" s="12" t="s">
        <v>28</v>
      </c>
      <c r="H12" s="19"/>
    </row>
    <row r="13" spans="2:9" x14ac:dyDescent="0.3">
      <c r="G13" s="2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8F32-51E8-4A32-91B9-641F266CCE61}">
  <dimension ref="B3:I14"/>
  <sheetViews>
    <sheetView workbookViewId="0">
      <selection activeCell="G13" sqref="G13"/>
    </sheetView>
  </sheetViews>
  <sheetFormatPr defaultColWidth="8.88671875" defaultRowHeight="15.6" x14ac:dyDescent="0.3"/>
  <cols>
    <col min="1" max="1" width="8.88671875" style="3"/>
    <col min="2" max="2" width="9.109375" style="3" bestFit="1" customWidth="1"/>
    <col min="3" max="3" width="34.44140625" style="3" customWidth="1"/>
    <col min="4" max="4" width="7.109375" style="3" bestFit="1" customWidth="1"/>
    <col min="5" max="5" width="14.44140625" style="3" customWidth="1"/>
    <col min="6" max="6" width="15.6640625" style="3" customWidth="1"/>
    <col min="7" max="7" width="12.33203125" style="3" customWidth="1"/>
    <col min="8" max="8" width="10.6640625" style="3" customWidth="1"/>
    <col min="9" max="9" width="11.6640625" style="3" bestFit="1" customWidth="1"/>
    <col min="10" max="16384" width="8.88671875" style="3"/>
  </cols>
  <sheetData>
    <row r="3" spans="2:9" s="12" customFormat="1" ht="31.2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2:9" s="12" customFormat="1" ht="46.8" x14ac:dyDescent="0.3">
      <c r="B4" s="13">
        <v>1</v>
      </c>
      <c r="C4" s="14" t="s">
        <v>43</v>
      </c>
      <c r="D4" s="13" t="s">
        <v>10</v>
      </c>
      <c r="E4" s="15">
        <v>1706.174</v>
      </c>
      <c r="F4" s="52">
        <v>60.89</v>
      </c>
      <c r="G4" s="16">
        <f t="shared" ref="G4" si="0">E4*F4</f>
        <v>103888.93485999999</v>
      </c>
      <c r="H4" s="16">
        <f>G4*0.2</f>
        <v>20777.786972000002</v>
      </c>
      <c r="I4" s="16">
        <f t="shared" ref="I4" si="1">G4+H4</f>
        <v>124666.721832</v>
      </c>
    </row>
    <row r="5" spans="2:9" s="12" customFormat="1" x14ac:dyDescent="0.3">
      <c r="B5" s="26">
        <v>2</v>
      </c>
      <c r="C5" s="27" t="s">
        <v>11</v>
      </c>
      <c r="D5" s="26" t="s">
        <v>10</v>
      </c>
      <c r="E5" s="28">
        <f>E4</f>
        <v>1706.174</v>
      </c>
      <c r="F5" s="77">
        <v>1.0194000000000001</v>
      </c>
      <c r="G5" s="29">
        <f>E5*F5</f>
        <v>1739.2737756000001</v>
      </c>
      <c r="H5" s="29">
        <f t="shared" ref="H5" si="2">G5*0.2</f>
        <v>347.85475512000005</v>
      </c>
      <c r="I5" s="29">
        <f t="shared" ref="I5" si="3">G5+H5</f>
        <v>2087.1285307200001</v>
      </c>
    </row>
    <row r="6" spans="2:9" s="12" customFormat="1" x14ac:dyDescent="0.3">
      <c r="B6" s="26">
        <v>3</v>
      </c>
      <c r="C6" s="27" t="s">
        <v>30</v>
      </c>
      <c r="D6" s="26" t="s">
        <v>10</v>
      </c>
      <c r="E6" s="28">
        <v>11.362</v>
      </c>
      <c r="F6" s="77">
        <v>8.1493000000000002</v>
      </c>
      <c r="G6" s="29">
        <f t="shared" ref="G6:G7" si="4">E6*F6</f>
        <v>92.592346599999999</v>
      </c>
      <c r="H6" s="29">
        <f t="shared" ref="H6:H7" si="5">G6*0.2</f>
        <v>18.518469320000001</v>
      </c>
      <c r="I6" s="29">
        <f t="shared" ref="I6:I7" si="6">G6+H6</f>
        <v>111.11081591999999</v>
      </c>
    </row>
    <row r="7" spans="2:9" s="12" customFormat="1" x14ac:dyDescent="0.3">
      <c r="B7" s="26">
        <v>4</v>
      </c>
      <c r="C7" s="27" t="s">
        <v>12</v>
      </c>
      <c r="D7" s="26" t="s">
        <v>10</v>
      </c>
      <c r="E7" s="28">
        <v>22.184000000000012</v>
      </c>
      <c r="F7" s="77">
        <v>8.3582999999999998</v>
      </c>
      <c r="G7" s="29">
        <f t="shared" si="4"/>
        <v>185.42052720000009</v>
      </c>
      <c r="H7" s="29">
        <f t="shared" si="5"/>
        <v>37.084105440000023</v>
      </c>
      <c r="I7" s="29">
        <f t="shared" si="6"/>
        <v>222.50463264000012</v>
      </c>
    </row>
    <row r="8" spans="2:9" s="12" customFormat="1" x14ac:dyDescent="0.3">
      <c r="B8" s="13">
        <v>5</v>
      </c>
      <c r="C8" s="27" t="s">
        <v>29</v>
      </c>
      <c r="D8" s="26" t="s">
        <v>10</v>
      </c>
      <c r="E8" s="88">
        <v>1691.2</v>
      </c>
      <c r="F8" s="77">
        <v>6.5194000000000001</v>
      </c>
      <c r="G8" s="29">
        <f>E8*F8</f>
        <v>11025.609280000001</v>
      </c>
      <c r="H8" s="29">
        <f t="shared" ref="H8" si="7">G8*0.2</f>
        <v>2205.1218560000002</v>
      </c>
      <c r="I8" s="29">
        <f t="shared" ref="I8" si="8">G8+H8</f>
        <v>13230.731136</v>
      </c>
    </row>
    <row r="9" spans="2:9" x14ac:dyDescent="0.3">
      <c r="F9" s="8" t="s">
        <v>15</v>
      </c>
      <c r="G9" s="9">
        <f t="shared" ref="G9:H9" si="9">SUM(G4:G8)</f>
        <v>116931.83078939999</v>
      </c>
      <c r="H9" s="9">
        <f t="shared" si="9"/>
        <v>23386.366157880002</v>
      </c>
      <c r="I9" s="9">
        <f>SUM(I4:I8)</f>
        <v>140318.19694728</v>
      </c>
    </row>
    <row r="14" spans="2:9" x14ac:dyDescent="0.3">
      <c r="C14" s="20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4C501-6E2D-4646-99CB-FA00E71F68C0}">
  <dimension ref="B2:I11"/>
  <sheetViews>
    <sheetView workbookViewId="0">
      <selection activeCell="C15" sqref="C15"/>
    </sheetView>
  </sheetViews>
  <sheetFormatPr defaultRowHeight="14.4" x14ac:dyDescent="0.3"/>
  <cols>
    <col min="3" max="3" width="32.88671875" customWidth="1"/>
    <col min="4" max="4" width="17.33203125" customWidth="1"/>
    <col min="5" max="5" width="15" customWidth="1"/>
    <col min="6" max="6" width="12.44140625" customWidth="1"/>
    <col min="7" max="7" width="15.6640625" customWidth="1"/>
    <col min="8" max="8" width="13.5546875" bestFit="1" customWidth="1"/>
    <col min="9" max="9" width="12.44140625" bestFit="1" customWidth="1"/>
  </cols>
  <sheetData>
    <row r="2" spans="2:9" s="17" customFormat="1" ht="15.6" x14ac:dyDescent="0.3">
      <c r="B2" s="30"/>
      <c r="C2" s="31"/>
      <c r="D2" s="30"/>
      <c r="E2" s="32"/>
      <c r="F2" s="33"/>
      <c r="G2" s="34"/>
      <c r="H2" s="34"/>
      <c r="I2" s="34"/>
    </row>
    <row r="3" spans="2:9" s="17" customFormat="1" ht="31.2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2:9" s="17" customFormat="1" ht="46.8" x14ac:dyDescent="0.3">
      <c r="B4" s="13">
        <v>1</v>
      </c>
      <c r="C4" s="14" t="s">
        <v>49</v>
      </c>
      <c r="D4" s="13" t="s">
        <v>10</v>
      </c>
      <c r="E4" s="15">
        <v>3406.5899999999992</v>
      </c>
      <c r="F4" s="79">
        <v>56.09</v>
      </c>
      <c r="G4" s="16">
        <f>E4*F4</f>
        <v>191075.63309999998</v>
      </c>
      <c r="H4" s="16">
        <f>G4*0.2</f>
        <v>38215.126619999995</v>
      </c>
      <c r="I4" s="16">
        <f t="shared" ref="I4:I6" si="0">G4+H4</f>
        <v>229290.75971999997</v>
      </c>
    </row>
    <row r="5" spans="2:9" s="17" customFormat="1" ht="15.6" x14ac:dyDescent="0.3">
      <c r="B5" s="26">
        <v>2</v>
      </c>
      <c r="C5" s="27" t="s">
        <v>23</v>
      </c>
      <c r="D5" s="26" t="s">
        <v>10</v>
      </c>
      <c r="E5" s="28">
        <f>E4</f>
        <v>3406.5899999999992</v>
      </c>
      <c r="F5" s="77">
        <v>1.0194000000000001</v>
      </c>
      <c r="G5" s="29">
        <f>E5*F5</f>
        <v>3472.6778459999996</v>
      </c>
      <c r="H5" s="29">
        <f t="shared" ref="H5:H6" si="1">G5*0.2</f>
        <v>694.53556919999994</v>
      </c>
      <c r="I5" s="29">
        <f t="shared" si="0"/>
        <v>4167.2134151999999</v>
      </c>
    </row>
    <row r="6" spans="2:9" s="17" customFormat="1" ht="15.6" x14ac:dyDescent="0.3">
      <c r="B6" s="13">
        <v>5</v>
      </c>
      <c r="C6" s="14" t="s">
        <v>13</v>
      </c>
      <c r="D6" s="13" t="s">
        <v>14</v>
      </c>
      <c r="E6" s="15"/>
      <c r="F6" s="18"/>
      <c r="G6" s="16">
        <f t="shared" ref="G6" si="2">E6*F6</f>
        <v>0</v>
      </c>
      <c r="H6" s="16">
        <f t="shared" si="1"/>
        <v>0</v>
      </c>
      <c r="I6" s="16">
        <f t="shared" si="0"/>
        <v>0</v>
      </c>
    </row>
    <row r="7" spans="2:9" ht="15.6" x14ac:dyDescent="0.3">
      <c r="B7" s="3"/>
      <c r="C7" s="3"/>
      <c r="D7" s="3"/>
      <c r="E7" s="3"/>
      <c r="F7" s="8" t="s">
        <v>15</v>
      </c>
      <c r="G7" s="9">
        <f>SUM(G4:G6)</f>
        <v>194548.31094599998</v>
      </c>
      <c r="H7" s="9">
        <f>SUM(H4:H6)</f>
        <v>38909.662189199997</v>
      </c>
      <c r="I7" s="9">
        <f>SUM(I4:I6)</f>
        <v>233457.97313519998</v>
      </c>
    </row>
    <row r="9" spans="2:9" x14ac:dyDescent="0.3">
      <c r="E9" s="21"/>
    </row>
    <row r="10" spans="2:9" ht="15.6" x14ac:dyDescent="0.3">
      <c r="C10" s="12"/>
      <c r="H10" s="19"/>
    </row>
    <row r="11" spans="2:9" x14ac:dyDescent="0.3">
      <c r="G11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2E19-1368-4B69-AFC6-4DA19C513047}">
  <dimension ref="B2:I11"/>
  <sheetViews>
    <sheetView workbookViewId="0">
      <selection activeCell="D16" sqref="D16"/>
    </sheetView>
  </sheetViews>
  <sheetFormatPr defaultColWidth="8.88671875" defaultRowHeight="15.6" x14ac:dyDescent="0.3"/>
  <cols>
    <col min="1" max="1" width="8.88671875" style="3"/>
    <col min="2" max="2" width="9.109375" style="3" bestFit="1" customWidth="1"/>
    <col min="3" max="3" width="34.44140625" style="3" customWidth="1"/>
    <col min="4" max="4" width="7.109375" style="3" bestFit="1" customWidth="1"/>
    <col min="5" max="5" width="14.44140625" style="3" customWidth="1"/>
    <col min="6" max="6" width="15.6640625" style="3" customWidth="1"/>
    <col min="7" max="7" width="12.33203125" style="3" customWidth="1"/>
    <col min="8" max="8" width="10.6640625" style="3" customWidth="1"/>
    <col min="9" max="9" width="11" style="3" bestFit="1" customWidth="1"/>
    <col min="10" max="16384" width="8.88671875" style="3"/>
  </cols>
  <sheetData>
    <row r="2" spans="2:9" s="12" customFormat="1" x14ac:dyDescent="0.3">
      <c r="B2" s="37"/>
      <c r="C2" s="38"/>
      <c r="D2" s="37"/>
      <c r="E2" s="39"/>
      <c r="F2" s="35"/>
      <c r="G2" s="40"/>
      <c r="H2" s="40"/>
      <c r="I2" s="40"/>
    </row>
    <row r="3" spans="2:9" s="12" customFormat="1" ht="31.2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2:9" s="12" customFormat="1" ht="46.8" x14ac:dyDescent="0.3">
      <c r="B4" s="4">
        <v>1</v>
      </c>
      <c r="C4" s="24" t="s">
        <v>44</v>
      </c>
      <c r="D4" s="4" t="s">
        <v>10</v>
      </c>
      <c r="E4" s="6">
        <v>46.525999999999996</v>
      </c>
      <c r="F4" s="76">
        <v>69.650000000000006</v>
      </c>
      <c r="G4" s="25">
        <f t="shared" ref="G4" si="0">E4*F4</f>
        <v>3240.5358999999999</v>
      </c>
      <c r="H4" s="25">
        <f>G4*0.2</f>
        <v>648.10717999999997</v>
      </c>
      <c r="I4" s="25">
        <f>G4+H4</f>
        <v>3888.6430799999998</v>
      </c>
    </row>
    <row r="5" spans="2:9" s="12" customFormat="1" x14ac:dyDescent="0.3">
      <c r="B5" s="4">
        <v>1</v>
      </c>
      <c r="C5" s="5" t="s">
        <v>11</v>
      </c>
      <c r="D5" s="4" t="s">
        <v>10</v>
      </c>
      <c r="E5" s="6">
        <f>E4</f>
        <v>46.525999999999996</v>
      </c>
      <c r="F5" s="18">
        <v>1.0194000000000001</v>
      </c>
      <c r="G5" s="25">
        <f t="shared" ref="G5:G6" si="1">E5*F5</f>
        <v>47.428604399999998</v>
      </c>
      <c r="H5" s="25">
        <f t="shared" ref="H5:H6" si="2">G5*0.2</f>
        <v>9.4857208800000006</v>
      </c>
      <c r="I5" s="25">
        <f t="shared" ref="I5:I6" si="3">G5+H5</f>
        <v>56.91432528</v>
      </c>
    </row>
    <row r="6" spans="2:9" x14ac:dyDescent="0.3">
      <c r="B6" s="4">
        <f t="shared" ref="B6" si="4">+B5+1</f>
        <v>2</v>
      </c>
      <c r="C6" s="5" t="s">
        <v>13</v>
      </c>
      <c r="D6" s="4" t="s">
        <v>14</v>
      </c>
      <c r="E6" s="6"/>
      <c r="F6" s="11"/>
      <c r="G6" s="25">
        <f t="shared" si="1"/>
        <v>0</v>
      </c>
      <c r="H6" s="25">
        <f t="shared" si="2"/>
        <v>0</v>
      </c>
      <c r="I6" s="25">
        <f t="shared" si="3"/>
        <v>0</v>
      </c>
    </row>
    <row r="7" spans="2:9" x14ac:dyDescent="0.3">
      <c r="F7" s="8" t="s">
        <v>15</v>
      </c>
      <c r="G7" s="81">
        <f>SUM(G4:G6)</f>
        <v>3287.9645043999999</v>
      </c>
      <c r="H7" s="81">
        <f t="shared" ref="H7:I7" si="5">SUM(H4:H6)</f>
        <v>657.59290088</v>
      </c>
      <c r="I7" s="81">
        <f t="shared" si="5"/>
        <v>3945.5574052799998</v>
      </c>
    </row>
    <row r="8" spans="2:9" x14ac:dyDescent="0.3">
      <c r="C8" s="7"/>
      <c r="E8" s="10"/>
    </row>
    <row r="9" spans="2:9" x14ac:dyDescent="0.3">
      <c r="C9" s="7"/>
      <c r="E9" s="10"/>
    </row>
    <row r="10" spans="2:9" x14ac:dyDescent="0.3">
      <c r="C10" s="7"/>
      <c r="E10" s="10"/>
    </row>
    <row r="11" spans="2:9" x14ac:dyDescent="0.3">
      <c r="C11" s="3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F0FB79-D99B-4C06-98F7-309E5B14E117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964903AB-72E5-4BCC-ABCC-CD519F41F0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E4A5D5-D1E1-420A-B3FA-B76BCC3FB3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Оконч.плащане Труд</vt:lpstr>
      <vt:lpstr>Оконч.плащане Берус</vt:lpstr>
      <vt:lpstr>Оконч.плащане Бултекс 1</vt:lpstr>
      <vt:lpstr>Оконч.плащане Доминекс</vt:lpstr>
      <vt:lpstr>оконч. плащане РВД </vt:lpstr>
      <vt:lpstr>Оконч. плащане Тенекс С</vt:lpstr>
      <vt:lpstr>Оконч.плащане Декотекс</vt:lpstr>
      <vt:lpstr>Оконч.плащане ЕМИ</vt:lpstr>
      <vt:lpstr>Оконч.плащане Алуком</vt:lpstr>
      <vt:lpstr>Оконч.плащане Илинден</vt:lpstr>
      <vt:lpstr>Оконч.плащане Ваптех АМ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Aneta Ivanova</cp:lastModifiedBy>
  <cp:revision/>
  <dcterms:created xsi:type="dcterms:W3CDTF">2020-04-03T06:22:14Z</dcterms:created>
  <dcterms:modified xsi:type="dcterms:W3CDTF">2024-02-07T15:13:18Z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