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showObjects="none" defaultThemeVersion="166925"/>
  <mc:AlternateContent xmlns:mc="http://schemas.openxmlformats.org/markup-compatibility/2006">
    <mc:Choice Requires="x15">
      <x15ac:absPath xmlns:x15ac="http://schemas.microsoft.com/office/spreadsheetml/2010/11/ac" url="https://tibiell.sharepoint.com/sites/Tibiel/Shared Documents/IKONOMIKA/Aneta_TIBIEL/Analiz 2017-2022/DOSTAVKI_2024/APRIL_2024/"/>
    </mc:Choice>
  </mc:AlternateContent>
  <xr:revisionPtr revIDLastSave="99" documentId="8_{F3D67C70-BF21-46F0-818E-5A952ED3ADED}" xr6:coauthVersionLast="47" xr6:coauthVersionMax="47" xr10:uidLastSave="{3B802FD8-B676-404E-A634-6B4F2B41B971}"/>
  <bookViews>
    <workbookView xWindow="-120" yWindow="-120" windowWidth="29040" windowHeight="15840" tabRatio="806" firstSheet="23" activeTab="26" xr2:uid="{00000000-000D-0000-FFFF-FFFF00000000}"/>
  </bookViews>
  <sheets>
    <sheet name="Цени" sheetId="5" r:id="rId1"/>
    <sheet name="Цени капацитети" sheetId="21" r:id="rId2"/>
    <sheet name="Плевен" sheetId="9" r:id="rId3"/>
    <sheet name="Бургас" sheetId="10" r:id="rId4"/>
    <sheet name="Враца 1" sheetId="11" r:id="rId5"/>
    <sheet name="Враца 2" sheetId="12" r:id="rId6"/>
    <sheet name="Перник" sheetId="13" r:id="rId7"/>
    <sheet name="Русе" sheetId="19" r:id="rId8"/>
    <sheet name="Велико Търново" sheetId="25" r:id="rId9"/>
    <sheet name="Русе Кемикълс" sheetId="20" r:id="rId10"/>
    <sheet name="Труд" sheetId="24" r:id="rId11"/>
    <sheet name="Берус" sheetId="28" r:id="rId12"/>
    <sheet name="Бултекс 1" sheetId="34" r:id="rId13"/>
    <sheet name="Доминекс про" sheetId="23" r:id="rId14"/>
    <sheet name="РВД" sheetId="26" r:id="rId15"/>
    <sheet name="Тенекс С" sheetId="36" r:id="rId16"/>
    <sheet name="Декотекс" sheetId="37" r:id="rId17"/>
    <sheet name="Нова пауър" sheetId="22" r:id="rId18"/>
    <sheet name="ДХТ" sheetId="38" r:id="rId19"/>
    <sheet name="ЕМИ" sheetId="39" r:id="rId20"/>
    <sheet name="Алуком" sheetId="27" r:id="rId21"/>
    <sheet name="Илинден" sheetId="31" r:id="rId22"/>
    <sheet name="Ваптех АМ" sheetId="32" r:id="rId23"/>
    <sheet name="Борса и балансиране" sheetId="14" r:id="rId24"/>
    <sheet name="Цени борса" sheetId="15" r:id="rId25"/>
    <sheet name="Общо" sheetId="17" r:id="rId26"/>
    <sheet name="ОБЩО NEW за печат" sheetId="44" r:id="rId27"/>
    <sheet name="Рамка Април" sheetId="45" r:id="rId28"/>
    <sheet name="баланс 2024" sheetId="47" r:id="rId29"/>
    <sheet name="за печат" sheetId="43" r:id="rId30"/>
  </sheets>
  <definedNames>
    <definedName name="_xlnm._FilterDatabase" localSheetId="24" hidden="1">'Цени борса'!$A$4:$I$20</definedName>
    <definedName name="_xlnm.Print_Area" localSheetId="28">'баланс 2024'!$B$1:$S$37</definedName>
    <definedName name="_xlnm.Print_Area" localSheetId="26">'ОБЩО NEW за печат'!$B$2:$AM$39,'ОБЩО NEW за печат'!$AO$2:$BO$33,'ОБЩО NEW за печат'!$CB$2:$CV$33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S18" i="17" l="1"/>
  <c r="BB18" i="17" l="1"/>
  <c r="BD18" i="17"/>
  <c r="BC18" i="17" s="1"/>
  <c r="AI17" i="44"/>
  <c r="AS17" i="17" l="1"/>
  <c r="BB17" i="17" l="1"/>
  <c r="BD17" i="17"/>
  <c r="BC17" i="17" s="1"/>
  <c r="AS16" i="17" l="1"/>
  <c r="AS15" i="17" l="1"/>
  <c r="G4" i="5" l="1"/>
  <c r="G5" i="5"/>
  <c r="G6" i="5"/>
  <c r="G7" i="5"/>
  <c r="G8" i="5"/>
  <c r="G9" i="5"/>
  <c r="G10" i="5"/>
  <c r="G11" i="5"/>
  <c r="G12" i="5"/>
  <c r="G13" i="5"/>
  <c r="AS14" i="17" l="1"/>
  <c r="AS13" i="17"/>
  <c r="AS12" i="17" l="1"/>
  <c r="AS11" i="17" l="1"/>
  <c r="AS10" i="17"/>
  <c r="AS9" i="17" l="1"/>
  <c r="AS8" i="17" l="1"/>
  <c r="AS7" i="17" l="1"/>
  <c r="AS6" i="17" l="1"/>
  <c r="AS5" i="17" l="1"/>
  <c r="AS4" i="17"/>
  <c r="B6" i="45" l="1"/>
  <c r="B7" i="45" s="1"/>
  <c r="B8" i="45" s="1"/>
  <c r="B9" i="45" s="1"/>
  <c r="B10" i="45" s="1"/>
  <c r="B11" i="45" s="1"/>
  <c r="B12" i="45" s="1"/>
  <c r="B13" i="45" s="1"/>
  <c r="B14" i="45" s="1"/>
  <c r="B15" i="45" s="1"/>
  <c r="B16" i="45" s="1"/>
  <c r="B17" i="45" s="1"/>
  <c r="B18" i="45" s="1"/>
  <c r="B19" i="45" s="1"/>
  <c r="B20" i="45" s="1"/>
  <c r="B21" i="45" s="1"/>
  <c r="B22" i="45" s="1"/>
  <c r="B23" i="45" s="1"/>
  <c r="B24" i="45" s="1"/>
  <c r="B25" i="45" s="1"/>
  <c r="B26" i="45" s="1"/>
  <c r="B27" i="45" s="1"/>
  <c r="B28" i="45" s="1"/>
  <c r="B29" i="45" s="1"/>
  <c r="B30" i="45" s="1"/>
  <c r="B31" i="45" s="1"/>
  <c r="B32" i="45" s="1"/>
  <c r="B33" i="45" s="1"/>
  <c r="B34" i="45" s="1"/>
  <c r="H5" i="9" l="1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C34" i="5"/>
  <c r="D34" i="5"/>
  <c r="F34" i="5"/>
  <c r="AD5" i="17" l="1"/>
  <c r="AE5" i="17"/>
  <c r="AF5" i="17"/>
  <c r="AD6" i="17"/>
  <c r="AE6" i="17"/>
  <c r="AF6" i="17"/>
  <c r="AD7" i="17"/>
  <c r="AE7" i="17"/>
  <c r="AF7" i="17"/>
  <c r="AD8" i="17"/>
  <c r="AE8" i="17"/>
  <c r="AF8" i="17"/>
  <c r="AD9" i="17"/>
  <c r="AE9" i="17"/>
  <c r="AF9" i="17"/>
  <c r="AD10" i="17"/>
  <c r="AE10" i="17"/>
  <c r="AF10" i="17"/>
  <c r="AD11" i="17"/>
  <c r="AE11" i="17"/>
  <c r="AF11" i="17"/>
  <c r="AD12" i="17"/>
  <c r="AE12" i="17"/>
  <c r="AF12" i="17"/>
  <c r="AD13" i="17"/>
  <c r="AE13" i="17"/>
  <c r="AF13" i="17"/>
  <c r="AD14" i="17"/>
  <c r="AE14" i="17"/>
  <c r="AF14" i="17"/>
  <c r="AD15" i="17"/>
  <c r="AE15" i="17"/>
  <c r="AF15" i="17"/>
  <c r="AD16" i="17"/>
  <c r="AE16" i="17"/>
  <c r="AF16" i="17"/>
  <c r="AD17" i="17"/>
  <c r="AE17" i="17"/>
  <c r="AF17" i="17"/>
  <c r="AD18" i="17"/>
  <c r="AE18" i="17"/>
  <c r="AF18" i="17"/>
  <c r="AD19" i="17"/>
  <c r="AE19" i="17"/>
  <c r="AF19" i="17"/>
  <c r="AD20" i="17"/>
  <c r="AE20" i="17"/>
  <c r="AF20" i="17"/>
  <c r="AD21" i="17"/>
  <c r="AE21" i="17"/>
  <c r="AF21" i="17"/>
  <c r="AD22" i="17"/>
  <c r="AE22" i="17"/>
  <c r="AF22" i="17"/>
  <c r="AD23" i="17"/>
  <c r="AE23" i="17"/>
  <c r="AF23" i="17"/>
  <c r="AD24" i="17"/>
  <c r="AE24" i="17"/>
  <c r="AF24" i="17"/>
  <c r="AD25" i="17"/>
  <c r="AE25" i="17"/>
  <c r="AF25" i="17"/>
  <c r="AD26" i="17"/>
  <c r="AE26" i="17"/>
  <c r="AF26" i="17"/>
  <c r="AD27" i="17"/>
  <c r="AE27" i="17"/>
  <c r="AF27" i="17"/>
  <c r="AD28" i="17"/>
  <c r="AE28" i="17"/>
  <c r="AF28" i="17"/>
  <c r="AD29" i="17"/>
  <c r="AE29" i="17"/>
  <c r="AF29" i="17"/>
  <c r="AD30" i="17"/>
  <c r="AE30" i="17"/>
  <c r="AF30" i="17"/>
  <c r="AD31" i="17"/>
  <c r="AE31" i="17"/>
  <c r="AF31" i="17"/>
  <c r="AD32" i="17"/>
  <c r="AE32" i="17"/>
  <c r="AF32" i="17"/>
  <c r="AD33" i="17"/>
  <c r="AE33" i="17"/>
  <c r="AF33" i="17"/>
  <c r="C5" i="17"/>
  <c r="D5" i="17"/>
  <c r="E5" i="17"/>
  <c r="F5" i="17"/>
  <c r="G5" i="17"/>
  <c r="H5" i="17"/>
  <c r="I5" i="17"/>
  <c r="J5" i="17"/>
  <c r="K5" i="17"/>
  <c r="L5" i="17"/>
  <c r="M5" i="17"/>
  <c r="N5" i="17"/>
  <c r="R5" i="17"/>
  <c r="S5" i="17"/>
  <c r="T5" i="17"/>
  <c r="U5" i="17"/>
  <c r="V5" i="17"/>
  <c r="W5" i="17"/>
  <c r="X5" i="17"/>
  <c r="Y5" i="17"/>
  <c r="C6" i="17"/>
  <c r="D6" i="17"/>
  <c r="E6" i="17"/>
  <c r="F6" i="17"/>
  <c r="G6" i="17"/>
  <c r="H6" i="17"/>
  <c r="I6" i="17"/>
  <c r="J6" i="17"/>
  <c r="K6" i="17"/>
  <c r="L6" i="17"/>
  <c r="M6" i="17"/>
  <c r="N6" i="17"/>
  <c r="R6" i="17"/>
  <c r="S6" i="17"/>
  <c r="T6" i="17"/>
  <c r="U6" i="17"/>
  <c r="V6" i="17"/>
  <c r="W6" i="17"/>
  <c r="X6" i="17"/>
  <c r="Y6" i="17"/>
  <c r="C7" i="17"/>
  <c r="D7" i="17"/>
  <c r="E7" i="17"/>
  <c r="F7" i="17"/>
  <c r="G7" i="17"/>
  <c r="H7" i="17"/>
  <c r="I7" i="17"/>
  <c r="J7" i="17"/>
  <c r="K7" i="17"/>
  <c r="L7" i="17"/>
  <c r="M7" i="17"/>
  <c r="N7" i="17"/>
  <c r="R7" i="17"/>
  <c r="S7" i="17"/>
  <c r="T7" i="17"/>
  <c r="U7" i="17"/>
  <c r="V7" i="17"/>
  <c r="W7" i="17"/>
  <c r="X7" i="17"/>
  <c r="Y7" i="17"/>
  <c r="C8" i="17"/>
  <c r="D8" i="17"/>
  <c r="E8" i="17"/>
  <c r="F8" i="17"/>
  <c r="G8" i="17"/>
  <c r="H8" i="17"/>
  <c r="I8" i="17"/>
  <c r="J8" i="17"/>
  <c r="K8" i="17"/>
  <c r="L8" i="17"/>
  <c r="M8" i="17"/>
  <c r="N8" i="17"/>
  <c r="R8" i="17"/>
  <c r="S8" i="17"/>
  <c r="T8" i="17"/>
  <c r="U8" i="17"/>
  <c r="V8" i="17"/>
  <c r="W8" i="17"/>
  <c r="X8" i="17"/>
  <c r="Y8" i="17"/>
  <c r="C9" i="17"/>
  <c r="D9" i="17"/>
  <c r="E9" i="17"/>
  <c r="F9" i="17"/>
  <c r="G9" i="17"/>
  <c r="H9" i="17"/>
  <c r="I9" i="17"/>
  <c r="J9" i="17"/>
  <c r="K9" i="17"/>
  <c r="L9" i="17"/>
  <c r="M9" i="17"/>
  <c r="N9" i="17"/>
  <c r="R9" i="17"/>
  <c r="S9" i="17"/>
  <c r="T9" i="17"/>
  <c r="U9" i="17"/>
  <c r="V9" i="17"/>
  <c r="W9" i="17"/>
  <c r="X9" i="17"/>
  <c r="Y9" i="17"/>
  <c r="C10" i="17"/>
  <c r="D10" i="17"/>
  <c r="E10" i="17"/>
  <c r="F10" i="17"/>
  <c r="G10" i="17"/>
  <c r="H10" i="17"/>
  <c r="I10" i="17"/>
  <c r="J10" i="17"/>
  <c r="K10" i="17"/>
  <c r="L10" i="17"/>
  <c r="M10" i="17"/>
  <c r="N10" i="17"/>
  <c r="R10" i="17"/>
  <c r="S10" i="17"/>
  <c r="T10" i="17"/>
  <c r="U10" i="17"/>
  <c r="V10" i="17"/>
  <c r="W10" i="17"/>
  <c r="X10" i="17"/>
  <c r="Y10" i="17"/>
  <c r="C11" i="17"/>
  <c r="D11" i="17"/>
  <c r="E11" i="17"/>
  <c r="F11" i="17"/>
  <c r="G11" i="17"/>
  <c r="H11" i="17"/>
  <c r="I11" i="17"/>
  <c r="J11" i="17"/>
  <c r="K11" i="17"/>
  <c r="L11" i="17"/>
  <c r="M11" i="17"/>
  <c r="N11" i="17"/>
  <c r="R11" i="17"/>
  <c r="S11" i="17"/>
  <c r="T11" i="17"/>
  <c r="U11" i="17"/>
  <c r="V11" i="17"/>
  <c r="W11" i="17"/>
  <c r="X11" i="17"/>
  <c r="Y11" i="17"/>
  <c r="C12" i="17"/>
  <c r="D12" i="17"/>
  <c r="E12" i="17"/>
  <c r="F12" i="17"/>
  <c r="G12" i="17"/>
  <c r="H12" i="17"/>
  <c r="I12" i="17"/>
  <c r="J12" i="17"/>
  <c r="K12" i="17"/>
  <c r="L12" i="17"/>
  <c r="M12" i="17"/>
  <c r="N12" i="17"/>
  <c r="R12" i="17"/>
  <c r="S12" i="17"/>
  <c r="T12" i="17"/>
  <c r="U12" i="17"/>
  <c r="V12" i="17"/>
  <c r="W12" i="17"/>
  <c r="X12" i="17"/>
  <c r="Y12" i="17"/>
  <c r="C13" i="17"/>
  <c r="D13" i="17"/>
  <c r="E13" i="17"/>
  <c r="F13" i="17"/>
  <c r="G13" i="17"/>
  <c r="H13" i="17"/>
  <c r="I13" i="17"/>
  <c r="J13" i="17"/>
  <c r="K13" i="17"/>
  <c r="L13" i="17"/>
  <c r="M13" i="17"/>
  <c r="N13" i="17"/>
  <c r="R13" i="17"/>
  <c r="S13" i="17"/>
  <c r="T13" i="17"/>
  <c r="U13" i="17"/>
  <c r="V13" i="17"/>
  <c r="W13" i="17"/>
  <c r="X13" i="17"/>
  <c r="Y13" i="17"/>
  <c r="C14" i="17"/>
  <c r="D14" i="17"/>
  <c r="E14" i="17"/>
  <c r="F14" i="17"/>
  <c r="G14" i="17"/>
  <c r="H14" i="17"/>
  <c r="I14" i="17"/>
  <c r="J14" i="17"/>
  <c r="K14" i="17"/>
  <c r="L14" i="17"/>
  <c r="M14" i="17"/>
  <c r="N14" i="17"/>
  <c r="R14" i="17"/>
  <c r="S14" i="17"/>
  <c r="T14" i="17"/>
  <c r="U14" i="17"/>
  <c r="V14" i="17"/>
  <c r="W14" i="17"/>
  <c r="X14" i="17"/>
  <c r="Y14" i="17"/>
  <c r="C15" i="17"/>
  <c r="D15" i="17"/>
  <c r="E15" i="17"/>
  <c r="F15" i="17"/>
  <c r="G15" i="17"/>
  <c r="H15" i="17"/>
  <c r="I15" i="17"/>
  <c r="J15" i="17"/>
  <c r="K15" i="17"/>
  <c r="L15" i="17"/>
  <c r="M15" i="17"/>
  <c r="N15" i="17"/>
  <c r="R15" i="17"/>
  <c r="S15" i="17"/>
  <c r="T15" i="17"/>
  <c r="U15" i="17"/>
  <c r="V15" i="17"/>
  <c r="W15" i="17"/>
  <c r="X15" i="17"/>
  <c r="Y15" i="17"/>
  <c r="C16" i="17"/>
  <c r="D16" i="17"/>
  <c r="E16" i="17"/>
  <c r="F16" i="17"/>
  <c r="G16" i="17"/>
  <c r="H16" i="17"/>
  <c r="I16" i="17"/>
  <c r="J16" i="17"/>
  <c r="K16" i="17"/>
  <c r="L16" i="17"/>
  <c r="M16" i="17"/>
  <c r="N16" i="17"/>
  <c r="R16" i="17"/>
  <c r="S16" i="17"/>
  <c r="T16" i="17"/>
  <c r="U16" i="17"/>
  <c r="V16" i="17"/>
  <c r="W16" i="17"/>
  <c r="X16" i="17"/>
  <c r="Y16" i="17"/>
  <c r="C17" i="17"/>
  <c r="D17" i="17"/>
  <c r="E17" i="17"/>
  <c r="F17" i="17"/>
  <c r="G17" i="17"/>
  <c r="H17" i="17"/>
  <c r="I17" i="17"/>
  <c r="J17" i="17"/>
  <c r="K17" i="17"/>
  <c r="L17" i="17"/>
  <c r="M17" i="17"/>
  <c r="N17" i="17"/>
  <c r="R17" i="17"/>
  <c r="S17" i="17"/>
  <c r="T17" i="17"/>
  <c r="U17" i="17"/>
  <c r="V17" i="17"/>
  <c r="W17" i="17"/>
  <c r="X17" i="17"/>
  <c r="Y17" i="17"/>
  <c r="C18" i="17"/>
  <c r="D18" i="17"/>
  <c r="E18" i="17"/>
  <c r="F18" i="17"/>
  <c r="G18" i="17"/>
  <c r="H18" i="17"/>
  <c r="I18" i="17"/>
  <c r="J18" i="17"/>
  <c r="K18" i="17"/>
  <c r="L18" i="17"/>
  <c r="M18" i="17"/>
  <c r="N18" i="17"/>
  <c r="R18" i="17"/>
  <c r="S18" i="17"/>
  <c r="T18" i="17"/>
  <c r="U18" i="17"/>
  <c r="V18" i="17"/>
  <c r="W18" i="17"/>
  <c r="X18" i="17"/>
  <c r="Y18" i="17"/>
  <c r="C19" i="17"/>
  <c r="D19" i="17"/>
  <c r="E19" i="17"/>
  <c r="F19" i="17"/>
  <c r="G19" i="17"/>
  <c r="H19" i="17"/>
  <c r="I19" i="17"/>
  <c r="J19" i="17"/>
  <c r="K19" i="17"/>
  <c r="L19" i="17"/>
  <c r="M19" i="17"/>
  <c r="N19" i="17"/>
  <c r="R19" i="17"/>
  <c r="S19" i="17"/>
  <c r="T19" i="17"/>
  <c r="U19" i="17"/>
  <c r="V19" i="17"/>
  <c r="W19" i="17"/>
  <c r="X19" i="17"/>
  <c r="Y19" i="17"/>
  <c r="C20" i="17"/>
  <c r="D20" i="17"/>
  <c r="E20" i="17"/>
  <c r="F20" i="17"/>
  <c r="G20" i="17"/>
  <c r="H20" i="17"/>
  <c r="I20" i="17"/>
  <c r="J20" i="17"/>
  <c r="K20" i="17"/>
  <c r="L20" i="17"/>
  <c r="M20" i="17"/>
  <c r="N20" i="17"/>
  <c r="R20" i="17"/>
  <c r="S20" i="17"/>
  <c r="T20" i="17"/>
  <c r="U20" i="17"/>
  <c r="V20" i="17"/>
  <c r="W20" i="17"/>
  <c r="X20" i="17"/>
  <c r="Y20" i="17"/>
  <c r="C21" i="17"/>
  <c r="D21" i="17"/>
  <c r="E21" i="17"/>
  <c r="F21" i="17"/>
  <c r="G21" i="17"/>
  <c r="H21" i="17"/>
  <c r="I21" i="17"/>
  <c r="J21" i="17"/>
  <c r="K21" i="17"/>
  <c r="L21" i="17"/>
  <c r="M21" i="17"/>
  <c r="N21" i="17"/>
  <c r="R21" i="17"/>
  <c r="S21" i="17"/>
  <c r="T21" i="17"/>
  <c r="U21" i="17"/>
  <c r="V21" i="17"/>
  <c r="W21" i="17"/>
  <c r="X21" i="17"/>
  <c r="Y21" i="17"/>
  <c r="C22" i="17"/>
  <c r="D22" i="17"/>
  <c r="E22" i="17"/>
  <c r="F22" i="17"/>
  <c r="G22" i="17"/>
  <c r="H22" i="17"/>
  <c r="I22" i="17"/>
  <c r="J22" i="17"/>
  <c r="K22" i="17"/>
  <c r="L22" i="17"/>
  <c r="M22" i="17"/>
  <c r="N22" i="17"/>
  <c r="R22" i="17"/>
  <c r="S22" i="17"/>
  <c r="T22" i="17"/>
  <c r="U22" i="17"/>
  <c r="V22" i="17"/>
  <c r="W22" i="17"/>
  <c r="X22" i="17"/>
  <c r="Y22" i="17"/>
  <c r="C23" i="17"/>
  <c r="D23" i="17"/>
  <c r="E23" i="17"/>
  <c r="F23" i="17"/>
  <c r="G23" i="17"/>
  <c r="H23" i="17"/>
  <c r="I23" i="17"/>
  <c r="J23" i="17"/>
  <c r="K23" i="17"/>
  <c r="L23" i="17"/>
  <c r="M23" i="17"/>
  <c r="N23" i="17"/>
  <c r="R23" i="17"/>
  <c r="S23" i="17"/>
  <c r="T23" i="17"/>
  <c r="U23" i="17"/>
  <c r="V23" i="17"/>
  <c r="W23" i="17"/>
  <c r="X23" i="17"/>
  <c r="Y23" i="17"/>
  <c r="C24" i="17"/>
  <c r="D24" i="17"/>
  <c r="E24" i="17"/>
  <c r="F24" i="17"/>
  <c r="G24" i="17"/>
  <c r="H24" i="17"/>
  <c r="I24" i="17"/>
  <c r="J24" i="17"/>
  <c r="K24" i="17"/>
  <c r="L24" i="17"/>
  <c r="M24" i="17"/>
  <c r="N24" i="17"/>
  <c r="R24" i="17"/>
  <c r="S24" i="17"/>
  <c r="T24" i="17"/>
  <c r="U24" i="17"/>
  <c r="V24" i="17"/>
  <c r="W24" i="17"/>
  <c r="X24" i="17"/>
  <c r="Y24" i="17"/>
  <c r="C25" i="17"/>
  <c r="D25" i="17"/>
  <c r="E25" i="17"/>
  <c r="F25" i="17"/>
  <c r="G25" i="17"/>
  <c r="H25" i="17"/>
  <c r="I25" i="17"/>
  <c r="J25" i="17"/>
  <c r="K25" i="17"/>
  <c r="L25" i="17"/>
  <c r="M25" i="17"/>
  <c r="N25" i="17"/>
  <c r="R25" i="17"/>
  <c r="S25" i="17"/>
  <c r="T25" i="17"/>
  <c r="U25" i="17"/>
  <c r="V25" i="17"/>
  <c r="W25" i="17"/>
  <c r="X25" i="17"/>
  <c r="Y25" i="17"/>
  <c r="C26" i="17"/>
  <c r="D26" i="17"/>
  <c r="E26" i="17"/>
  <c r="F26" i="17"/>
  <c r="G26" i="17"/>
  <c r="H26" i="17"/>
  <c r="I26" i="17"/>
  <c r="J26" i="17"/>
  <c r="K26" i="17"/>
  <c r="L26" i="17"/>
  <c r="M26" i="17"/>
  <c r="N26" i="17"/>
  <c r="R26" i="17"/>
  <c r="S26" i="17"/>
  <c r="T26" i="17"/>
  <c r="U26" i="17"/>
  <c r="V26" i="17"/>
  <c r="W26" i="17"/>
  <c r="X26" i="17"/>
  <c r="Y26" i="17"/>
  <c r="C27" i="17"/>
  <c r="D27" i="17"/>
  <c r="E27" i="17"/>
  <c r="F27" i="17"/>
  <c r="G27" i="17"/>
  <c r="H27" i="17"/>
  <c r="I27" i="17"/>
  <c r="J27" i="17"/>
  <c r="K27" i="17"/>
  <c r="L27" i="17"/>
  <c r="M27" i="17"/>
  <c r="N27" i="17"/>
  <c r="R27" i="17"/>
  <c r="S27" i="17"/>
  <c r="T27" i="17"/>
  <c r="U27" i="17"/>
  <c r="V27" i="17"/>
  <c r="W27" i="17"/>
  <c r="X27" i="17"/>
  <c r="Y27" i="17"/>
  <c r="C28" i="17"/>
  <c r="D28" i="17"/>
  <c r="E28" i="17"/>
  <c r="F28" i="17"/>
  <c r="G28" i="17"/>
  <c r="H28" i="17"/>
  <c r="I28" i="17"/>
  <c r="J28" i="17"/>
  <c r="K28" i="17"/>
  <c r="L28" i="17"/>
  <c r="M28" i="17"/>
  <c r="N28" i="17"/>
  <c r="R28" i="17"/>
  <c r="S28" i="17"/>
  <c r="T28" i="17"/>
  <c r="U28" i="17"/>
  <c r="V28" i="17"/>
  <c r="W28" i="17"/>
  <c r="X28" i="17"/>
  <c r="Y28" i="17"/>
  <c r="C29" i="17"/>
  <c r="D29" i="17"/>
  <c r="E29" i="17"/>
  <c r="F29" i="17"/>
  <c r="G29" i="17"/>
  <c r="H29" i="17"/>
  <c r="I29" i="17"/>
  <c r="J29" i="17"/>
  <c r="K29" i="17"/>
  <c r="L29" i="17"/>
  <c r="M29" i="17"/>
  <c r="N29" i="17"/>
  <c r="R29" i="17"/>
  <c r="S29" i="17"/>
  <c r="T29" i="17"/>
  <c r="U29" i="17"/>
  <c r="V29" i="17"/>
  <c r="W29" i="17"/>
  <c r="X29" i="17"/>
  <c r="Y29" i="17"/>
  <c r="C30" i="17"/>
  <c r="D30" i="17"/>
  <c r="E30" i="17"/>
  <c r="F30" i="17"/>
  <c r="G30" i="17"/>
  <c r="H30" i="17"/>
  <c r="I30" i="17"/>
  <c r="J30" i="17"/>
  <c r="K30" i="17"/>
  <c r="L30" i="17"/>
  <c r="M30" i="17"/>
  <c r="N30" i="17"/>
  <c r="R30" i="17"/>
  <c r="S30" i="17"/>
  <c r="T30" i="17"/>
  <c r="U30" i="17"/>
  <c r="V30" i="17"/>
  <c r="W30" i="17"/>
  <c r="X30" i="17"/>
  <c r="Y30" i="17"/>
  <c r="C31" i="17"/>
  <c r="D31" i="17"/>
  <c r="E31" i="17"/>
  <c r="F31" i="17"/>
  <c r="G31" i="17"/>
  <c r="H31" i="17"/>
  <c r="I31" i="17"/>
  <c r="J31" i="17"/>
  <c r="K31" i="17"/>
  <c r="L31" i="17"/>
  <c r="M31" i="17"/>
  <c r="N31" i="17"/>
  <c r="R31" i="17"/>
  <c r="S31" i="17"/>
  <c r="T31" i="17"/>
  <c r="U31" i="17"/>
  <c r="V31" i="17"/>
  <c r="W31" i="17"/>
  <c r="X31" i="17"/>
  <c r="Y31" i="17"/>
  <c r="C32" i="17"/>
  <c r="D32" i="17"/>
  <c r="E32" i="17"/>
  <c r="F32" i="17"/>
  <c r="G32" i="17"/>
  <c r="H32" i="17"/>
  <c r="I32" i="17"/>
  <c r="J32" i="17"/>
  <c r="K32" i="17"/>
  <c r="L32" i="17"/>
  <c r="M32" i="17"/>
  <c r="N32" i="17"/>
  <c r="R32" i="17"/>
  <c r="S32" i="17"/>
  <c r="T32" i="17"/>
  <c r="U32" i="17"/>
  <c r="V32" i="17"/>
  <c r="W32" i="17"/>
  <c r="X32" i="17"/>
  <c r="Y32" i="17"/>
  <c r="C33" i="17"/>
  <c r="D33" i="17"/>
  <c r="E33" i="17"/>
  <c r="F33" i="17"/>
  <c r="G33" i="17"/>
  <c r="H33" i="17"/>
  <c r="I33" i="17"/>
  <c r="J33" i="17"/>
  <c r="K33" i="17"/>
  <c r="L33" i="17"/>
  <c r="M33" i="17"/>
  <c r="N33" i="17"/>
  <c r="R33" i="17"/>
  <c r="S33" i="17"/>
  <c r="T33" i="17"/>
  <c r="U33" i="17"/>
  <c r="V33" i="17"/>
  <c r="W33" i="17"/>
  <c r="X33" i="17"/>
  <c r="Y33" i="17"/>
  <c r="L460" i="15" l="1"/>
  <c r="L461" i="15"/>
  <c r="L462" i="15"/>
  <c r="H460" i="15"/>
  <c r="H461" i="15"/>
  <c r="H462" i="15"/>
  <c r="AK30" i="44" l="1"/>
  <c r="AL30" i="44"/>
  <c r="AK31" i="44"/>
  <c r="AL31" i="44"/>
  <c r="AK32" i="44"/>
  <c r="AL32" i="44"/>
  <c r="AK33" i="44"/>
  <c r="AL33" i="44"/>
  <c r="R30" i="44"/>
  <c r="S30" i="44"/>
  <c r="T30" i="44"/>
  <c r="U30" i="44"/>
  <c r="V30" i="44"/>
  <c r="W30" i="44"/>
  <c r="R31" i="44"/>
  <c r="S31" i="44"/>
  <c r="T31" i="44"/>
  <c r="U31" i="44"/>
  <c r="V31" i="44"/>
  <c r="W31" i="44"/>
  <c r="R32" i="44"/>
  <c r="S32" i="44"/>
  <c r="T32" i="44"/>
  <c r="U32" i="44"/>
  <c r="V32" i="44"/>
  <c r="W32" i="44"/>
  <c r="R33" i="44"/>
  <c r="S33" i="44"/>
  <c r="T33" i="44"/>
  <c r="U33" i="44"/>
  <c r="V33" i="44"/>
  <c r="W33" i="44"/>
  <c r="C28" i="44"/>
  <c r="L28" i="44"/>
  <c r="C29" i="44"/>
  <c r="L29" i="44"/>
  <c r="C30" i="44"/>
  <c r="L30" i="44"/>
  <c r="L31" i="44"/>
  <c r="L32" i="44"/>
  <c r="L33" i="44"/>
  <c r="C31" i="44"/>
  <c r="C33" i="44" l="1"/>
  <c r="C32" i="44"/>
  <c r="O69" i="45" l="1"/>
  <c r="P69" i="45"/>
  <c r="O70" i="45"/>
  <c r="P70" i="45"/>
  <c r="O71" i="45"/>
  <c r="P71" i="45"/>
  <c r="G69" i="45"/>
  <c r="G70" i="45"/>
  <c r="G71" i="45"/>
  <c r="C13" i="21" l="1"/>
  <c r="B13" i="21"/>
  <c r="L285" i="15" l="1"/>
  <c r="H285" i="15"/>
  <c r="CH32" i="43" l="1"/>
  <c r="CH31" i="43"/>
  <c r="CH30" i="43"/>
  <c r="CH29" i="43"/>
  <c r="CH28" i="43"/>
  <c r="CH27" i="43"/>
  <c r="CH26" i="43"/>
  <c r="CH25" i="43"/>
  <c r="CH24" i="43"/>
  <c r="CH23" i="43"/>
  <c r="CH22" i="43"/>
  <c r="CH21" i="43"/>
  <c r="CH20" i="43"/>
  <c r="CH19" i="43"/>
  <c r="CH18" i="43"/>
  <c r="CH17" i="43"/>
  <c r="CH16" i="43"/>
  <c r="CH15" i="43"/>
  <c r="CH14" i="43"/>
  <c r="CH13" i="43"/>
  <c r="CH12" i="43"/>
  <c r="CH11" i="43"/>
  <c r="CH10" i="43"/>
  <c r="CH9" i="43"/>
  <c r="CH8" i="43"/>
  <c r="CH7" i="43"/>
  <c r="CH6" i="43"/>
  <c r="CH5" i="43"/>
  <c r="CH4" i="43"/>
  <c r="BL32" i="43"/>
  <c r="BL31" i="43"/>
  <c r="BL30" i="43"/>
  <c r="BL29" i="43"/>
  <c r="BL28" i="43"/>
  <c r="BL27" i="43"/>
  <c r="BL26" i="43"/>
  <c r="BL25" i="43"/>
  <c r="BL24" i="43"/>
  <c r="BL23" i="43"/>
  <c r="BL22" i="43"/>
  <c r="BL21" i="43"/>
  <c r="BL20" i="43"/>
  <c r="BL19" i="43"/>
  <c r="BL18" i="43"/>
  <c r="BL17" i="43"/>
  <c r="BL16" i="43"/>
  <c r="BL15" i="43"/>
  <c r="BL14" i="43"/>
  <c r="BL13" i="43"/>
  <c r="BL12" i="43"/>
  <c r="BL11" i="43"/>
  <c r="BL10" i="43"/>
  <c r="BL9" i="43"/>
  <c r="BL8" i="43"/>
  <c r="BL7" i="43"/>
  <c r="BL6" i="43"/>
  <c r="BL5" i="43"/>
  <c r="BL4" i="43"/>
  <c r="CS33" i="44"/>
  <c r="CS32" i="44"/>
  <c r="CS31" i="44"/>
  <c r="CS30" i="44"/>
  <c r="CS29" i="44"/>
  <c r="CS28" i="44"/>
  <c r="CS27" i="44"/>
  <c r="CS26" i="44"/>
  <c r="CS25" i="44"/>
  <c r="CS24" i="44"/>
  <c r="CS23" i="44"/>
  <c r="CS22" i="44"/>
  <c r="CS21" i="44"/>
  <c r="CS20" i="44"/>
  <c r="CS19" i="44"/>
  <c r="CS18" i="44"/>
  <c r="CS17" i="44"/>
  <c r="CS16" i="44"/>
  <c r="CS15" i="44"/>
  <c r="CS14" i="44"/>
  <c r="CS13" i="44"/>
  <c r="CS12" i="44"/>
  <c r="CS11" i="44"/>
  <c r="CS10" i="44"/>
  <c r="CS9" i="44"/>
  <c r="CS8" i="44"/>
  <c r="CS7" i="44"/>
  <c r="CS6" i="44"/>
  <c r="CS5" i="44"/>
  <c r="CS4" i="44"/>
  <c r="BW33" i="44"/>
  <c r="BW32" i="44"/>
  <c r="BW31" i="44"/>
  <c r="BW30" i="44"/>
  <c r="BW29" i="44"/>
  <c r="BW28" i="44"/>
  <c r="BW27" i="44"/>
  <c r="BW26" i="44"/>
  <c r="BW25" i="44"/>
  <c r="BW24" i="44"/>
  <c r="BW23" i="44"/>
  <c r="BW22" i="44"/>
  <c r="BW21" i="44"/>
  <c r="BW20" i="44"/>
  <c r="BW19" i="44"/>
  <c r="BW18" i="44"/>
  <c r="BW17" i="44"/>
  <c r="BW16" i="44"/>
  <c r="BW15" i="44"/>
  <c r="BW14" i="44"/>
  <c r="BW13" i="44"/>
  <c r="BW12" i="44"/>
  <c r="BW11" i="44"/>
  <c r="BW10" i="44"/>
  <c r="BW9" i="44"/>
  <c r="BW8" i="44"/>
  <c r="BW7" i="44"/>
  <c r="BW6" i="44"/>
  <c r="BW5" i="44"/>
  <c r="BW4" i="44"/>
  <c r="BW33" i="17" l="1"/>
  <c r="BW32" i="17"/>
  <c r="CH32" i="44" s="1"/>
  <c r="BW31" i="17"/>
  <c r="CH31" i="44" s="1"/>
  <c r="BW30" i="17"/>
  <c r="BW29" i="17"/>
  <c r="BW28" i="17"/>
  <c r="BW27" i="17"/>
  <c r="BW26" i="17"/>
  <c r="BW25" i="17"/>
  <c r="BW24" i="17"/>
  <c r="BW23" i="17"/>
  <c r="BW22" i="17"/>
  <c r="BW21" i="17"/>
  <c r="BW20" i="17"/>
  <c r="BW19" i="17"/>
  <c r="BW18" i="17"/>
  <c r="BW17" i="17"/>
  <c r="BW16" i="17"/>
  <c r="BW15" i="17"/>
  <c r="BW14" i="17"/>
  <c r="BW13" i="17"/>
  <c r="BW12" i="17"/>
  <c r="BW11" i="17"/>
  <c r="BW10" i="17"/>
  <c r="BW9" i="17"/>
  <c r="BW8" i="17"/>
  <c r="BW7" i="17"/>
  <c r="BW6" i="17"/>
  <c r="BW5" i="17"/>
  <c r="BW4" i="17"/>
  <c r="B43" i="45"/>
  <c r="B44" i="45" s="1"/>
  <c r="B45" i="45" s="1"/>
  <c r="B46" i="45" s="1"/>
  <c r="B47" i="45" s="1"/>
  <c r="B48" i="45" s="1"/>
  <c r="B49" i="45" s="1"/>
  <c r="B50" i="45" s="1"/>
  <c r="B51" i="45" s="1"/>
  <c r="B52" i="45" s="1"/>
  <c r="B53" i="45" s="1"/>
  <c r="B54" i="45" s="1"/>
  <c r="B55" i="45" s="1"/>
  <c r="B56" i="45" s="1"/>
  <c r="B57" i="45" s="1"/>
  <c r="B58" i="45" s="1"/>
  <c r="B59" i="45" s="1"/>
  <c r="B60" i="45" s="1"/>
  <c r="B61" i="45" s="1"/>
  <c r="B62" i="45" s="1"/>
  <c r="B63" i="45" s="1"/>
  <c r="B64" i="45" s="1"/>
  <c r="B65" i="45" s="1"/>
  <c r="B66" i="45" s="1"/>
  <c r="B67" i="45" s="1"/>
  <c r="B68" i="45" s="1"/>
  <c r="B69" i="45" s="1"/>
  <c r="B70" i="45" s="1"/>
  <c r="B71" i="45" s="1"/>
  <c r="L176" i="15"/>
  <c r="H176" i="15"/>
  <c r="CH6" i="44" l="1"/>
  <c r="BW6" i="43"/>
  <c r="BW11" i="43"/>
  <c r="CH11" i="44"/>
  <c r="CH14" i="44"/>
  <c r="BW14" i="43"/>
  <c r="CH7" i="44"/>
  <c r="BW7" i="43"/>
  <c r="BW8" i="43"/>
  <c r="CH8" i="44"/>
  <c r="BW12" i="43"/>
  <c r="CH12" i="44"/>
  <c r="BW16" i="43"/>
  <c r="CH16" i="44"/>
  <c r="CH10" i="44"/>
  <c r="BW10" i="43"/>
  <c r="BW15" i="43"/>
  <c r="CH15" i="44"/>
  <c r="BW4" i="43"/>
  <c r="CH4" i="44"/>
  <c r="CH5" i="44"/>
  <c r="BW5" i="43"/>
  <c r="BW9" i="43"/>
  <c r="CH9" i="44"/>
  <c r="CH13" i="44"/>
  <c r="BW13" i="43"/>
  <c r="BW17" i="43"/>
  <c r="CH17" i="44"/>
  <c r="BW32" i="43"/>
  <c r="BW31" i="43"/>
  <c r="CH33" i="44"/>
  <c r="BW30" i="43"/>
  <c r="CH30" i="44"/>
  <c r="BW29" i="43"/>
  <c r="CH29" i="44"/>
  <c r="CH28" i="44"/>
  <c r="BW28" i="43"/>
  <c r="CH27" i="44"/>
  <c r="BW27" i="43"/>
  <c r="CH26" i="44"/>
  <c r="BW26" i="43"/>
  <c r="BW25" i="43"/>
  <c r="CH25" i="44"/>
  <c r="CH24" i="44"/>
  <c r="BW24" i="43"/>
  <c r="CH23" i="44"/>
  <c r="BW23" i="43"/>
  <c r="BW22" i="43"/>
  <c r="CH22" i="44"/>
  <c r="BW21" i="43"/>
  <c r="CH21" i="44"/>
  <c r="BW20" i="43"/>
  <c r="CH20" i="44"/>
  <c r="CH19" i="44"/>
  <c r="BW19" i="43"/>
  <c r="CH18" i="44"/>
  <c r="BW18" i="43"/>
  <c r="E7" i="19" l="1"/>
  <c r="I45" i="45" s="1"/>
  <c r="Q35" i="45" l="1"/>
  <c r="O35" i="45"/>
  <c r="J35" i="45"/>
  <c r="I35" i="45"/>
  <c r="H35" i="45"/>
  <c r="G35" i="45"/>
  <c r="F35" i="45"/>
  <c r="E35" i="45"/>
  <c r="D35" i="45"/>
  <c r="C35" i="45"/>
  <c r="K34" i="45"/>
  <c r="K33" i="45"/>
  <c r="K32" i="45"/>
  <c r="K31" i="45"/>
  <c r="K30" i="45"/>
  <c r="K29" i="45"/>
  <c r="K28" i="45"/>
  <c r="K27" i="45"/>
  <c r="K26" i="45"/>
  <c r="K25" i="45"/>
  <c r="K24" i="45"/>
  <c r="K23" i="45"/>
  <c r="K22" i="45"/>
  <c r="K21" i="45"/>
  <c r="K20" i="45"/>
  <c r="K19" i="45"/>
  <c r="K18" i="45"/>
  <c r="K17" i="45"/>
  <c r="K16" i="45"/>
  <c r="K15" i="45"/>
  <c r="K14" i="45"/>
  <c r="K13" i="45"/>
  <c r="K12" i="45"/>
  <c r="K11" i="45"/>
  <c r="K10" i="45"/>
  <c r="K9" i="45"/>
  <c r="K8" i="45"/>
  <c r="AG7" i="45"/>
  <c r="AG10" i="45" s="1"/>
  <c r="K7" i="45"/>
  <c r="AH6" i="45"/>
  <c r="K6" i="45"/>
  <c r="P35" i="45"/>
  <c r="K5" i="45"/>
  <c r="X1" i="45"/>
  <c r="R5" i="45" l="1"/>
  <c r="T5" i="45" s="1"/>
  <c r="AG9" i="45"/>
  <c r="AG11" i="45" s="1"/>
  <c r="AF7" i="45"/>
  <c r="K35" i="45"/>
  <c r="Y5" i="45"/>
  <c r="U5" i="45" l="1"/>
  <c r="Z5" i="45"/>
  <c r="R6" i="45"/>
  <c r="Y6" i="45"/>
  <c r="R7" i="45" l="1"/>
  <c r="T7" i="45" s="1"/>
  <c r="Y7" i="45"/>
  <c r="T6" i="45"/>
  <c r="Z7" i="45" l="1"/>
  <c r="U7" i="45"/>
  <c r="Z6" i="45"/>
  <c r="U6" i="45"/>
  <c r="Y8" i="45"/>
  <c r="R8" i="45"/>
  <c r="R9" i="45" l="1"/>
  <c r="T9" i="45" s="1"/>
  <c r="Y9" i="45"/>
  <c r="T8" i="45"/>
  <c r="U8" i="45" l="1"/>
  <c r="Z8" i="45"/>
  <c r="R10" i="45"/>
  <c r="Y10" i="45"/>
  <c r="Z9" i="45"/>
  <c r="U9" i="45"/>
  <c r="T10" i="45" l="1"/>
  <c r="R11" i="45"/>
  <c r="T11" i="45" s="1"/>
  <c r="Y11" i="45"/>
  <c r="Z11" i="45" l="1"/>
  <c r="U11" i="45"/>
  <c r="R12" i="45"/>
  <c r="T12" i="45" s="1"/>
  <c r="Y12" i="45"/>
  <c r="Z10" i="45"/>
  <c r="U10" i="45"/>
  <c r="Y13" i="45" l="1"/>
  <c r="R13" i="45"/>
  <c r="T13" i="45" s="1"/>
  <c r="Z12" i="45"/>
  <c r="U12" i="45"/>
  <c r="R14" i="45" l="1"/>
  <c r="T14" i="45" s="1"/>
  <c r="Y14" i="45"/>
  <c r="Z13" i="45"/>
  <c r="U13" i="45"/>
  <c r="U14" i="45" l="1"/>
  <c r="Z14" i="45"/>
  <c r="Y15" i="45"/>
  <c r="R15" i="45"/>
  <c r="T15" i="45" s="1"/>
  <c r="R16" i="45" l="1"/>
  <c r="T16" i="45" s="1"/>
  <c r="Y16" i="45"/>
  <c r="U15" i="45"/>
  <c r="Z15" i="45"/>
  <c r="Y17" i="45" l="1"/>
  <c r="R17" i="45"/>
  <c r="T17" i="45" s="1"/>
  <c r="Z16" i="45"/>
  <c r="U16" i="45"/>
  <c r="R18" i="45" l="1"/>
  <c r="T18" i="45" s="1"/>
  <c r="Y18" i="45"/>
  <c r="Z17" i="45"/>
  <c r="U17" i="45"/>
  <c r="U18" i="45" l="1"/>
  <c r="Z18" i="45"/>
  <c r="Y19" i="45"/>
  <c r="R19" i="45"/>
  <c r="T19" i="45" s="1"/>
  <c r="R20" i="45" l="1"/>
  <c r="T20" i="45" s="1"/>
  <c r="Y20" i="45"/>
  <c r="U19" i="45"/>
  <c r="Z19" i="45"/>
  <c r="Y21" i="45" l="1"/>
  <c r="R21" i="45"/>
  <c r="T21" i="45" s="1"/>
  <c r="Z20" i="45"/>
  <c r="U20" i="45"/>
  <c r="R22" i="45" l="1"/>
  <c r="T22" i="45" s="1"/>
  <c r="Y22" i="45"/>
  <c r="Z21" i="45"/>
  <c r="U21" i="45"/>
  <c r="U22" i="45" l="1"/>
  <c r="Z22" i="45"/>
  <c r="Y23" i="45"/>
  <c r="R23" i="45"/>
  <c r="T23" i="45" s="1"/>
  <c r="R24" i="45" l="1"/>
  <c r="T24" i="45" s="1"/>
  <c r="Y24" i="45"/>
  <c r="U23" i="45"/>
  <c r="Z23" i="45"/>
  <c r="Y25" i="45" l="1"/>
  <c r="R25" i="45"/>
  <c r="T25" i="45" s="1"/>
  <c r="Z24" i="45"/>
  <c r="U24" i="45"/>
  <c r="R26" i="45" l="1"/>
  <c r="T26" i="45" s="1"/>
  <c r="Y26" i="45"/>
  <c r="Z25" i="45"/>
  <c r="U25" i="45"/>
  <c r="U26" i="45" l="1"/>
  <c r="Z26" i="45"/>
  <c r="Y27" i="45"/>
  <c r="R27" i="45"/>
  <c r="T27" i="45" s="1"/>
  <c r="R28" i="45" l="1"/>
  <c r="T28" i="45" s="1"/>
  <c r="Y28" i="45"/>
  <c r="U27" i="45"/>
  <c r="Z27" i="45"/>
  <c r="Y29" i="45" l="1"/>
  <c r="R29" i="45"/>
  <c r="T29" i="45" s="1"/>
  <c r="Z28" i="45"/>
  <c r="U28" i="45"/>
  <c r="Z29" i="45" l="1"/>
  <c r="U29" i="45"/>
  <c r="R30" i="45"/>
  <c r="T30" i="45" s="1"/>
  <c r="Y30" i="45"/>
  <c r="Y31" i="45" l="1"/>
  <c r="R31" i="45"/>
  <c r="T31" i="45" s="1"/>
  <c r="U30" i="45"/>
  <c r="Z30" i="45"/>
  <c r="U31" i="45" l="1"/>
  <c r="Z31" i="45"/>
  <c r="R32" i="45"/>
  <c r="T32" i="45" s="1"/>
  <c r="Y32" i="45"/>
  <c r="Y33" i="45" l="1"/>
  <c r="R33" i="45"/>
  <c r="T33" i="45" s="1"/>
  <c r="Z32" i="45"/>
  <c r="U32" i="45"/>
  <c r="Z33" i="45" l="1"/>
  <c r="U33" i="45"/>
  <c r="R34" i="45"/>
  <c r="T34" i="45" s="1"/>
  <c r="Y34" i="45"/>
  <c r="U34" i="45" l="1"/>
  <c r="Z34" i="45"/>
  <c r="Y35" i="45"/>
  <c r="N35" i="45"/>
  <c r="R35" i="45" l="1"/>
  <c r="Z35" i="45" l="1"/>
  <c r="T35" i="45"/>
  <c r="U35" i="45" s="1"/>
  <c r="G68" i="45" l="1"/>
  <c r="G67" i="45"/>
  <c r="G66" i="45"/>
  <c r="G65" i="45"/>
  <c r="G64" i="45"/>
  <c r="G63" i="45"/>
  <c r="G62" i="45"/>
  <c r="G61" i="45"/>
  <c r="G60" i="45"/>
  <c r="G59" i="45"/>
  <c r="G58" i="45"/>
  <c r="G57" i="45"/>
  <c r="G56" i="45"/>
  <c r="G55" i="45"/>
  <c r="G54" i="45"/>
  <c r="G53" i="45"/>
  <c r="G52" i="45"/>
  <c r="G51" i="45"/>
  <c r="G50" i="45"/>
  <c r="G49" i="45"/>
  <c r="G48" i="45"/>
  <c r="G47" i="45"/>
  <c r="G46" i="45"/>
  <c r="G45" i="45"/>
  <c r="G44" i="45"/>
  <c r="G43" i="45"/>
  <c r="G42" i="45"/>
  <c r="P68" i="45"/>
  <c r="P67" i="45"/>
  <c r="P66" i="45"/>
  <c r="P65" i="45"/>
  <c r="P64" i="45"/>
  <c r="P63" i="45"/>
  <c r="P62" i="45"/>
  <c r="P61" i="45"/>
  <c r="P60" i="45"/>
  <c r="P59" i="45"/>
  <c r="P58" i="45"/>
  <c r="P57" i="45"/>
  <c r="P56" i="45"/>
  <c r="P55" i="45"/>
  <c r="P54" i="45"/>
  <c r="P53" i="45"/>
  <c r="P52" i="45"/>
  <c r="P51" i="45"/>
  <c r="P50" i="45"/>
  <c r="P49" i="45"/>
  <c r="P48" i="45"/>
  <c r="P47" i="45"/>
  <c r="P46" i="45"/>
  <c r="P45" i="45"/>
  <c r="P44" i="45"/>
  <c r="P43" i="45"/>
  <c r="P42" i="45"/>
  <c r="AG36" i="44" l="1"/>
  <c r="AF36" i="44"/>
  <c r="AH36" i="44" l="1"/>
  <c r="CU33" i="44"/>
  <c r="CT33" i="44"/>
  <c r="CR33" i="44"/>
  <c r="CQ33" i="44"/>
  <c r="CP33" i="44"/>
  <c r="CO33" i="44"/>
  <c r="CN33" i="44"/>
  <c r="BY33" i="44"/>
  <c r="BX33" i="44"/>
  <c r="BV33" i="44"/>
  <c r="BU33" i="44"/>
  <c r="BT33" i="44"/>
  <c r="BS33" i="44"/>
  <c r="BR33" i="44"/>
  <c r="BE33" i="44"/>
  <c r="AZ33" i="44"/>
  <c r="AW33" i="44"/>
  <c r="AX33" i="44"/>
  <c r="CU32" i="44"/>
  <c r="CT32" i="44"/>
  <c r="CR32" i="44"/>
  <c r="CQ32" i="44"/>
  <c r="CP32" i="44"/>
  <c r="CO32" i="44"/>
  <c r="CN32" i="44"/>
  <c r="BY32" i="44"/>
  <c r="BX32" i="44"/>
  <c r="BV32" i="44"/>
  <c r="BU32" i="44"/>
  <c r="BT32" i="44"/>
  <c r="BS32" i="44"/>
  <c r="BR32" i="44"/>
  <c r="BE32" i="44"/>
  <c r="AZ32" i="44"/>
  <c r="AW32" i="44"/>
  <c r="CU31" i="44"/>
  <c r="CT31" i="44"/>
  <c r="CR31" i="44"/>
  <c r="CQ31" i="44"/>
  <c r="CP31" i="44"/>
  <c r="CO31" i="44"/>
  <c r="CN31" i="44"/>
  <c r="BY31" i="44"/>
  <c r="BX31" i="44"/>
  <c r="BV31" i="44"/>
  <c r="BU31" i="44"/>
  <c r="BT31" i="44"/>
  <c r="BS31" i="44"/>
  <c r="BR31" i="44"/>
  <c r="BE31" i="44"/>
  <c r="AZ31" i="44"/>
  <c r="AW31" i="44"/>
  <c r="CU30" i="44"/>
  <c r="CT30" i="44"/>
  <c r="CR30" i="44"/>
  <c r="CQ30" i="44"/>
  <c r="CP30" i="44"/>
  <c r="CO30" i="44"/>
  <c r="CN30" i="44"/>
  <c r="BY30" i="44"/>
  <c r="BX30" i="44"/>
  <c r="BV30" i="44"/>
  <c r="BU30" i="44"/>
  <c r="BT30" i="44"/>
  <c r="BS30" i="44"/>
  <c r="BR30" i="44"/>
  <c r="BE30" i="44"/>
  <c r="AZ30" i="44"/>
  <c r="AW30" i="44"/>
  <c r="BR5" i="17"/>
  <c r="BS5" i="17"/>
  <c r="BT5" i="17"/>
  <c r="BU5" i="17"/>
  <c r="BV5" i="17"/>
  <c r="BX5" i="17"/>
  <c r="BY5" i="17"/>
  <c r="BR6" i="17"/>
  <c r="BS6" i="17"/>
  <c r="BT6" i="17"/>
  <c r="BU6" i="17"/>
  <c r="BV6" i="17"/>
  <c r="BX6" i="17"/>
  <c r="BY6" i="17"/>
  <c r="BR7" i="17"/>
  <c r="BS7" i="17"/>
  <c r="BT7" i="17"/>
  <c r="BU7" i="17"/>
  <c r="BV7" i="17"/>
  <c r="BX7" i="17"/>
  <c r="BY7" i="17"/>
  <c r="BR8" i="17"/>
  <c r="BS8" i="17"/>
  <c r="BT8" i="17"/>
  <c r="BU8" i="17"/>
  <c r="BV8" i="17"/>
  <c r="BX8" i="17"/>
  <c r="BY8" i="17"/>
  <c r="BR9" i="17"/>
  <c r="BS9" i="17"/>
  <c r="BT9" i="17"/>
  <c r="BU9" i="17"/>
  <c r="BV9" i="17"/>
  <c r="BX9" i="17"/>
  <c r="BY9" i="17"/>
  <c r="BR10" i="17"/>
  <c r="BS10" i="17"/>
  <c r="BT10" i="17"/>
  <c r="BU10" i="17"/>
  <c r="BV10" i="17"/>
  <c r="BX10" i="17"/>
  <c r="BY10" i="17"/>
  <c r="BR11" i="17"/>
  <c r="BS11" i="17"/>
  <c r="BT11" i="17"/>
  <c r="BU11" i="17"/>
  <c r="BV11" i="17"/>
  <c r="BX11" i="17"/>
  <c r="BY11" i="17"/>
  <c r="BR12" i="17"/>
  <c r="BS12" i="17"/>
  <c r="BT12" i="17"/>
  <c r="BU12" i="17"/>
  <c r="BV12" i="17"/>
  <c r="BX12" i="17"/>
  <c r="BY12" i="17"/>
  <c r="BR13" i="17"/>
  <c r="BS13" i="17"/>
  <c r="BT13" i="17"/>
  <c r="BU13" i="17"/>
  <c r="BV13" i="17"/>
  <c r="BX13" i="17"/>
  <c r="BY13" i="17"/>
  <c r="BR14" i="17"/>
  <c r="BS14" i="17"/>
  <c r="BT14" i="17"/>
  <c r="BU14" i="17"/>
  <c r="BV14" i="17"/>
  <c r="BX14" i="17"/>
  <c r="BY14" i="17"/>
  <c r="BR15" i="17"/>
  <c r="BS15" i="17"/>
  <c r="BT15" i="17"/>
  <c r="BU15" i="17"/>
  <c r="BV15" i="17"/>
  <c r="BX15" i="17"/>
  <c r="BY15" i="17"/>
  <c r="BR16" i="17"/>
  <c r="BS16" i="17"/>
  <c r="BT16" i="17"/>
  <c r="BU16" i="17"/>
  <c r="BV16" i="17"/>
  <c r="BX16" i="17"/>
  <c r="BY16" i="17"/>
  <c r="BR17" i="17"/>
  <c r="BS17" i="17"/>
  <c r="BT17" i="17"/>
  <c r="BU17" i="17"/>
  <c r="BV17" i="17"/>
  <c r="BX17" i="17"/>
  <c r="BY17" i="17"/>
  <c r="BR18" i="17"/>
  <c r="BS18" i="17"/>
  <c r="BT18" i="17"/>
  <c r="BU18" i="17"/>
  <c r="BV18" i="17"/>
  <c r="BX18" i="17"/>
  <c r="BY18" i="17"/>
  <c r="BR19" i="17"/>
  <c r="BS19" i="17"/>
  <c r="BT19" i="17"/>
  <c r="BU19" i="17"/>
  <c r="BV19" i="17"/>
  <c r="BX19" i="17"/>
  <c r="BY19" i="17"/>
  <c r="BR20" i="17"/>
  <c r="BS20" i="17"/>
  <c r="BT20" i="17"/>
  <c r="BU20" i="17"/>
  <c r="BV20" i="17"/>
  <c r="BX20" i="17"/>
  <c r="BY20" i="17"/>
  <c r="BR21" i="17"/>
  <c r="BS21" i="17"/>
  <c r="BT21" i="17"/>
  <c r="BU21" i="17"/>
  <c r="BV21" i="17"/>
  <c r="BX21" i="17"/>
  <c r="BY21" i="17"/>
  <c r="BR22" i="17"/>
  <c r="BS22" i="17"/>
  <c r="BT22" i="17"/>
  <c r="BU22" i="17"/>
  <c r="BV22" i="17"/>
  <c r="BX22" i="17"/>
  <c r="BY22" i="17"/>
  <c r="BR23" i="17"/>
  <c r="BS23" i="17"/>
  <c r="BT23" i="17"/>
  <c r="BU23" i="17"/>
  <c r="BV23" i="17"/>
  <c r="BX23" i="17"/>
  <c r="BY23" i="17"/>
  <c r="BR24" i="17"/>
  <c r="BS24" i="17"/>
  <c r="BT24" i="17"/>
  <c r="BU24" i="17"/>
  <c r="BV24" i="17"/>
  <c r="BX24" i="17"/>
  <c r="BY24" i="17"/>
  <c r="BR25" i="17"/>
  <c r="BS25" i="17"/>
  <c r="BT25" i="17"/>
  <c r="BU25" i="17"/>
  <c r="BV25" i="17"/>
  <c r="BX25" i="17"/>
  <c r="BY25" i="17"/>
  <c r="BR26" i="17"/>
  <c r="BS26" i="17"/>
  <c r="BT26" i="17"/>
  <c r="BU26" i="17"/>
  <c r="BV26" i="17"/>
  <c r="BX26" i="17"/>
  <c r="BY26" i="17"/>
  <c r="BR27" i="17"/>
  <c r="BS27" i="17"/>
  <c r="BT27" i="17"/>
  <c r="BU27" i="17"/>
  <c r="BV27" i="17"/>
  <c r="BX27" i="17"/>
  <c r="BY27" i="17"/>
  <c r="BR28" i="17"/>
  <c r="BS28" i="17"/>
  <c r="BT28" i="17"/>
  <c r="BU28" i="17"/>
  <c r="BV28" i="17"/>
  <c r="BX28" i="17"/>
  <c r="BY28" i="17"/>
  <c r="BR29" i="17"/>
  <c r="BS29" i="17"/>
  <c r="BT29" i="17"/>
  <c r="BU29" i="17"/>
  <c r="BV29" i="17"/>
  <c r="BX29" i="17"/>
  <c r="BY29" i="17"/>
  <c r="BR30" i="17"/>
  <c r="CC30" i="44" s="1"/>
  <c r="BS30" i="17"/>
  <c r="CD30" i="44" s="1"/>
  <c r="BT30" i="17"/>
  <c r="CE30" i="44" s="1"/>
  <c r="BU30" i="17"/>
  <c r="CF30" i="44" s="1"/>
  <c r="BV30" i="17"/>
  <c r="CG30" i="44" s="1"/>
  <c r="BX30" i="17"/>
  <c r="CI30" i="44" s="1"/>
  <c r="BY30" i="17"/>
  <c r="CJ30" i="44" s="1"/>
  <c r="BR31" i="17"/>
  <c r="CC31" i="44" s="1"/>
  <c r="BS31" i="17"/>
  <c r="CD31" i="44" s="1"/>
  <c r="BT31" i="17"/>
  <c r="CE31" i="44" s="1"/>
  <c r="BU31" i="17"/>
  <c r="CF31" i="44" s="1"/>
  <c r="BV31" i="17"/>
  <c r="CG31" i="44" s="1"/>
  <c r="BX31" i="17"/>
  <c r="CI31" i="44" s="1"/>
  <c r="BY31" i="17"/>
  <c r="CJ31" i="44" s="1"/>
  <c r="BR32" i="17"/>
  <c r="CC32" i="44" s="1"/>
  <c r="BS32" i="17"/>
  <c r="CD32" i="44" s="1"/>
  <c r="BT32" i="17"/>
  <c r="CE32" i="44" s="1"/>
  <c r="BU32" i="17"/>
  <c r="CF32" i="44" s="1"/>
  <c r="BV32" i="17"/>
  <c r="CG32" i="44" s="1"/>
  <c r="BX32" i="17"/>
  <c r="CI32" i="44" s="1"/>
  <c r="BY32" i="17"/>
  <c r="CJ32" i="44" s="1"/>
  <c r="BR33" i="17"/>
  <c r="CC33" i="44" s="1"/>
  <c r="BS33" i="17"/>
  <c r="CD33" i="44" s="1"/>
  <c r="BT33" i="17"/>
  <c r="CE33" i="44" s="1"/>
  <c r="BU33" i="17"/>
  <c r="CF33" i="44" s="1"/>
  <c r="BV33" i="17"/>
  <c r="CG33" i="44" s="1"/>
  <c r="BX33" i="17"/>
  <c r="CI33" i="44" s="1"/>
  <c r="BY33" i="17"/>
  <c r="CJ33" i="44" s="1"/>
  <c r="E21" i="19"/>
  <c r="I59" i="45" s="1"/>
  <c r="E22" i="19"/>
  <c r="I60" i="45" s="1"/>
  <c r="E23" i="19"/>
  <c r="I61" i="45" s="1"/>
  <c r="E24" i="19"/>
  <c r="I62" i="45" s="1"/>
  <c r="E25" i="19"/>
  <c r="I63" i="45" s="1"/>
  <c r="E26" i="19"/>
  <c r="I64" i="45" s="1"/>
  <c r="E27" i="19"/>
  <c r="I65" i="45" s="1"/>
  <c r="E28" i="19"/>
  <c r="I66" i="45" s="1"/>
  <c r="E29" i="19"/>
  <c r="I67" i="45" s="1"/>
  <c r="E30" i="19"/>
  <c r="I68" i="45" s="1"/>
  <c r="E31" i="19"/>
  <c r="I69" i="45" s="1"/>
  <c r="E32" i="19"/>
  <c r="I70" i="45" s="1"/>
  <c r="E33" i="19"/>
  <c r="I71" i="45" s="1"/>
  <c r="V5" i="44"/>
  <c r="W5" i="44"/>
  <c r="V6" i="44"/>
  <c r="W6" i="44"/>
  <c r="V7" i="44"/>
  <c r="W7" i="44"/>
  <c r="V8" i="44"/>
  <c r="W8" i="44"/>
  <c r="V9" i="44"/>
  <c r="W9" i="44"/>
  <c r="V10" i="44"/>
  <c r="W10" i="44"/>
  <c r="V11" i="44"/>
  <c r="W11" i="44"/>
  <c r="V12" i="44"/>
  <c r="W12" i="44"/>
  <c r="V13" i="44"/>
  <c r="W13" i="44"/>
  <c r="V14" i="44"/>
  <c r="W14" i="44"/>
  <c r="V15" i="44"/>
  <c r="W15" i="44"/>
  <c r="V16" i="44"/>
  <c r="W16" i="44"/>
  <c r="V17" i="44"/>
  <c r="W17" i="44"/>
  <c r="V18" i="44"/>
  <c r="W18" i="44"/>
  <c r="V19" i="44"/>
  <c r="W19" i="44"/>
  <c r="V20" i="44"/>
  <c r="W20" i="44"/>
  <c r="V21" i="44"/>
  <c r="W21" i="44"/>
  <c r="V22" i="44"/>
  <c r="W22" i="44"/>
  <c r="V23" i="44"/>
  <c r="W23" i="44"/>
  <c r="V24" i="44"/>
  <c r="W24" i="44"/>
  <c r="V25" i="44"/>
  <c r="W25" i="44"/>
  <c r="V26" i="44"/>
  <c r="W26" i="44"/>
  <c r="V27" i="44"/>
  <c r="W27" i="44"/>
  <c r="V28" i="44"/>
  <c r="W28" i="44"/>
  <c r="V29" i="44"/>
  <c r="W29" i="44"/>
  <c r="W4" i="44"/>
  <c r="U5" i="44"/>
  <c r="U6" i="44"/>
  <c r="U7" i="44"/>
  <c r="U8" i="44"/>
  <c r="U9" i="44"/>
  <c r="U10" i="44"/>
  <c r="U11" i="44"/>
  <c r="U12" i="44"/>
  <c r="U13" i="44"/>
  <c r="U14" i="44"/>
  <c r="U15" i="44"/>
  <c r="U16" i="44"/>
  <c r="U17" i="44"/>
  <c r="U18" i="44"/>
  <c r="U19" i="44"/>
  <c r="U20" i="44"/>
  <c r="U21" i="44"/>
  <c r="U22" i="44"/>
  <c r="U23" i="44"/>
  <c r="U24" i="44"/>
  <c r="U25" i="44"/>
  <c r="U26" i="44"/>
  <c r="U27" i="44"/>
  <c r="U28" i="44"/>
  <c r="U29" i="44"/>
  <c r="U4" i="44"/>
  <c r="T5" i="44"/>
  <c r="T6" i="44"/>
  <c r="T7" i="44"/>
  <c r="T8" i="44"/>
  <c r="T9" i="44"/>
  <c r="T10" i="44"/>
  <c r="T11" i="44"/>
  <c r="T12" i="44"/>
  <c r="T13" i="44"/>
  <c r="T14" i="44"/>
  <c r="T15" i="44"/>
  <c r="T16" i="44"/>
  <c r="T17" i="44"/>
  <c r="T18" i="44"/>
  <c r="T19" i="44"/>
  <c r="T20" i="44"/>
  <c r="T21" i="44"/>
  <c r="T22" i="44"/>
  <c r="T23" i="44"/>
  <c r="T24" i="44"/>
  <c r="T25" i="44"/>
  <c r="T26" i="44"/>
  <c r="T27" i="44"/>
  <c r="T28" i="44"/>
  <c r="T29" i="44"/>
  <c r="T4" i="44"/>
  <c r="V4" i="44"/>
  <c r="CK32" i="17"/>
  <c r="BO32" i="17"/>
  <c r="CK31" i="17"/>
  <c r="BO31" i="17"/>
  <c r="AF4" i="17"/>
  <c r="AF3" i="17"/>
  <c r="AE4" i="17"/>
  <c r="J477" i="15"/>
  <c r="F33" i="14" s="1"/>
  <c r="Z33" i="17" s="1"/>
  <c r="F477" i="15"/>
  <c r="C33" i="14" s="1"/>
  <c r="AG33" i="17" s="1"/>
  <c r="AH33" i="17" s="1"/>
  <c r="L476" i="15"/>
  <c r="H476" i="15"/>
  <c r="L475" i="15"/>
  <c r="H475" i="15"/>
  <c r="L474" i="15"/>
  <c r="H474" i="15"/>
  <c r="L473" i="15"/>
  <c r="H473" i="15"/>
  <c r="L472" i="15"/>
  <c r="H472" i="15"/>
  <c r="L471" i="15"/>
  <c r="H471" i="15"/>
  <c r="L470" i="15"/>
  <c r="H470" i="15"/>
  <c r="L469" i="15"/>
  <c r="H469" i="15"/>
  <c r="L468" i="15"/>
  <c r="H468" i="15"/>
  <c r="H31" i="14"/>
  <c r="I31" i="44" s="1"/>
  <c r="E31" i="32"/>
  <c r="Q31" i="17" s="1"/>
  <c r="E32" i="32"/>
  <c r="Q32" i="17" s="1"/>
  <c r="E33" i="32"/>
  <c r="Q33" i="17" s="1"/>
  <c r="E31" i="31"/>
  <c r="P31" i="17" s="1"/>
  <c r="E32" i="31"/>
  <c r="P32" i="17" s="1"/>
  <c r="E33" i="31"/>
  <c r="P33" i="17" s="1"/>
  <c r="E31" i="27"/>
  <c r="O31" i="17" s="1"/>
  <c r="E32" i="27"/>
  <c r="E33" i="27"/>
  <c r="E32" i="13"/>
  <c r="H70" i="45" s="1"/>
  <c r="E33" i="13"/>
  <c r="H71" i="45" s="1"/>
  <c r="T41" i="13"/>
  <c r="E30" i="44" s="1"/>
  <c r="T42" i="13"/>
  <c r="E31" i="44" s="1"/>
  <c r="T43" i="13"/>
  <c r="E32" i="44" s="1"/>
  <c r="E31" i="13"/>
  <c r="H69" i="45" s="1"/>
  <c r="E31" i="12"/>
  <c r="F69" i="45" s="1"/>
  <c r="E32" i="12"/>
  <c r="F70" i="45" s="1"/>
  <c r="E33" i="12"/>
  <c r="F71" i="45" s="1"/>
  <c r="E31" i="11"/>
  <c r="E69" i="45" s="1"/>
  <c r="E32" i="11"/>
  <c r="E70" i="45" s="1"/>
  <c r="E33" i="11"/>
  <c r="E71" i="45" s="1"/>
  <c r="E31" i="10"/>
  <c r="D69" i="45" s="1"/>
  <c r="E32" i="10"/>
  <c r="D70" i="45" s="1"/>
  <c r="E33" i="10"/>
  <c r="C71" i="45"/>
  <c r="N30" i="5"/>
  <c r="M31" i="44" s="1"/>
  <c r="N31" i="5"/>
  <c r="M32" i="44" s="1"/>
  <c r="AT32" i="44" s="1"/>
  <c r="N32" i="5"/>
  <c r="M33" i="44" s="1"/>
  <c r="I40" i="5"/>
  <c r="G30" i="5"/>
  <c r="G31" i="5"/>
  <c r="G32" i="5"/>
  <c r="F31" i="44" l="1"/>
  <c r="O33" i="17"/>
  <c r="J71" i="45"/>
  <c r="O32" i="17"/>
  <c r="J70" i="45"/>
  <c r="H477" i="15"/>
  <c r="G477" i="15" s="1"/>
  <c r="X33" i="44"/>
  <c r="T71" i="45"/>
  <c r="Z71" i="45" s="1"/>
  <c r="H33" i="44"/>
  <c r="L477" i="15"/>
  <c r="E33" i="14"/>
  <c r="Y33" i="44" s="1"/>
  <c r="AY33" i="44" s="1"/>
  <c r="N71" i="45"/>
  <c r="R71" i="45" s="1"/>
  <c r="D71" i="45"/>
  <c r="N70" i="45"/>
  <c r="R70" i="45" s="1"/>
  <c r="C70" i="45"/>
  <c r="J69" i="45"/>
  <c r="C69" i="45"/>
  <c r="N69" i="45"/>
  <c r="R69" i="45" s="1"/>
  <c r="AX31" i="44"/>
  <c r="AT31" i="44"/>
  <c r="AV31" i="44"/>
  <c r="AV33" i="44"/>
  <c r="AX30" i="44"/>
  <c r="AT33" i="44"/>
  <c r="CV30" i="44"/>
  <c r="CV32" i="44"/>
  <c r="CK33" i="44"/>
  <c r="CK31" i="44"/>
  <c r="CK30" i="44"/>
  <c r="CK32" i="44"/>
  <c r="BZ30" i="44"/>
  <c r="BZ32" i="44"/>
  <c r="CV33" i="44"/>
  <c r="CV31" i="44"/>
  <c r="BZ31" i="44"/>
  <c r="BZ33" i="44"/>
  <c r="AV30" i="44"/>
  <c r="AX32" i="44"/>
  <c r="AV32" i="44"/>
  <c r="BZ31" i="17"/>
  <c r="BZ32" i="17"/>
  <c r="T34" i="44"/>
  <c r="T37" i="44" s="1"/>
  <c r="K477" i="15" l="1"/>
  <c r="H33" i="14"/>
  <c r="D33" i="14"/>
  <c r="Y70" i="45"/>
  <c r="Y71" i="45"/>
  <c r="K71" i="45"/>
  <c r="F32" i="44"/>
  <c r="K70" i="45"/>
  <c r="AB33" i="17"/>
  <c r="K33" i="14" s="1"/>
  <c r="AA33" i="17"/>
  <c r="F33" i="44"/>
  <c r="Y69" i="45"/>
  <c r="H39" i="5"/>
  <c r="H395" i="15" l="1"/>
  <c r="AN36" i="44" l="1"/>
  <c r="L131" i="15" l="1"/>
  <c r="H131" i="15"/>
  <c r="DE16" i="44" l="1"/>
  <c r="DA16" i="44"/>
  <c r="CZ16" i="44"/>
  <c r="DE15" i="44"/>
  <c r="DA15" i="44"/>
  <c r="CZ15" i="44"/>
  <c r="DE14" i="44"/>
  <c r="DA14" i="44"/>
  <c r="CZ14" i="44"/>
  <c r="DA13" i="44"/>
  <c r="CZ13" i="44"/>
  <c r="DA12" i="44"/>
  <c r="CZ12" i="44"/>
  <c r="DA11" i="44"/>
  <c r="CZ11" i="44"/>
  <c r="DE10" i="44"/>
  <c r="DA10" i="44"/>
  <c r="CZ10" i="44"/>
  <c r="DE9" i="44"/>
  <c r="DA9" i="44"/>
  <c r="CZ9" i="44"/>
  <c r="DE8" i="44"/>
  <c r="DA8" i="44"/>
  <c r="CZ8" i="44"/>
  <c r="DE7" i="44"/>
  <c r="DA7" i="44"/>
  <c r="CZ7" i="44"/>
  <c r="DE6" i="44"/>
  <c r="DA6" i="44"/>
  <c r="DE5" i="44"/>
  <c r="DD5" i="44"/>
  <c r="DC5" i="44"/>
  <c r="DB5" i="44"/>
  <c r="DA5" i="44"/>
  <c r="CZ5" i="44"/>
  <c r="CY5" i="44"/>
  <c r="DD16" i="44" l="1"/>
  <c r="CY16" i="44"/>
  <c r="DD15" i="44"/>
  <c r="CY15" i="44"/>
  <c r="DD14" i="44"/>
  <c r="CY14" i="44"/>
  <c r="DD13" i="44"/>
  <c r="CY13" i="44"/>
  <c r="DC13" i="44"/>
  <c r="DD12" i="44"/>
  <c r="CY12" i="44"/>
  <c r="DD11" i="44"/>
  <c r="CY11" i="44"/>
  <c r="DC11" i="44"/>
  <c r="DD10" i="44"/>
  <c r="CY10" i="44"/>
  <c r="DD9" i="44"/>
  <c r="CY9" i="44"/>
  <c r="DD8" i="44"/>
  <c r="CY8" i="44"/>
  <c r="DD7" i="44"/>
  <c r="CY7" i="44"/>
  <c r="DD6" i="44"/>
  <c r="CZ6" i="44"/>
  <c r="CY6" i="44"/>
  <c r="DE12" i="44"/>
  <c r="C44" i="44"/>
  <c r="AD36" i="44"/>
  <c r="DC10" i="44" l="1"/>
  <c r="DB10" i="44"/>
  <c r="DC15" i="44"/>
  <c r="DB15" i="44"/>
  <c r="DB12" i="44"/>
  <c r="DC12" i="44"/>
  <c r="DB9" i="44"/>
  <c r="DC9" i="44"/>
  <c r="DB16" i="44"/>
  <c r="DC16" i="44"/>
  <c r="DB8" i="44"/>
  <c r="DC8" i="44"/>
  <c r="DB14" i="44"/>
  <c r="DC14" i="44"/>
  <c r="DE11" i="44"/>
  <c r="DB13" i="44" l="1"/>
  <c r="DE13" i="44"/>
  <c r="DB11" i="44"/>
  <c r="DB7" i="44"/>
  <c r="DC7" i="44"/>
  <c r="DB6" i="44"/>
  <c r="DC6" i="44"/>
  <c r="L62" i="15"/>
  <c r="L63" i="15"/>
  <c r="L64" i="15"/>
  <c r="L65" i="15"/>
  <c r="H62" i="15"/>
  <c r="H63" i="15"/>
  <c r="H64" i="15"/>
  <c r="H65" i="15"/>
  <c r="H44" i="15" l="1"/>
  <c r="H45" i="15"/>
  <c r="H46" i="15"/>
  <c r="H47" i="15"/>
  <c r="H48" i="15"/>
  <c r="L5" i="44" l="1"/>
  <c r="L6" i="44"/>
  <c r="L7" i="44"/>
  <c r="L8" i="44"/>
  <c r="L9" i="44"/>
  <c r="L10" i="44"/>
  <c r="L11" i="44"/>
  <c r="L12" i="44"/>
  <c r="L13" i="44"/>
  <c r="L14" i="44"/>
  <c r="L15" i="44"/>
  <c r="L16" i="44"/>
  <c r="L17" i="44"/>
  <c r="L18" i="44"/>
  <c r="L19" i="44"/>
  <c r="L20" i="44"/>
  <c r="L21" i="44"/>
  <c r="L22" i="44"/>
  <c r="L23" i="44"/>
  <c r="L24" i="44"/>
  <c r="L25" i="44"/>
  <c r="L26" i="44"/>
  <c r="L27" i="44"/>
  <c r="R5" i="44"/>
  <c r="R6" i="44"/>
  <c r="R7" i="44"/>
  <c r="R8" i="44"/>
  <c r="R9" i="44"/>
  <c r="R10" i="44"/>
  <c r="R11" i="44"/>
  <c r="R12" i="44"/>
  <c r="R13" i="44"/>
  <c r="R14" i="44"/>
  <c r="R15" i="44"/>
  <c r="R16" i="44"/>
  <c r="R17" i="44"/>
  <c r="R18" i="44"/>
  <c r="R19" i="44"/>
  <c r="R20" i="44"/>
  <c r="R21" i="44"/>
  <c r="R22" i="44"/>
  <c r="R23" i="44"/>
  <c r="R24" i="44"/>
  <c r="R25" i="44"/>
  <c r="R26" i="44"/>
  <c r="R27" i="44"/>
  <c r="R28" i="44"/>
  <c r="R29" i="44"/>
  <c r="AJ34" i="44" l="1"/>
  <c r="AJ37" i="44" s="1"/>
  <c r="AJ39" i="44" s="1"/>
  <c r="AJ38" i="44" l="1"/>
  <c r="O68" i="45" l="1"/>
  <c r="O67" i="45"/>
  <c r="O66" i="45"/>
  <c r="O65" i="45"/>
  <c r="O64" i="45"/>
  <c r="O63" i="45"/>
  <c r="O62" i="45"/>
  <c r="O61" i="45"/>
  <c r="O60" i="45"/>
  <c r="O59" i="45"/>
  <c r="O58" i="45"/>
  <c r="O57" i="45"/>
  <c r="O56" i="45"/>
  <c r="O55" i="45"/>
  <c r="O54" i="45"/>
  <c r="O53" i="45"/>
  <c r="O52" i="45"/>
  <c r="O51" i="45"/>
  <c r="O50" i="45"/>
  <c r="O49" i="45"/>
  <c r="O48" i="45"/>
  <c r="O47" i="45"/>
  <c r="O46" i="45"/>
  <c r="O45" i="45"/>
  <c r="O44" i="45"/>
  <c r="O43" i="45"/>
  <c r="O42" i="45"/>
  <c r="G72" i="45" l="1"/>
  <c r="O72" i="45"/>
  <c r="P72" i="45"/>
  <c r="AZ5" i="44" l="1"/>
  <c r="AZ6" i="44"/>
  <c r="AZ7" i="44"/>
  <c r="AZ8" i="44"/>
  <c r="AZ9" i="44"/>
  <c r="AZ10" i="44"/>
  <c r="AZ11" i="44"/>
  <c r="AZ12" i="44"/>
  <c r="AZ13" i="44"/>
  <c r="AZ14" i="44"/>
  <c r="AZ15" i="44"/>
  <c r="AZ16" i="44"/>
  <c r="AZ17" i="44"/>
  <c r="AZ18" i="44"/>
  <c r="AZ19" i="44"/>
  <c r="AZ20" i="44"/>
  <c r="AZ21" i="44"/>
  <c r="AZ22" i="44"/>
  <c r="AZ23" i="44"/>
  <c r="AZ24" i="44"/>
  <c r="AZ25" i="44"/>
  <c r="AZ26" i="44"/>
  <c r="AZ27" i="44"/>
  <c r="AZ28" i="44"/>
  <c r="AZ29" i="44"/>
  <c r="D33" i="5"/>
  <c r="G3" i="5"/>
  <c r="AM31" i="17" l="1"/>
  <c r="AM32" i="17"/>
  <c r="H6" i="5"/>
  <c r="H10" i="5"/>
  <c r="H14" i="5"/>
  <c r="H18" i="5"/>
  <c r="H22" i="5"/>
  <c r="H26" i="5"/>
  <c r="H30" i="5"/>
  <c r="H3" i="5"/>
  <c r="H9" i="5"/>
  <c r="H17" i="5"/>
  <c r="H25" i="5"/>
  <c r="H29" i="5"/>
  <c r="H7" i="5"/>
  <c r="H11" i="5"/>
  <c r="H15" i="5"/>
  <c r="H19" i="5"/>
  <c r="H23" i="5"/>
  <c r="H27" i="5"/>
  <c r="H31" i="5"/>
  <c r="H5" i="5"/>
  <c r="H13" i="5"/>
  <c r="H21" i="5"/>
  <c r="H4" i="5"/>
  <c r="H8" i="5"/>
  <c r="H12" i="5"/>
  <c r="H16" i="5"/>
  <c r="H20" i="5"/>
  <c r="H24" i="5"/>
  <c r="H28" i="5"/>
  <c r="H32" i="5"/>
  <c r="D37" i="5"/>
  <c r="AW5" i="44"/>
  <c r="AW6" i="44"/>
  <c r="AW7" i="44"/>
  <c r="AW8" i="44"/>
  <c r="AW9" i="44"/>
  <c r="AW10" i="44"/>
  <c r="AW11" i="44"/>
  <c r="AW12" i="44"/>
  <c r="AW13" i="44"/>
  <c r="AW14" i="44"/>
  <c r="AW15" i="44"/>
  <c r="AW16" i="44"/>
  <c r="AW17" i="44"/>
  <c r="AW18" i="44"/>
  <c r="AW19" i="44"/>
  <c r="AW20" i="44"/>
  <c r="AW21" i="44"/>
  <c r="AW22" i="44"/>
  <c r="AW23" i="44"/>
  <c r="AW24" i="44"/>
  <c r="AW25" i="44"/>
  <c r="AW26" i="44"/>
  <c r="AW27" i="44"/>
  <c r="AW28" i="44"/>
  <c r="AW29" i="44"/>
  <c r="AX5" i="44"/>
  <c r="AX6" i="44"/>
  <c r="AX7" i="44"/>
  <c r="AX8" i="44"/>
  <c r="AX9" i="44"/>
  <c r="AX10" i="44"/>
  <c r="AX11" i="44"/>
  <c r="AX12" i="44"/>
  <c r="AX13" i="44"/>
  <c r="AX14" i="44"/>
  <c r="AX15" i="44"/>
  <c r="AX16" i="44"/>
  <c r="AX17" i="44"/>
  <c r="AX18" i="44"/>
  <c r="AX19" i="44"/>
  <c r="AX20" i="44"/>
  <c r="AX21" i="44"/>
  <c r="AX22" i="44"/>
  <c r="AX23" i="44"/>
  <c r="AX24" i="44"/>
  <c r="AX25" i="44"/>
  <c r="AX26" i="44"/>
  <c r="AX27" i="44"/>
  <c r="AX28" i="44"/>
  <c r="AX29" i="44"/>
  <c r="S6" i="44"/>
  <c r="S8" i="44"/>
  <c r="S10" i="44"/>
  <c r="S14" i="44"/>
  <c r="S16" i="44"/>
  <c r="S18" i="44"/>
  <c r="BA18" i="44" s="1"/>
  <c r="S24" i="44"/>
  <c r="S26" i="44"/>
  <c r="S28" i="44"/>
  <c r="S5" i="44"/>
  <c r="S7" i="44"/>
  <c r="S9" i="44"/>
  <c r="S11" i="44"/>
  <c r="S13" i="44"/>
  <c r="BA13" i="44" s="1"/>
  <c r="S15" i="44"/>
  <c r="S17" i="44"/>
  <c r="S19" i="44"/>
  <c r="S21" i="44"/>
  <c r="S23" i="44"/>
  <c r="S25" i="44"/>
  <c r="S27" i="44"/>
  <c r="S29" i="44"/>
  <c r="S12" i="44"/>
  <c r="S20" i="44"/>
  <c r="S22" i="44"/>
  <c r="V34" i="44"/>
  <c r="V37" i="44" s="1"/>
  <c r="AZ4" i="44"/>
  <c r="BA31" i="44" l="1"/>
  <c r="BA30" i="44"/>
  <c r="BA33" i="44"/>
  <c r="BA32" i="44"/>
  <c r="BA25" i="44"/>
  <c r="BA9" i="44"/>
  <c r="BA8" i="44"/>
  <c r="BA23" i="44"/>
  <c r="BA15" i="44"/>
  <c r="BA7" i="44"/>
  <c r="BA28" i="44"/>
  <c r="BA16" i="44"/>
  <c r="BA6" i="44"/>
  <c r="BA20" i="44"/>
  <c r="BA27" i="44"/>
  <c r="BA19" i="44"/>
  <c r="BA11" i="44"/>
  <c r="BA24" i="44"/>
  <c r="BA10" i="44"/>
  <c r="BA12" i="44"/>
  <c r="BA17" i="44"/>
  <c r="BA22" i="44"/>
  <c r="BA29" i="44"/>
  <c r="BA21" i="44"/>
  <c r="BA5" i="44"/>
  <c r="BA26" i="44"/>
  <c r="BA14" i="44"/>
  <c r="AX4" i="44"/>
  <c r="W34" i="44"/>
  <c r="W37" i="44" s="1"/>
  <c r="V39" i="44"/>
  <c r="V38" i="44"/>
  <c r="L238" i="15"/>
  <c r="H238" i="15"/>
  <c r="H221" i="15"/>
  <c r="L221" i="15"/>
  <c r="W39" i="44" l="1"/>
  <c r="E17" i="11"/>
  <c r="E55" i="45" s="1"/>
  <c r="W38" i="44" l="1"/>
  <c r="C55" i="45"/>
  <c r="C54" i="45"/>
  <c r="I41" i="5"/>
  <c r="CN12" i="44"/>
  <c r="L141" i="15" l="1"/>
  <c r="L142" i="15"/>
  <c r="L143" i="15"/>
  <c r="L144" i="15"/>
  <c r="L145" i="15"/>
  <c r="H141" i="15"/>
  <c r="H142" i="15"/>
  <c r="H143" i="15"/>
  <c r="H144" i="15"/>
  <c r="H145" i="15"/>
  <c r="AW4" i="44" l="1"/>
  <c r="L118" i="15"/>
  <c r="L117" i="15"/>
  <c r="L116" i="15"/>
  <c r="L115" i="15"/>
  <c r="L114" i="15"/>
  <c r="H118" i="15"/>
  <c r="H117" i="15"/>
  <c r="H116" i="15"/>
  <c r="H115" i="15"/>
  <c r="H114" i="15"/>
  <c r="C27" i="44" l="1"/>
  <c r="C26" i="44"/>
  <c r="C25" i="44"/>
  <c r="C24" i="44"/>
  <c r="C23" i="44"/>
  <c r="C22" i="44"/>
  <c r="C21" i="44"/>
  <c r="C20" i="44"/>
  <c r="C19" i="44"/>
  <c r="C18" i="44"/>
  <c r="C17" i="44"/>
  <c r="C16" i="44"/>
  <c r="C15" i="44"/>
  <c r="C14" i="44"/>
  <c r="C13" i="44"/>
  <c r="C12" i="44"/>
  <c r="C11" i="44"/>
  <c r="C10" i="44"/>
  <c r="C9" i="44"/>
  <c r="C8" i="44"/>
  <c r="C7" i="44"/>
  <c r="C5" i="44"/>
  <c r="C6" i="44"/>
  <c r="L31" i="15"/>
  <c r="H31" i="15"/>
  <c r="T16" i="13"/>
  <c r="E5" i="44" s="1"/>
  <c r="T17" i="13"/>
  <c r="E6" i="44" s="1"/>
  <c r="T18" i="13"/>
  <c r="E7" i="44" s="1"/>
  <c r="T19" i="13"/>
  <c r="E8" i="44" s="1"/>
  <c r="T20" i="13"/>
  <c r="E9" i="44" s="1"/>
  <c r="T21" i="13"/>
  <c r="E10" i="44" s="1"/>
  <c r="T22" i="13"/>
  <c r="T23" i="13"/>
  <c r="E12" i="44" s="1"/>
  <c r="T24" i="13"/>
  <c r="T25" i="13"/>
  <c r="T26" i="13"/>
  <c r="T27" i="13"/>
  <c r="E16" i="44" s="1"/>
  <c r="T28" i="13"/>
  <c r="E17" i="44" s="1"/>
  <c r="T29" i="13"/>
  <c r="E18" i="44" s="1"/>
  <c r="T30" i="13"/>
  <c r="E19" i="44" s="1"/>
  <c r="T31" i="13"/>
  <c r="E20" i="44" s="1"/>
  <c r="T32" i="13"/>
  <c r="T33" i="13"/>
  <c r="T34" i="13"/>
  <c r="T35" i="13"/>
  <c r="T36" i="13"/>
  <c r="T37" i="13"/>
  <c r="T38" i="13"/>
  <c r="T39" i="13"/>
  <c r="E28" i="44" s="1"/>
  <c r="T40" i="13"/>
  <c r="E29" i="44" s="1"/>
  <c r="T44" i="13"/>
  <c r="E33" i="44" s="1"/>
  <c r="T45" i="13"/>
  <c r="T46" i="13"/>
  <c r="T15" i="13"/>
  <c r="E25" i="44" l="1"/>
  <c r="E21" i="44"/>
  <c r="E27" i="44"/>
  <c r="E23" i="44"/>
  <c r="E24" i="44"/>
  <c r="E26" i="44"/>
  <c r="E22" i="44"/>
  <c r="E15" i="44"/>
  <c r="E14" i="44"/>
  <c r="E13" i="44"/>
  <c r="E11" i="44"/>
  <c r="AL5" i="44"/>
  <c r="AL6" i="44"/>
  <c r="AL7" i="44"/>
  <c r="AL8" i="44"/>
  <c r="AL9" i="44"/>
  <c r="AL10" i="44"/>
  <c r="AL11" i="44"/>
  <c r="AL12" i="44"/>
  <c r="AL13" i="44"/>
  <c r="AL14" i="44"/>
  <c r="AL15" i="44"/>
  <c r="AL16" i="44"/>
  <c r="AL17" i="44"/>
  <c r="AL18" i="44"/>
  <c r="AL19" i="44"/>
  <c r="AL20" i="44"/>
  <c r="AL21" i="44"/>
  <c r="AL22" i="44"/>
  <c r="AL23" i="44"/>
  <c r="AL24" i="44"/>
  <c r="AL25" i="44"/>
  <c r="AL26" i="44"/>
  <c r="AL27" i="44"/>
  <c r="AL28" i="44"/>
  <c r="AL29" i="44"/>
  <c r="G43" i="5" l="1"/>
  <c r="AK4" i="44" l="1"/>
  <c r="E4" i="44" l="1"/>
  <c r="E34" i="44" s="1"/>
  <c r="E37" i="44" s="1"/>
  <c r="S47" i="13"/>
  <c r="E38" i="44" l="1"/>
  <c r="R47" i="13"/>
  <c r="T47" i="13"/>
  <c r="L44" i="5" l="1"/>
  <c r="G44" i="5"/>
  <c r="AL4" i="44"/>
  <c r="AM5" i="17"/>
  <c r="AM6" i="17"/>
  <c r="AM7" i="17"/>
  <c r="AM8" i="17"/>
  <c r="AM9" i="17"/>
  <c r="AM10" i="17"/>
  <c r="AM11" i="17"/>
  <c r="AM12" i="17"/>
  <c r="AM13" i="17"/>
  <c r="AM14" i="17"/>
  <c r="AM15" i="17"/>
  <c r="AM16" i="17"/>
  <c r="AM17" i="17"/>
  <c r="AM18" i="17"/>
  <c r="AM19" i="17"/>
  <c r="AM20" i="17"/>
  <c r="AM21" i="17"/>
  <c r="AM22" i="17"/>
  <c r="AM23" i="17"/>
  <c r="AM24" i="17"/>
  <c r="AM25" i="17"/>
  <c r="AM26" i="17"/>
  <c r="AM27" i="17"/>
  <c r="AM28" i="17"/>
  <c r="AM29" i="17"/>
  <c r="AM30" i="17"/>
  <c r="AM33" i="17"/>
  <c r="AM4" i="17"/>
  <c r="G31" i="44" l="1"/>
  <c r="AQ31" i="44" s="1"/>
  <c r="G33" i="44"/>
  <c r="AQ33" i="44" s="1"/>
  <c r="G32" i="44"/>
  <c r="AQ32" i="44" s="1"/>
  <c r="AL34" i="44"/>
  <c r="AL37" i="44" s="1"/>
  <c r="AL39" i="44" l="1"/>
  <c r="AL38" i="44"/>
  <c r="M448" i="15"/>
  <c r="M447" i="15"/>
  <c r="L425" i="15" l="1"/>
  <c r="L426" i="15"/>
  <c r="L427" i="15"/>
  <c r="L428" i="15"/>
  <c r="L429" i="15"/>
  <c r="H425" i="15"/>
  <c r="H426" i="15"/>
  <c r="H427" i="15"/>
  <c r="H428" i="15"/>
  <c r="H429" i="15"/>
  <c r="E24" i="11" l="1"/>
  <c r="E62" i="45" s="1"/>
  <c r="AV5" i="44"/>
  <c r="AV6" i="44"/>
  <c r="AV7" i="44"/>
  <c r="AV8" i="44"/>
  <c r="AV9" i="44"/>
  <c r="AV10" i="44"/>
  <c r="AV11" i="44"/>
  <c r="AV12" i="44"/>
  <c r="AV13" i="44"/>
  <c r="AV14" i="44"/>
  <c r="AV15" i="44"/>
  <c r="AV16" i="44"/>
  <c r="AV17" i="44"/>
  <c r="AV18" i="44"/>
  <c r="AV19" i="44"/>
  <c r="AV20" i="44"/>
  <c r="AV21" i="44"/>
  <c r="AV22" i="44"/>
  <c r="AV23" i="44"/>
  <c r="AV24" i="44"/>
  <c r="AV25" i="44"/>
  <c r="AV26" i="44"/>
  <c r="AV27" i="44"/>
  <c r="AV28" i="44"/>
  <c r="AV29" i="44"/>
  <c r="AV4" i="44" l="1"/>
  <c r="H34" i="11"/>
  <c r="K34" i="9"/>
  <c r="BE22" i="44" l="1"/>
  <c r="T39" i="44" l="1"/>
  <c r="T38" i="44"/>
  <c r="BO21" i="17"/>
  <c r="CK21" i="17"/>
  <c r="H287" i="15"/>
  <c r="BO20" i="17" l="1"/>
  <c r="C58" i="45" l="1"/>
  <c r="C57" i="45"/>
  <c r="C56" i="45"/>
  <c r="CK19" i="17"/>
  <c r="BO19" i="17"/>
  <c r="L255" i="15"/>
  <c r="M205" i="15" l="1"/>
  <c r="C53" i="45" l="1"/>
  <c r="CN5" i="44"/>
  <c r="CO5" i="44"/>
  <c r="CP5" i="44"/>
  <c r="CQ5" i="44"/>
  <c r="CR5" i="44"/>
  <c r="CT5" i="44"/>
  <c r="CU5" i="44"/>
  <c r="CN6" i="44"/>
  <c r="CO6" i="44"/>
  <c r="CP6" i="44"/>
  <c r="CQ6" i="44"/>
  <c r="CR6" i="44"/>
  <c r="CT6" i="44"/>
  <c r="CU6" i="44"/>
  <c r="CN7" i="44"/>
  <c r="CO7" i="44"/>
  <c r="CP7" i="44"/>
  <c r="CQ7" i="44"/>
  <c r="CR7" i="44"/>
  <c r="CT7" i="44"/>
  <c r="CU7" i="44"/>
  <c r="CN8" i="44"/>
  <c r="CO8" i="44"/>
  <c r="CP8" i="44"/>
  <c r="CQ8" i="44"/>
  <c r="CR8" i="44"/>
  <c r="CT8" i="44"/>
  <c r="CU8" i="44"/>
  <c r="CN9" i="44"/>
  <c r="CO9" i="44"/>
  <c r="CP9" i="44"/>
  <c r="CQ9" i="44"/>
  <c r="CR9" i="44"/>
  <c r="CT9" i="44"/>
  <c r="CU9" i="44"/>
  <c r="CN10" i="44"/>
  <c r="CO10" i="44"/>
  <c r="CP10" i="44"/>
  <c r="CQ10" i="44"/>
  <c r="CR10" i="44"/>
  <c r="CT10" i="44"/>
  <c r="CU10" i="44"/>
  <c r="CN11" i="44"/>
  <c r="CO11" i="44"/>
  <c r="CP11" i="44"/>
  <c r="CQ11" i="44"/>
  <c r="CR11" i="44"/>
  <c r="CT11" i="44"/>
  <c r="CU11" i="44"/>
  <c r="CO12" i="44"/>
  <c r="CP12" i="44"/>
  <c r="CQ12" i="44"/>
  <c r="CR12" i="44"/>
  <c r="CT12" i="44"/>
  <c r="CU12" i="44"/>
  <c r="CN13" i="44"/>
  <c r="CO13" i="44"/>
  <c r="CP13" i="44"/>
  <c r="CQ13" i="44"/>
  <c r="CR13" i="44"/>
  <c r="CT13" i="44"/>
  <c r="CU13" i="44"/>
  <c r="CN14" i="44"/>
  <c r="CO14" i="44"/>
  <c r="CP14" i="44"/>
  <c r="CQ14" i="44"/>
  <c r="CR14" i="44"/>
  <c r="CT14" i="44"/>
  <c r="CU14" i="44"/>
  <c r="CN15" i="44"/>
  <c r="CO15" i="44"/>
  <c r="CP15" i="44"/>
  <c r="CQ15" i="44"/>
  <c r="CR15" i="44"/>
  <c r="CT15" i="44"/>
  <c r="CU15" i="44"/>
  <c r="CN16" i="44"/>
  <c r="CO16" i="44"/>
  <c r="CP16" i="44"/>
  <c r="CQ16" i="44"/>
  <c r="CR16" i="44"/>
  <c r="CT16" i="44"/>
  <c r="CU16" i="44"/>
  <c r="CN17" i="44"/>
  <c r="CO17" i="44"/>
  <c r="CP17" i="44"/>
  <c r="CQ17" i="44"/>
  <c r="CR17" i="44"/>
  <c r="CT17" i="44"/>
  <c r="CU17" i="44"/>
  <c r="CN18" i="44"/>
  <c r="CO18" i="44"/>
  <c r="CP18" i="44"/>
  <c r="CQ18" i="44"/>
  <c r="CR18" i="44"/>
  <c r="CT18" i="44"/>
  <c r="CU18" i="44"/>
  <c r="CN19" i="44"/>
  <c r="CO19" i="44"/>
  <c r="CP19" i="44"/>
  <c r="CQ19" i="44"/>
  <c r="CR19" i="44"/>
  <c r="CT19" i="44"/>
  <c r="CU19" i="44"/>
  <c r="CN20" i="44"/>
  <c r="CO20" i="44"/>
  <c r="CP20" i="44"/>
  <c r="CQ20" i="44"/>
  <c r="CR20" i="44"/>
  <c r="CT20" i="44"/>
  <c r="CU20" i="44"/>
  <c r="CN21" i="44"/>
  <c r="CO21" i="44"/>
  <c r="CP21" i="44"/>
  <c r="CQ21" i="44"/>
  <c r="CR21" i="44"/>
  <c r="CT21" i="44"/>
  <c r="CU21" i="44"/>
  <c r="CN22" i="44"/>
  <c r="CO22" i="44"/>
  <c r="CP22" i="44"/>
  <c r="CQ22" i="44"/>
  <c r="CR22" i="44"/>
  <c r="CT22" i="44"/>
  <c r="CU22" i="44"/>
  <c r="CN23" i="44"/>
  <c r="CO23" i="44"/>
  <c r="CP23" i="44"/>
  <c r="CQ23" i="44"/>
  <c r="CR23" i="44"/>
  <c r="CT23" i="44"/>
  <c r="CU23" i="44"/>
  <c r="CN24" i="44"/>
  <c r="CO24" i="44"/>
  <c r="CP24" i="44"/>
  <c r="CQ24" i="44"/>
  <c r="CR24" i="44"/>
  <c r="CT24" i="44"/>
  <c r="CU24" i="44"/>
  <c r="CN25" i="44"/>
  <c r="CO25" i="44"/>
  <c r="CP25" i="44"/>
  <c r="CQ25" i="44"/>
  <c r="CR25" i="44"/>
  <c r="CT25" i="44"/>
  <c r="CU25" i="44"/>
  <c r="CN26" i="44"/>
  <c r="CO26" i="44"/>
  <c r="CP26" i="44"/>
  <c r="CQ26" i="44"/>
  <c r="CR26" i="44"/>
  <c r="CT26" i="44"/>
  <c r="CU26" i="44"/>
  <c r="CN27" i="44"/>
  <c r="CO27" i="44"/>
  <c r="CP27" i="44"/>
  <c r="CQ27" i="44"/>
  <c r="CR27" i="44"/>
  <c r="CT27" i="44"/>
  <c r="CU27" i="44"/>
  <c r="CN28" i="44"/>
  <c r="CO28" i="44"/>
  <c r="CP28" i="44"/>
  <c r="CQ28" i="44"/>
  <c r="CR28" i="44"/>
  <c r="CT28" i="44"/>
  <c r="CU28" i="44"/>
  <c r="CN29" i="44"/>
  <c r="CO29" i="44"/>
  <c r="CP29" i="44"/>
  <c r="CQ29" i="44"/>
  <c r="CR29" i="44"/>
  <c r="CT29" i="44"/>
  <c r="CU29" i="44"/>
  <c r="CO4" i="44"/>
  <c r="CP4" i="44"/>
  <c r="CQ4" i="44"/>
  <c r="CR4" i="44"/>
  <c r="CT4" i="44"/>
  <c r="CU4" i="44"/>
  <c r="CN4" i="44"/>
  <c r="CJ21" i="44"/>
  <c r="CJ22" i="44"/>
  <c r="CJ23" i="44"/>
  <c r="CJ24" i="44"/>
  <c r="CJ25" i="44"/>
  <c r="CJ26" i="44"/>
  <c r="CJ27" i="44"/>
  <c r="CJ28" i="44"/>
  <c r="CJ29" i="44"/>
  <c r="BR5" i="44"/>
  <c r="BS5" i="44"/>
  <c r="BT5" i="44"/>
  <c r="BU5" i="44"/>
  <c r="BV5" i="44"/>
  <c r="BX5" i="44"/>
  <c r="BY5" i="44"/>
  <c r="BR6" i="44"/>
  <c r="BS6" i="44"/>
  <c r="BT6" i="44"/>
  <c r="BU6" i="44"/>
  <c r="BV6" i="44"/>
  <c r="BX6" i="44"/>
  <c r="BY6" i="44"/>
  <c r="BR7" i="44"/>
  <c r="BS7" i="44"/>
  <c r="BT7" i="44"/>
  <c r="BU7" i="44"/>
  <c r="BV7" i="44"/>
  <c r="BX7" i="44"/>
  <c r="BY7" i="44"/>
  <c r="BR8" i="44"/>
  <c r="BS8" i="44"/>
  <c r="BT8" i="44"/>
  <c r="BU8" i="44"/>
  <c r="BV8" i="44"/>
  <c r="BX8" i="44"/>
  <c r="BY8" i="44"/>
  <c r="BR9" i="44"/>
  <c r="BS9" i="44"/>
  <c r="BT9" i="44"/>
  <c r="BU9" i="44"/>
  <c r="BV9" i="44"/>
  <c r="BX9" i="44"/>
  <c r="BY9" i="44"/>
  <c r="BR10" i="44"/>
  <c r="BS10" i="44"/>
  <c r="BT10" i="44"/>
  <c r="BU10" i="44"/>
  <c r="BV10" i="44"/>
  <c r="BX10" i="44"/>
  <c r="BY10" i="44"/>
  <c r="BR11" i="44"/>
  <c r="BS11" i="44"/>
  <c r="BT11" i="44"/>
  <c r="BU11" i="44"/>
  <c r="BV11" i="44"/>
  <c r="BX11" i="44"/>
  <c r="BY11" i="44"/>
  <c r="BR12" i="44"/>
  <c r="BS12" i="44"/>
  <c r="BT12" i="44"/>
  <c r="BU12" i="44"/>
  <c r="BV12" i="44"/>
  <c r="BX12" i="44"/>
  <c r="BY12" i="44"/>
  <c r="BR13" i="44"/>
  <c r="BS13" i="44"/>
  <c r="BT13" i="44"/>
  <c r="BU13" i="44"/>
  <c r="BV13" i="44"/>
  <c r="BX13" i="44"/>
  <c r="BY13" i="44"/>
  <c r="BR14" i="44"/>
  <c r="BS14" i="44"/>
  <c r="BT14" i="44"/>
  <c r="BU14" i="44"/>
  <c r="BV14" i="44"/>
  <c r="BX14" i="44"/>
  <c r="BY14" i="44"/>
  <c r="BR15" i="44"/>
  <c r="BS15" i="44"/>
  <c r="BT15" i="44"/>
  <c r="BU15" i="44"/>
  <c r="BV15" i="44"/>
  <c r="BX15" i="44"/>
  <c r="BY15" i="44"/>
  <c r="BR16" i="44"/>
  <c r="BS16" i="44"/>
  <c r="BT16" i="44"/>
  <c r="BU16" i="44"/>
  <c r="BV16" i="44"/>
  <c r="BX16" i="44"/>
  <c r="BY16" i="44"/>
  <c r="BR17" i="44"/>
  <c r="BS17" i="44"/>
  <c r="BT17" i="44"/>
  <c r="BU17" i="44"/>
  <c r="BV17" i="44"/>
  <c r="BX17" i="44"/>
  <c r="BY17" i="44"/>
  <c r="BR18" i="44"/>
  <c r="BS18" i="44"/>
  <c r="BT18" i="44"/>
  <c r="BU18" i="44"/>
  <c r="BV18" i="44"/>
  <c r="BX18" i="44"/>
  <c r="BY18" i="44"/>
  <c r="BR19" i="44"/>
  <c r="BS19" i="44"/>
  <c r="BT19" i="44"/>
  <c r="BU19" i="44"/>
  <c r="BV19" i="44"/>
  <c r="BX19" i="44"/>
  <c r="BY19" i="44"/>
  <c r="BR20" i="44"/>
  <c r="BS20" i="44"/>
  <c r="BT20" i="44"/>
  <c r="BU20" i="44"/>
  <c r="BV20" i="44"/>
  <c r="BX20" i="44"/>
  <c r="BY20" i="44"/>
  <c r="BR21" i="44"/>
  <c r="BS21" i="44"/>
  <c r="BT21" i="44"/>
  <c r="BU21" i="44"/>
  <c r="BV21" i="44"/>
  <c r="BX21" i="44"/>
  <c r="BY21" i="44"/>
  <c r="BR22" i="44"/>
  <c r="BS22" i="44"/>
  <c r="BT22" i="44"/>
  <c r="BU22" i="44"/>
  <c r="BV22" i="44"/>
  <c r="BX22" i="44"/>
  <c r="BY22" i="44"/>
  <c r="BR23" i="44"/>
  <c r="BS23" i="44"/>
  <c r="BT23" i="44"/>
  <c r="BU23" i="44"/>
  <c r="BV23" i="44"/>
  <c r="BX23" i="44"/>
  <c r="BY23" i="44"/>
  <c r="BR24" i="44"/>
  <c r="BS24" i="44"/>
  <c r="BT24" i="44"/>
  <c r="BU24" i="44"/>
  <c r="BV24" i="44"/>
  <c r="BX24" i="44"/>
  <c r="BY24" i="44"/>
  <c r="BR25" i="44"/>
  <c r="BS25" i="44"/>
  <c r="BT25" i="44"/>
  <c r="BU25" i="44"/>
  <c r="BV25" i="44"/>
  <c r="BX25" i="44"/>
  <c r="BY25" i="44"/>
  <c r="BR26" i="44"/>
  <c r="BS26" i="44"/>
  <c r="BT26" i="44"/>
  <c r="BU26" i="44"/>
  <c r="BV26" i="44"/>
  <c r="BX26" i="44"/>
  <c r="BY26" i="44"/>
  <c r="BR27" i="44"/>
  <c r="BS27" i="44"/>
  <c r="BT27" i="44"/>
  <c r="BU27" i="44"/>
  <c r="BV27" i="44"/>
  <c r="BX27" i="44"/>
  <c r="BY27" i="44"/>
  <c r="BR28" i="44"/>
  <c r="BS28" i="44"/>
  <c r="BT28" i="44"/>
  <c r="BU28" i="44"/>
  <c r="BV28" i="44"/>
  <c r="BX28" i="44"/>
  <c r="BY28" i="44"/>
  <c r="BR29" i="44"/>
  <c r="BS29" i="44"/>
  <c r="BT29" i="44"/>
  <c r="BU29" i="44"/>
  <c r="BV29" i="44"/>
  <c r="BX29" i="44"/>
  <c r="BY29" i="44"/>
  <c r="BS4" i="44"/>
  <c r="BT4" i="44"/>
  <c r="BU4" i="44"/>
  <c r="BV4" i="44"/>
  <c r="BX4" i="44"/>
  <c r="BY4" i="44"/>
  <c r="BR4" i="44"/>
  <c r="BE5" i="44"/>
  <c r="BE6" i="44"/>
  <c r="BE7" i="44"/>
  <c r="BE8" i="44"/>
  <c r="BE9" i="44"/>
  <c r="BE10" i="44"/>
  <c r="BE11" i="44"/>
  <c r="BE12" i="44"/>
  <c r="BE13" i="44"/>
  <c r="BE14" i="44"/>
  <c r="BE15" i="44"/>
  <c r="BE16" i="44"/>
  <c r="BE17" i="44"/>
  <c r="BE18" i="44"/>
  <c r="BE19" i="44"/>
  <c r="BE20" i="44"/>
  <c r="BE21" i="44"/>
  <c r="BE23" i="44"/>
  <c r="BE24" i="44"/>
  <c r="BE25" i="44"/>
  <c r="BE26" i="44"/>
  <c r="BE27" i="44"/>
  <c r="BE28" i="44"/>
  <c r="BE29" i="44"/>
  <c r="BE4" i="44"/>
  <c r="H93" i="15"/>
  <c r="H94" i="15"/>
  <c r="H95" i="15"/>
  <c r="H96" i="15"/>
  <c r="H97" i="15"/>
  <c r="AE4" i="44" l="1"/>
  <c r="BL4" i="44" s="1"/>
  <c r="AK5" i="44"/>
  <c r="AK6" i="44"/>
  <c r="AK7" i="44"/>
  <c r="AK8" i="44"/>
  <c r="AK9" i="44"/>
  <c r="AK10" i="44"/>
  <c r="AK11" i="44"/>
  <c r="AK12" i="44"/>
  <c r="AK13" i="44"/>
  <c r="AK14" i="44"/>
  <c r="AK15" i="44"/>
  <c r="AK16" i="44"/>
  <c r="AK17" i="44"/>
  <c r="AK18" i="44"/>
  <c r="AK19" i="44"/>
  <c r="AK20" i="44"/>
  <c r="AK21" i="44"/>
  <c r="AK22" i="44"/>
  <c r="AK23" i="44"/>
  <c r="AK24" i="44"/>
  <c r="AK25" i="44"/>
  <c r="AK26" i="44"/>
  <c r="AK27" i="44"/>
  <c r="AK28" i="44"/>
  <c r="AK29" i="44"/>
  <c r="S4" i="44"/>
  <c r="R4" i="44"/>
  <c r="Q5" i="44"/>
  <c r="Q6" i="44" s="1"/>
  <c r="Q7" i="44" s="1"/>
  <c r="Q8" i="44" s="1"/>
  <c r="Q9" i="44" s="1"/>
  <c r="Q10" i="44" s="1"/>
  <c r="Q11" i="44" s="1"/>
  <c r="Q12" i="44" s="1"/>
  <c r="Q13" i="44" s="1"/>
  <c r="Q14" i="44" s="1"/>
  <c r="Q15" i="44" s="1"/>
  <c r="Q16" i="44" s="1"/>
  <c r="Q17" i="44" s="1"/>
  <c r="Q18" i="44" s="1"/>
  <c r="Q19" i="44" s="1"/>
  <c r="Q20" i="44" s="1"/>
  <c r="Q21" i="44" s="1"/>
  <c r="Q22" i="44" s="1"/>
  <c r="Q23" i="44" s="1"/>
  <c r="Q24" i="44" s="1"/>
  <c r="Q25" i="44" s="1"/>
  <c r="Q26" i="44" s="1"/>
  <c r="Q27" i="44" s="1"/>
  <c r="Q28" i="44" s="1"/>
  <c r="Q29" i="44" s="1"/>
  <c r="Q30" i="44" s="1"/>
  <c r="Q31" i="44" s="1"/>
  <c r="Q32" i="44" s="1"/>
  <c r="Q33" i="44" s="1"/>
  <c r="L4" i="44"/>
  <c r="J466" i="15"/>
  <c r="F32" i="14" s="1"/>
  <c r="Z32" i="17" s="1"/>
  <c r="L465" i="15"/>
  <c r="L464" i="15"/>
  <c r="L463" i="15"/>
  <c r="L459" i="15"/>
  <c r="L458" i="15"/>
  <c r="L457" i="15"/>
  <c r="L456" i="15"/>
  <c r="L455" i="15"/>
  <c r="L454" i="15"/>
  <c r="J452" i="15"/>
  <c r="F31" i="14" s="1"/>
  <c r="Z31" i="17" s="1"/>
  <c r="L451" i="15"/>
  <c r="L450" i="15"/>
  <c r="L449" i="15"/>
  <c r="L448" i="15"/>
  <c r="L447" i="15"/>
  <c r="L446" i="15"/>
  <c r="L445" i="15"/>
  <c r="L444" i="15"/>
  <c r="L443" i="15"/>
  <c r="L442" i="15"/>
  <c r="L441" i="15"/>
  <c r="L440" i="15"/>
  <c r="L439" i="15"/>
  <c r="L438" i="15"/>
  <c r="L437" i="15"/>
  <c r="J435" i="15"/>
  <c r="F30" i="14" s="1"/>
  <c r="Z30" i="17" s="1"/>
  <c r="L434" i="15"/>
  <c r="L433" i="15"/>
  <c r="L432" i="15"/>
  <c r="L431" i="15"/>
  <c r="L430" i="15"/>
  <c r="L424" i="15"/>
  <c r="L423" i="15"/>
  <c r="L422" i="15"/>
  <c r="L421" i="15"/>
  <c r="L420" i="15"/>
  <c r="L419" i="15"/>
  <c r="L418" i="15"/>
  <c r="L417" i="15"/>
  <c r="J415" i="15"/>
  <c r="F29" i="14" s="1"/>
  <c r="L414" i="15"/>
  <c r="L413" i="15"/>
  <c r="L412" i="15"/>
  <c r="L411" i="15"/>
  <c r="L410" i="15"/>
  <c r="L409" i="15"/>
  <c r="L408" i="15"/>
  <c r="L407" i="15"/>
  <c r="L406" i="15"/>
  <c r="L405" i="15"/>
  <c r="J403" i="15"/>
  <c r="F28" i="14" s="1"/>
  <c r="L402" i="15"/>
  <c r="L401" i="15"/>
  <c r="L400" i="15"/>
  <c r="L399" i="15"/>
  <c r="L398" i="15"/>
  <c r="L397" i="15"/>
  <c r="L396" i="15"/>
  <c r="L394" i="15"/>
  <c r="L393" i="15"/>
  <c r="L392" i="15"/>
  <c r="L391" i="15"/>
  <c r="L390" i="15"/>
  <c r="J388" i="15"/>
  <c r="F27" i="14" s="1"/>
  <c r="L387" i="15"/>
  <c r="L386" i="15"/>
  <c r="L385" i="15"/>
  <c r="L384" i="15"/>
  <c r="L383" i="15"/>
  <c r="L382" i="15"/>
  <c r="L381" i="15"/>
  <c r="L380" i="15"/>
  <c r="L379" i="15"/>
  <c r="L378" i="15"/>
  <c r="L377" i="15"/>
  <c r="L376" i="15"/>
  <c r="J374" i="15"/>
  <c r="F26" i="14" s="1"/>
  <c r="L373" i="15"/>
  <c r="L372" i="15"/>
  <c r="L371" i="15"/>
  <c r="L370" i="15"/>
  <c r="L369" i="15"/>
  <c r="L368" i="15"/>
  <c r="L367" i="15"/>
  <c r="L366" i="15"/>
  <c r="L365" i="15"/>
  <c r="L364" i="15"/>
  <c r="L363" i="15"/>
  <c r="L362" i="15"/>
  <c r="L361" i="15"/>
  <c r="L360" i="15"/>
  <c r="J358" i="15"/>
  <c r="F25" i="14" s="1"/>
  <c r="L357" i="15"/>
  <c r="L356" i="15"/>
  <c r="L355" i="15"/>
  <c r="L354" i="15"/>
  <c r="L353" i="15"/>
  <c r="L352" i="15"/>
  <c r="L351" i="15"/>
  <c r="L350" i="15"/>
  <c r="L349" i="15"/>
  <c r="L348" i="15"/>
  <c r="L347" i="15"/>
  <c r="L346" i="15"/>
  <c r="L345" i="15"/>
  <c r="J343" i="15"/>
  <c r="F24" i="14" s="1"/>
  <c r="L342" i="15"/>
  <c r="L341" i="15"/>
  <c r="L340" i="15"/>
  <c r="L339" i="15"/>
  <c r="L338" i="15"/>
  <c r="L337" i="15"/>
  <c r="L336" i="15"/>
  <c r="L335" i="15"/>
  <c r="L334" i="15"/>
  <c r="L333" i="15"/>
  <c r="L332" i="15"/>
  <c r="L331" i="15"/>
  <c r="L330" i="15"/>
  <c r="J328" i="15"/>
  <c r="F23" i="14" s="1"/>
  <c r="L327" i="15"/>
  <c r="L326" i="15"/>
  <c r="L325" i="15"/>
  <c r="L324" i="15"/>
  <c r="L323" i="15"/>
  <c r="L322" i="15"/>
  <c r="L321" i="15"/>
  <c r="L320" i="15"/>
  <c r="L319" i="15"/>
  <c r="L318" i="15"/>
  <c r="L317" i="15"/>
  <c r="L316" i="15"/>
  <c r="L315" i="15"/>
  <c r="L314" i="15"/>
  <c r="J312" i="15"/>
  <c r="F22" i="14" s="1"/>
  <c r="L311" i="15"/>
  <c r="L310" i="15"/>
  <c r="L309" i="15"/>
  <c r="L308" i="15"/>
  <c r="L307" i="15"/>
  <c r="L306" i="15"/>
  <c r="L305" i="15"/>
  <c r="L304" i="15"/>
  <c r="L303" i="15"/>
  <c r="L302" i="15"/>
  <c r="L301" i="15"/>
  <c r="L300" i="15"/>
  <c r="L299" i="15"/>
  <c r="L298" i="15"/>
  <c r="L297" i="15"/>
  <c r="L296" i="15"/>
  <c r="L295" i="15"/>
  <c r="J293" i="15"/>
  <c r="F21" i="14" s="1"/>
  <c r="L292" i="15"/>
  <c r="L291" i="15"/>
  <c r="L290" i="15"/>
  <c r="L289" i="15"/>
  <c r="L288" i="15"/>
  <c r="L287" i="15"/>
  <c r="L286" i="15"/>
  <c r="L284" i="15"/>
  <c r="L283" i="15"/>
  <c r="L282" i="15"/>
  <c r="J280" i="15"/>
  <c r="F20" i="14" s="1"/>
  <c r="L279" i="15"/>
  <c r="L278" i="15"/>
  <c r="L277" i="15"/>
  <c r="L276" i="15"/>
  <c r="L275" i="15"/>
  <c r="L274" i="15"/>
  <c r="L273" i="15"/>
  <c r="L272" i="15"/>
  <c r="L271" i="15"/>
  <c r="L270" i="15"/>
  <c r="L269" i="15"/>
  <c r="L268" i="15"/>
  <c r="L267" i="15"/>
  <c r="L266" i="15"/>
  <c r="L265" i="15"/>
  <c r="L264" i="15"/>
  <c r="J262" i="15"/>
  <c r="F19" i="14" s="1"/>
  <c r="L261" i="15"/>
  <c r="L260" i="15"/>
  <c r="L259" i="15"/>
  <c r="L258" i="15"/>
  <c r="L257" i="15"/>
  <c r="L256" i="15"/>
  <c r="L254" i="15"/>
  <c r="L253" i="15"/>
  <c r="L252" i="15"/>
  <c r="L251" i="15"/>
  <c r="L250" i="15"/>
  <c r="J248" i="15"/>
  <c r="F18" i="14" s="1"/>
  <c r="L247" i="15"/>
  <c r="L246" i="15"/>
  <c r="L245" i="15"/>
  <c r="L244" i="15"/>
  <c r="L243" i="15"/>
  <c r="L242" i="15"/>
  <c r="L241" i="15"/>
  <c r="L240" i="15"/>
  <c r="L239" i="15"/>
  <c r="L237" i="15"/>
  <c r="L236" i="15"/>
  <c r="L235" i="15"/>
  <c r="L234" i="15"/>
  <c r="L233" i="15"/>
  <c r="L232" i="15"/>
  <c r="J230" i="15"/>
  <c r="F17" i="14" s="1"/>
  <c r="L229" i="15"/>
  <c r="L228" i="15"/>
  <c r="L227" i="15"/>
  <c r="L226" i="15"/>
  <c r="L225" i="15"/>
  <c r="L224" i="15"/>
  <c r="L223" i="15"/>
  <c r="L222" i="15"/>
  <c r="L220" i="15"/>
  <c r="L219" i="15"/>
  <c r="L218" i="15"/>
  <c r="L217" i="15"/>
  <c r="L216" i="15"/>
  <c r="L215" i="15"/>
  <c r="L214" i="15"/>
  <c r="J212" i="15"/>
  <c r="F16" i="14" s="1"/>
  <c r="L211" i="15"/>
  <c r="L210" i="15"/>
  <c r="L209" i="15"/>
  <c r="L208" i="15"/>
  <c r="L207" i="15"/>
  <c r="L206" i="15"/>
  <c r="L205" i="15"/>
  <c r="L204" i="15"/>
  <c r="L203" i="15"/>
  <c r="L202" i="15"/>
  <c r="L201" i="15"/>
  <c r="J199" i="15"/>
  <c r="F15" i="14" s="1"/>
  <c r="L198" i="15"/>
  <c r="L197" i="15"/>
  <c r="L196" i="15"/>
  <c r="L195" i="15"/>
  <c r="L194" i="15"/>
  <c r="L193" i="15"/>
  <c r="L192" i="15"/>
  <c r="L191" i="15"/>
  <c r="L190" i="15"/>
  <c r="L189" i="15"/>
  <c r="L188" i="15"/>
  <c r="L187" i="15"/>
  <c r="L186" i="15"/>
  <c r="L185" i="15"/>
  <c r="J183" i="15"/>
  <c r="F14" i="14" s="1"/>
  <c r="L182" i="15"/>
  <c r="L181" i="15"/>
  <c r="L180" i="15"/>
  <c r="L179" i="15"/>
  <c r="L178" i="15"/>
  <c r="L177" i="15"/>
  <c r="L175" i="15"/>
  <c r="L174" i="15"/>
  <c r="L173" i="15"/>
  <c r="J171" i="15"/>
  <c r="F13" i="14" s="1"/>
  <c r="L170" i="15"/>
  <c r="L169" i="15"/>
  <c r="L168" i="15"/>
  <c r="L167" i="15"/>
  <c r="L166" i="15"/>
  <c r="L165" i="15"/>
  <c r="L164" i="15"/>
  <c r="L163" i="15"/>
  <c r="L162" i="15"/>
  <c r="L161" i="15"/>
  <c r="L160" i="15"/>
  <c r="L159" i="15"/>
  <c r="L158" i="15"/>
  <c r="L157" i="15"/>
  <c r="L156" i="15"/>
  <c r="L155" i="15"/>
  <c r="J153" i="15"/>
  <c r="F12" i="14" s="1"/>
  <c r="L152" i="15"/>
  <c r="L151" i="15"/>
  <c r="L150" i="15"/>
  <c r="L149" i="15"/>
  <c r="L148" i="15"/>
  <c r="L147" i="15"/>
  <c r="L146" i="15"/>
  <c r="L140" i="15"/>
  <c r="L139" i="15"/>
  <c r="L138" i="15"/>
  <c r="J136" i="15"/>
  <c r="F11" i="14" s="1"/>
  <c r="L135" i="15"/>
  <c r="L134" i="15"/>
  <c r="L133" i="15"/>
  <c r="L132" i="15"/>
  <c r="L130" i="15"/>
  <c r="L129" i="15"/>
  <c r="L128" i="15"/>
  <c r="L127" i="15"/>
  <c r="L126" i="15"/>
  <c r="L125" i="15"/>
  <c r="J123" i="15"/>
  <c r="F10" i="14" s="1"/>
  <c r="L122" i="15"/>
  <c r="L121" i="15"/>
  <c r="L120" i="15"/>
  <c r="L119" i="15"/>
  <c r="L113" i="15"/>
  <c r="L112" i="15"/>
  <c r="L111" i="15"/>
  <c r="L110" i="15"/>
  <c r="L109" i="15"/>
  <c r="J107" i="15"/>
  <c r="F9" i="14" s="1"/>
  <c r="L106" i="15"/>
  <c r="L105" i="15"/>
  <c r="L104" i="15"/>
  <c r="L103" i="15"/>
  <c r="L102" i="15"/>
  <c r="L101" i="15"/>
  <c r="L100" i="15"/>
  <c r="L99" i="15"/>
  <c r="L98" i="15"/>
  <c r="L97" i="15"/>
  <c r="L96" i="15"/>
  <c r="L95" i="15"/>
  <c r="L94" i="15"/>
  <c r="L93" i="15"/>
  <c r="L92" i="15"/>
  <c r="L91" i="15"/>
  <c r="J89" i="15"/>
  <c r="F8" i="14" s="1"/>
  <c r="L88" i="15"/>
  <c r="L87" i="15"/>
  <c r="L86" i="15"/>
  <c r="L85" i="15"/>
  <c r="L84" i="15"/>
  <c r="L83" i="15"/>
  <c r="L82" i="15"/>
  <c r="L81" i="15"/>
  <c r="L80" i="15"/>
  <c r="L79" i="15"/>
  <c r="L78" i="15"/>
  <c r="L77" i="15"/>
  <c r="J75" i="15"/>
  <c r="F7" i="14" s="1"/>
  <c r="L73" i="15"/>
  <c r="L72" i="15"/>
  <c r="L71" i="15"/>
  <c r="L70" i="15"/>
  <c r="L69" i="15"/>
  <c r="L68" i="15"/>
  <c r="L67" i="15"/>
  <c r="L66" i="15"/>
  <c r="L61" i="15"/>
  <c r="L60" i="15"/>
  <c r="L59" i="15"/>
  <c r="J57" i="15"/>
  <c r="F6" i="14" s="1"/>
  <c r="L56" i="15"/>
  <c r="L55" i="15"/>
  <c r="L54" i="15"/>
  <c r="L53" i="15"/>
  <c r="L52" i="15"/>
  <c r="L51" i="15"/>
  <c r="L50" i="15"/>
  <c r="L49" i="15"/>
  <c r="L43" i="15"/>
  <c r="L42" i="15"/>
  <c r="L41" i="15"/>
  <c r="L40" i="15"/>
  <c r="J38" i="15"/>
  <c r="F5" i="14" s="1"/>
  <c r="L37" i="15"/>
  <c r="L36" i="15"/>
  <c r="L35" i="15"/>
  <c r="L34" i="15"/>
  <c r="L33" i="15"/>
  <c r="L32" i="15"/>
  <c r="L30" i="15"/>
  <c r="L29" i="15"/>
  <c r="L28" i="15"/>
  <c r="L27" i="15"/>
  <c r="L26" i="15"/>
  <c r="L25" i="15"/>
  <c r="L24" i="15"/>
  <c r="L23" i="15"/>
  <c r="L22" i="15"/>
  <c r="J20" i="15"/>
  <c r="F4" i="14" s="1"/>
  <c r="H4" i="44" s="1"/>
  <c r="L19" i="15"/>
  <c r="L18" i="15"/>
  <c r="L17" i="15"/>
  <c r="L16" i="15"/>
  <c r="L15" i="15"/>
  <c r="L14" i="15"/>
  <c r="L13" i="15"/>
  <c r="L12" i="15"/>
  <c r="L11" i="15"/>
  <c r="L10" i="15"/>
  <c r="L9" i="15"/>
  <c r="CV29" i="44"/>
  <c r="BZ29" i="44"/>
  <c r="CV28" i="44"/>
  <c r="BZ28" i="44"/>
  <c r="CV27" i="44"/>
  <c r="BZ27" i="44"/>
  <c r="CV26" i="44"/>
  <c r="BZ26" i="44"/>
  <c r="CV25" i="44"/>
  <c r="BZ25" i="44"/>
  <c r="CV24" i="44"/>
  <c r="BZ24" i="44"/>
  <c r="CV23" i="44"/>
  <c r="BZ23" i="44"/>
  <c r="CV22" i="44"/>
  <c r="BZ22" i="44"/>
  <c r="CV21" i="44"/>
  <c r="BZ21" i="44"/>
  <c r="CV20" i="44"/>
  <c r="BZ20" i="44"/>
  <c r="CV19" i="44"/>
  <c r="BZ19" i="44"/>
  <c r="CV18" i="44"/>
  <c r="BZ18" i="44"/>
  <c r="CV17" i="44"/>
  <c r="BZ17" i="44"/>
  <c r="BF17" i="44"/>
  <c r="CV16" i="44"/>
  <c r="BZ16" i="44"/>
  <c r="CV15" i="44"/>
  <c r="BZ15" i="44"/>
  <c r="CV14" i="44"/>
  <c r="BZ14" i="44"/>
  <c r="CV13" i="44"/>
  <c r="BZ13" i="44"/>
  <c r="CV12" i="44"/>
  <c r="BZ12" i="44"/>
  <c r="CV11" i="44"/>
  <c r="BZ11" i="44"/>
  <c r="CV10" i="44"/>
  <c r="BZ10" i="44"/>
  <c r="CV9" i="44"/>
  <c r="BZ9" i="44"/>
  <c r="CV8" i="44"/>
  <c r="BZ8" i="44"/>
  <c r="CV7" i="44"/>
  <c r="BZ7" i="44"/>
  <c r="CV6" i="44"/>
  <c r="BZ6" i="44"/>
  <c r="CV5" i="44"/>
  <c r="BZ5" i="44"/>
  <c r="B5" i="44"/>
  <c r="B6" i="44" s="1"/>
  <c r="B7" i="44" s="1"/>
  <c r="B8" i="44" s="1"/>
  <c r="B9" i="44" s="1"/>
  <c r="B10" i="44" s="1"/>
  <c r="B11" i="44" s="1"/>
  <c r="B12" i="44" s="1"/>
  <c r="B13" i="44" s="1"/>
  <c r="B14" i="44" s="1"/>
  <c r="B15" i="44" s="1"/>
  <c r="B16" i="44" s="1"/>
  <c r="B17" i="44" s="1"/>
  <c r="B18" i="44" s="1"/>
  <c r="B19" i="44" s="1"/>
  <c r="B20" i="44" s="1"/>
  <c r="B21" i="44" s="1"/>
  <c r="B22" i="44" s="1"/>
  <c r="B23" i="44" s="1"/>
  <c r="B24" i="44" s="1"/>
  <c r="B25" i="44" s="1"/>
  <c r="B26" i="44" s="1"/>
  <c r="B27" i="44" s="1"/>
  <c r="B28" i="44" s="1"/>
  <c r="B29" i="44" s="1"/>
  <c r="B30" i="44" s="1"/>
  <c r="B31" i="44" s="1"/>
  <c r="B32" i="44" s="1"/>
  <c r="B33" i="44" s="1"/>
  <c r="CV4" i="44"/>
  <c r="BZ4" i="44"/>
  <c r="H6" i="44" l="1"/>
  <c r="Z6" i="17"/>
  <c r="H7" i="44"/>
  <c r="Z7" i="17"/>
  <c r="H10" i="44"/>
  <c r="Z10" i="17"/>
  <c r="H15" i="44"/>
  <c r="Z15" i="17"/>
  <c r="H16" i="44"/>
  <c r="Z16" i="17"/>
  <c r="H17" i="44"/>
  <c r="Z17" i="17"/>
  <c r="H18" i="44"/>
  <c r="Z18" i="17"/>
  <c r="H19" i="44"/>
  <c r="Z19" i="17"/>
  <c r="H26" i="44"/>
  <c r="Z26" i="17"/>
  <c r="H8" i="44"/>
  <c r="Z8" i="17"/>
  <c r="H20" i="44"/>
  <c r="Z20" i="17"/>
  <c r="H23" i="44"/>
  <c r="Z23" i="17"/>
  <c r="H25" i="44"/>
  <c r="Z25" i="17"/>
  <c r="H12" i="44"/>
  <c r="Z12" i="17"/>
  <c r="H22" i="44"/>
  <c r="Z22" i="17"/>
  <c r="H5" i="44"/>
  <c r="Z5" i="17"/>
  <c r="H11" i="44"/>
  <c r="Z11" i="17"/>
  <c r="H13" i="44"/>
  <c r="Z13" i="17"/>
  <c r="H24" i="44"/>
  <c r="Z24" i="17"/>
  <c r="H29" i="44"/>
  <c r="Z29" i="17"/>
  <c r="H28" i="44"/>
  <c r="Z28" i="17"/>
  <c r="H27" i="44"/>
  <c r="Z27" i="17"/>
  <c r="H21" i="44"/>
  <c r="Z21" i="17"/>
  <c r="H14" i="44"/>
  <c r="Z14" i="17"/>
  <c r="H9" i="44"/>
  <c r="Z9" i="17"/>
  <c r="I33" i="44"/>
  <c r="AR33" i="44" s="1"/>
  <c r="G33" i="14"/>
  <c r="H32" i="44"/>
  <c r="H30" i="44"/>
  <c r="H31" i="44"/>
  <c r="AR31" i="44" s="1"/>
  <c r="G31" i="14"/>
  <c r="BA4" i="44"/>
  <c r="L452" i="15"/>
  <c r="K452" i="15" s="1"/>
  <c r="L38" i="15"/>
  <c r="K38" i="15" s="1"/>
  <c r="L466" i="15"/>
  <c r="L388" i="15"/>
  <c r="K388" i="15" s="1"/>
  <c r="L358" i="15"/>
  <c r="K358" i="15" s="1"/>
  <c r="AO4" i="44"/>
  <c r="AO5" i="44" s="1"/>
  <c r="AO6" i="44" s="1"/>
  <c r="AO7" i="44" s="1"/>
  <c r="AO8" i="44" s="1"/>
  <c r="AO9" i="44" s="1"/>
  <c r="AO10" i="44" s="1"/>
  <c r="AO11" i="44" s="1"/>
  <c r="AO12" i="44" s="1"/>
  <c r="AO13" i="44" s="1"/>
  <c r="AO14" i="44" s="1"/>
  <c r="AO15" i="44" s="1"/>
  <c r="AO16" i="44" s="1"/>
  <c r="AO17" i="44" s="1"/>
  <c r="AO18" i="44" s="1"/>
  <c r="AO19" i="44" s="1"/>
  <c r="AO20" i="44" s="1"/>
  <c r="AO21" i="44" s="1"/>
  <c r="AO22" i="44" s="1"/>
  <c r="AO23" i="44" s="1"/>
  <c r="AO24" i="44" s="1"/>
  <c r="AO25" i="44" s="1"/>
  <c r="AO26" i="44" s="1"/>
  <c r="AO27" i="44" s="1"/>
  <c r="AO28" i="44" s="1"/>
  <c r="AO29" i="44" s="1"/>
  <c r="AO30" i="44" s="1"/>
  <c r="AO31" i="44" s="1"/>
  <c r="AO32" i="44" s="1"/>
  <c r="AO33" i="44" s="1"/>
  <c r="L328" i="15"/>
  <c r="K328" i="15" s="1"/>
  <c r="L171" i="15"/>
  <c r="K171" i="15" s="1"/>
  <c r="L123" i="15"/>
  <c r="H10" i="14" s="1"/>
  <c r="L293" i="15"/>
  <c r="K293" i="15" s="1"/>
  <c r="L312" i="15"/>
  <c r="L343" i="15"/>
  <c r="L403" i="15"/>
  <c r="L107" i="15"/>
  <c r="K107" i="15" s="1"/>
  <c r="L415" i="15"/>
  <c r="L435" i="15"/>
  <c r="L57" i="15"/>
  <c r="L262" i="15"/>
  <c r="K262" i="15" s="1"/>
  <c r="L374" i="15"/>
  <c r="L280" i="15"/>
  <c r="L248" i="15"/>
  <c r="L230" i="15"/>
  <c r="K230" i="15" s="1"/>
  <c r="L212" i="15"/>
  <c r="L199" i="15"/>
  <c r="L183" i="15"/>
  <c r="L153" i="15"/>
  <c r="L136" i="15"/>
  <c r="AE5" i="44"/>
  <c r="AE6" i="44" s="1"/>
  <c r="AE7" i="44" s="1"/>
  <c r="AE8" i="44" s="1"/>
  <c r="AE9" i="44" s="1"/>
  <c r="AE10" i="44" s="1"/>
  <c r="AE11" i="44" s="1"/>
  <c r="AE12" i="44" s="1"/>
  <c r="AE13" i="44" s="1"/>
  <c r="AE14" i="44" s="1"/>
  <c r="AE15" i="44" s="1"/>
  <c r="AE16" i="44" s="1"/>
  <c r="AE17" i="44" s="1"/>
  <c r="AE18" i="44" s="1"/>
  <c r="AE19" i="44" s="1"/>
  <c r="AE20" i="44" s="1"/>
  <c r="AE21" i="44" s="1"/>
  <c r="AE22" i="44" s="1"/>
  <c r="AE23" i="44" s="1"/>
  <c r="AE24" i="44" s="1"/>
  <c r="AE25" i="44" s="1"/>
  <c r="AE26" i="44" s="1"/>
  <c r="AE27" i="44" s="1"/>
  <c r="AE28" i="44" s="1"/>
  <c r="AE29" i="44" s="1"/>
  <c r="AE30" i="44" s="1"/>
  <c r="AE31" i="44" s="1"/>
  <c r="AE32" i="44" s="1"/>
  <c r="AE33" i="44" s="1"/>
  <c r="L34" i="44"/>
  <c r="L37" i="44" s="1"/>
  <c r="S34" i="44"/>
  <c r="S37" i="44" s="1"/>
  <c r="L89" i="15"/>
  <c r="L75" i="15"/>
  <c r="L20" i="15"/>
  <c r="U34" i="44"/>
  <c r="U37" i="44" s="1"/>
  <c r="AK34" i="44"/>
  <c r="AK37" i="44" s="1"/>
  <c r="R34" i="44"/>
  <c r="R37" i="44" s="1"/>
  <c r="K466" i="15" l="1"/>
  <c r="H32" i="14"/>
  <c r="H34" i="44"/>
  <c r="L38" i="44"/>
  <c r="AK39" i="44"/>
  <c r="AK38" i="44"/>
  <c r="R39" i="44"/>
  <c r="R38" i="44"/>
  <c r="U39" i="44"/>
  <c r="U38" i="44"/>
  <c r="S39" i="44"/>
  <c r="S38" i="44"/>
  <c r="G10" i="14"/>
  <c r="I10" i="44"/>
  <c r="H25" i="14"/>
  <c r="I25" i="44" s="1"/>
  <c r="H13" i="14"/>
  <c r="H23" i="14"/>
  <c r="I23" i="44" s="1"/>
  <c r="H5" i="14"/>
  <c r="H9" i="14"/>
  <c r="H21" i="14"/>
  <c r="I21" i="44" s="1"/>
  <c r="K123" i="15"/>
  <c r="H27" i="14"/>
  <c r="I27" i="44" s="1"/>
  <c r="K374" i="15"/>
  <c r="H26" i="14"/>
  <c r="I26" i="44" s="1"/>
  <c r="K403" i="15"/>
  <c r="H28" i="14"/>
  <c r="I28" i="44" s="1"/>
  <c r="K75" i="15"/>
  <c r="H7" i="14"/>
  <c r="K435" i="15"/>
  <c r="H30" i="14"/>
  <c r="K343" i="15"/>
  <c r="H24" i="14"/>
  <c r="I24" i="44" s="1"/>
  <c r="K89" i="15"/>
  <c r="H8" i="14"/>
  <c r="H19" i="14"/>
  <c r="K415" i="15"/>
  <c r="H29" i="14"/>
  <c r="I29" i="44" s="1"/>
  <c r="K312" i="15"/>
  <c r="H22" i="14"/>
  <c r="I22" i="44" s="1"/>
  <c r="K20" i="15"/>
  <c r="H4" i="14"/>
  <c r="K57" i="15"/>
  <c r="H6" i="14"/>
  <c r="H17" i="14"/>
  <c r="K280" i="15"/>
  <c r="H20" i="14"/>
  <c r="I20" i="44" s="1"/>
  <c r="K248" i="15"/>
  <c r="H18" i="14"/>
  <c r="K212" i="15"/>
  <c r="H16" i="14"/>
  <c r="K199" i="15"/>
  <c r="H15" i="14"/>
  <c r="K183" i="15"/>
  <c r="H14" i="14"/>
  <c r="K153" i="15"/>
  <c r="H12" i="14"/>
  <c r="K136" i="15"/>
  <c r="H11" i="14"/>
  <c r="BQ4" i="44"/>
  <c r="BL5" i="44"/>
  <c r="BL6" i="44" s="1"/>
  <c r="BL7" i="44" s="1"/>
  <c r="BL8" i="44" s="1"/>
  <c r="BL9" i="44" s="1"/>
  <c r="BL10" i="44" s="1"/>
  <c r="BL11" i="44" s="1"/>
  <c r="BL12" i="44" s="1"/>
  <c r="BL13" i="44" s="1"/>
  <c r="BL14" i="44" s="1"/>
  <c r="BL15" i="44" s="1"/>
  <c r="BL16" i="44" s="1"/>
  <c r="BL17" i="44" s="1"/>
  <c r="BL18" i="44" s="1"/>
  <c r="BL19" i="44" s="1"/>
  <c r="BL20" i="44" s="1"/>
  <c r="BL21" i="44" s="1"/>
  <c r="BL22" i="44" s="1"/>
  <c r="BL23" i="44" s="1"/>
  <c r="BL24" i="44" s="1"/>
  <c r="BL25" i="44" s="1"/>
  <c r="BL26" i="44" s="1"/>
  <c r="BL27" i="44" s="1"/>
  <c r="BL28" i="44" s="1"/>
  <c r="BL29" i="44" s="1"/>
  <c r="BL30" i="44" s="1"/>
  <c r="BL31" i="44" s="1"/>
  <c r="BL32" i="44" s="1"/>
  <c r="BL33" i="44" s="1"/>
  <c r="H37" i="44" l="1"/>
  <c r="H38" i="44" s="1"/>
  <c r="G32" i="14"/>
  <c r="I32" i="44"/>
  <c r="AR32" i="44" s="1"/>
  <c r="I30" i="44"/>
  <c r="AR30" i="44" s="1"/>
  <c r="G12" i="14"/>
  <c r="I12" i="44"/>
  <c r="G15" i="14"/>
  <c r="I15" i="44"/>
  <c r="G18" i="14"/>
  <c r="I18" i="44"/>
  <c r="G17" i="14"/>
  <c r="I17" i="44"/>
  <c r="G7" i="14"/>
  <c r="I7" i="44"/>
  <c r="AR7" i="44" s="1"/>
  <c r="G13" i="14"/>
  <c r="I13" i="44"/>
  <c r="G6" i="14"/>
  <c r="I6" i="44"/>
  <c r="AR6" i="44" s="1"/>
  <c r="G19" i="14"/>
  <c r="I19" i="44"/>
  <c r="G9" i="14"/>
  <c r="I9" i="44"/>
  <c r="G11" i="14"/>
  <c r="I11" i="44"/>
  <c r="G16" i="14"/>
  <c r="I16" i="44"/>
  <c r="G8" i="14"/>
  <c r="I8" i="44"/>
  <c r="AR8" i="44" s="1"/>
  <c r="G5" i="14"/>
  <c r="I5" i="44"/>
  <c r="AR5" i="44" s="1"/>
  <c r="AR10" i="44"/>
  <c r="G14" i="14"/>
  <c r="I14" i="44"/>
  <c r="G4" i="14"/>
  <c r="I4" i="44"/>
  <c r="AR4" i="44" s="1"/>
  <c r="G29" i="14"/>
  <c r="AR29" i="44"/>
  <c r="G25" i="14"/>
  <c r="AR25" i="44"/>
  <c r="G28" i="14"/>
  <c r="AR28" i="44"/>
  <c r="G24" i="14"/>
  <c r="AR24" i="44"/>
  <c r="G26" i="14"/>
  <c r="AR26" i="44"/>
  <c r="G23" i="14"/>
  <c r="AR23" i="44"/>
  <c r="G30" i="14"/>
  <c r="G27" i="14"/>
  <c r="AR27" i="44"/>
  <c r="G20" i="14"/>
  <c r="AR20" i="44"/>
  <c r="G22" i="14"/>
  <c r="AR22" i="44"/>
  <c r="G21" i="14"/>
  <c r="AR21" i="44"/>
  <c r="BQ5" i="44"/>
  <c r="BQ6" i="44" s="1"/>
  <c r="BQ7" i="44" s="1"/>
  <c r="BQ8" i="44" s="1"/>
  <c r="BQ9" i="44" s="1"/>
  <c r="BQ10" i="44" s="1"/>
  <c r="BQ11" i="44" s="1"/>
  <c r="BQ12" i="44" s="1"/>
  <c r="BQ13" i="44" s="1"/>
  <c r="BQ14" i="44" s="1"/>
  <c r="BQ15" i="44" s="1"/>
  <c r="BQ16" i="44" s="1"/>
  <c r="BQ17" i="44" s="1"/>
  <c r="BQ18" i="44" s="1"/>
  <c r="BQ19" i="44" s="1"/>
  <c r="BQ20" i="44" s="1"/>
  <c r="BQ21" i="44" s="1"/>
  <c r="BQ22" i="44" s="1"/>
  <c r="BQ23" i="44" s="1"/>
  <c r="BQ24" i="44" s="1"/>
  <c r="BQ25" i="44" s="1"/>
  <c r="BQ26" i="44" s="1"/>
  <c r="BQ27" i="44" s="1"/>
  <c r="BQ28" i="44" s="1"/>
  <c r="BQ29" i="44" s="1"/>
  <c r="BQ30" i="44" s="1"/>
  <c r="BQ31" i="44" s="1"/>
  <c r="BQ32" i="44" s="1"/>
  <c r="BQ33" i="44" s="1"/>
  <c r="CB4" i="44"/>
  <c r="H67" i="15"/>
  <c r="H68" i="15"/>
  <c r="H69" i="15"/>
  <c r="H70" i="15"/>
  <c r="AR11" i="44" l="1"/>
  <c r="AR9" i="44"/>
  <c r="AR17" i="44"/>
  <c r="AR15" i="44"/>
  <c r="AR13" i="44"/>
  <c r="AR14" i="44"/>
  <c r="AR16" i="44"/>
  <c r="AR19" i="44"/>
  <c r="AR18" i="44"/>
  <c r="AR12" i="44"/>
  <c r="I34" i="44"/>
  <c r="I37" i="44" s="1"/>
  <c r="CB5" i="44"/>
  <c r="CB6" i="44" s="1"/>
  <c r="CB7" i="44" s="1"/>
  <c r="CB8" i="44" s="1"/>
  <c r="CB9" i="44" s="1"/>
  <c r="CB10" i="44" s="1"/>
  <c r="CB11" i="44" s="1"/>
  <c r="CB12" i="44" s="1"/>
  <c r="CB13" i="44" s="1"/>
  <c r="CB14" i="44" s="1"/>
  <c r="CB15" i="44" s="1"/>
  <c r="CB16" i="44" s="1"/>
  <c r="CB17" i="44" s="1"/>
  <c r="CB18" i="44" s="1"/>
  <c r="CB19" i="44" s="1"/>
  <c r="CB20" i="44" s="1"/>
  <c r="CB21" i="44" s="1"/>
  <c r="CB22" i="44" s="1"/>
  <c r="CB23" i="44" s="1"/>
  <c r="CB24" i="44" s="1"/>
  <c r="CB25" i="44" s="1"/>
  <c r="CB26" i="44" s="1"/>
  <c r="CB27" i="44" s="1"/>
  <c r="CB28" i="44" s="1"/>
  <c r="CB29" i="44" s="1"/>
  <c r="CB30" i="44" s="1"/>
  <c r="CB31" i="44" s="1"/>
  <c r="CB32" i="44" s="1"/>
  <c r="CB33" i="44" s="1"/>
  <c r="CM4" i="44"/>
  <c r="CM5" i="44" s="1"/>
  <c r="CM6" i="44" s="1"/>
  <c r="CM7" i="44" s="1"/>
  <c r="CM8" i="44" s="1"/>
  <c r="CM9" i="44" s="1"/>
  <c r="CM10" i="44" s="1"/>
  <c r="CM11" i="44" s="1"/>
  <c r="CM12" i="44" s="1"/>
  <c r="CM13" i="44" s="1"/>
  <c r="CM14" i="44" s="1"/>
  <c r="CM15" i="44" s="1"/>
  <c r="CM16" i="44" s="1"/>
  <c r="CM17" i="44" s="1"/>
  <c r="CM18" i="44" s="1"/>
  <c r="CM19" i="44" s="1"/>
  <c r="CM20" i="44" s="1"/>
  <c r="CM21" i="44" s="1"/>
  <c r="CM22" i="44" s="1"/>
  <c r="CM23" i="44" s="1"/>
  <c r="CM24" i="44" s="1"/>
  <c r="CM25" i="44" s="1"/>
  <c r="CM26" i="44" s="1"/>
  <c r="CM27" i="44" s="1"/>
  <c r="CM28" i="44" s="1"/>
  <c r="CM29" i="44" s="1"/>
  <c r="CM30" i="44" s="1"/>
  <c r="CM31" i="44" s="1"/>
  <c r="CM32" i="44" s="1"/>
  <c r="CM33" i="44" s="1"/>
  <c r="I38" i="44" l="1"/>
  <c r="BG32" i="43"/>
  <c r="H26" i="15" l="1"/>
  <c r="H27" i="15"/>
  <c r="H28" i="15"/>
  <c r="H29" i="15"/>
  <c r="H30" i="15"/>
  <c r="G14" i="5" l="1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F4" i="17" l="1"/>
  <c r="E4" i="17"/>
  <c r="D4" i="17"/>
  <c r="C4" i="17"/>
  <c r="AE5" i="43"/>
  <c r="AE6" i="43"/>
  <c r="AE7" i="43"/>
  <c r="AE8" i="43"/>
  <c r="AE9" i="43"/>
  <c r="AE10" i="43"/>
  <c r="AE11" i="43"/>
  <c r="AE12" i="43"/>
  <c r="AE13" i="43"/>
  <c r="AE14" i="43"/>
  <c r="AE15" i="43"/>
  <c r="AE16" i="43"/>
  <c r="AE17" i="43"/>
  <c r="AE18" i="43"/>
  <c r="AE19" i="43"/>
  <c r="AE20" i="43"/>
  <c r="AE21" i="43"/>
  <c r="AE22" i="43"/>
  <c r="AE23" i="43"/>
  <c r="AE24" i="43"/>
  <c r="AE25" i="43"/>
  <c r="AE26" i="43"/>
  <c r="AE27" i="43"/>
  <c r="AE28" i="43"/>
  <c r="AE29" i="43"/>
  <c r="AE30" i="43"/>
  <c r="AE31" i="43"/>
  <c r="AE32" i="43"/>
  <c r="AE4" i="43"/>
  <c r="AE3" i="17"/>
  <c r="AE3" i="43" s="1"/>
  <c r="AE34" i="17" l="1"/>
  <c r="AE33" i="43" s="1"/>
  <c r="E5" i="13" l="1"/>
  <c r="H43" i="45" s="1"/>
  <c r="E6" i="13"/>
  <c r="H44" i="45" s="1"/>
  <c r="E7" i="13"/>
  <c r="H45" i="45" s="1"/>
  <c r="E8" i="13"/>
  <c r="H46" i="45" s="1"/>
  <c r="E9" i="13"/>
  <c r="H47" i="45" s="1"/>
  <c r="E10" i="13"/>
  <c r="H48" i="45" s="1"/>
  <c r="E11" i="13"/>
  <c r="H49" i="45" s="1"/>
  <c r="E12" i="13"/>
  <c r="H50" i="45" s="1"/>
  <c r="E13" i="13"/>
  <c r="H51" i="45" s="1"/>
  <c r="E14" i="13"/>
  <c r="H52" i="45" s="1"/>
  <c r="E15" i="13"/>
  <c r="H53" i="45" s="1"/>
  <c r="E16" i="13"/>
  <c r="H54" i="45" s="1"/>
  <c r="E17" i="13"/>
  <c r="H55" i="45" s="1"/>
  <c r="E18" i="13"/>
  <c r="H56" i="45" s="1"/>
  <c r="E19" i="13"/>
  <c r="H57" i="45" s="1"/>
  <c r="E20" i="13"/>
  <c r="H58" i="45" s="1"/>
  <c r="E21" i="13"/>
  <c r="H59" i="45" s="1"/>
  <c r="E22" i="13"/>
  <c r="H60" i="45" s="1"/>
  <c r="E23" i="13"/>
  <c r="H61" i="45" s="1"/>
  <c r="E24" i="13"/>
  <c r="H62" i="45" s="1"/>
  <c r="E25" i="13"/>
  <c r="H63" i="45" s="1"/>
  <c r="E26" i="13"/>
  <c r="H64" i="45" s="1"/>
  <c r="E27" i="13"/>
  <c r="H65" i="45" s="1"/>
  <c r="E28" i="13"/>
  <c r="H66" i="45" s="1"/>
  <c r="E29" i="13"/>
  <c r="H67" i="45" s="1"/>
  <c r="E30" i="13"/>
  <c r="H68" i="45" s="1"/>
  <c r="C5" i="21" l="1"/>
  <c r="B5" i="21"/>
  <c r="H464" i="15" l="1"/>
  <c r="H443" i="15" l="1"/>
  <c r="H424" i="15" l="1"/>
  <c r="H411" i="15" l="1"/>
  <c r="H393" i="15" l="1"/>
  <c r="H394" i="15"/>
  <c r="H396" i="15"/>
  <c r="H397" i="15"/>
  <c r="H398" i="15"/>
  <c r="H387" i="15" l="1"/>
  <c r="J34" i="13" l="1"/>
  <c r="K34" i="10"/>
  <c r="L34" i="10"/>
  <c r="H371" i="15" l="1"/>
  <c r="H363" i="15"/>
  <c r="H364" i="15"/>
  <c r="H365" i="15"/>
  <c r="H366" i="15"/>
  <c r="H367" i="15"/>
  <c r="H368" i="15"/>
  <c r="H369" i="15"/>
  <c r="H354" i="15" l="1"/>
  <c r="H340" i="15" l="1"/>
  <c r="H322" i="15"/>
  <c r="H317" i="15"/>
  <c r="H318" i="15"/>
  <c r="H319" i="15"/>
  <c r="H320" i="15"/>
  <c r="H321" i="15"/>
  <c r="H310" i="15" l="1"/>
  <c r="H298" i="15"/>
  <c r="H299" i="15"/>
  <c r="H300" i="15"/>
  <c r="H301" i="15"/>
  <c r="H302" i="15"/>
  <c r="H303" i="15"/>
  <c r="H304" i="15"/>
  <c r="H286" i="15" l="1"/>
  <c r="H288" i="15"/>
  <c r="H274" i="15" l="1"/>
  <c r="H273" i="15"/>
  <c r="H267" i="15"/>
  <c r="H268" i="15"/>
  <c r="H269" i="15"/>
  <c r="H270" i="15"/>
  <c r="H271" i="15"/>
  <c r="H272" i="15"/>
  <c r="H275" i="15"/>
  <c r="H256" i="15" l="1"/>
  <c r="H255" i="15"/>
  <c r="H254" i="15"/>
  <c r="H253" i="15"/>
  <c r="H240" i="15" l="1"/>
  <c r="H223" i="15" l="1"/>
  <c r="H187" i="15" l="1"/>
  <c r="H188" i="15"/>
  <c r="H189" i="15"/>
  <c r="H190" i="15"/>
  <c r="H191" i="15"/>
  <c r="H192" i="15"/>
  <c r="H157" i="15" l="1"/>
  <c r="H158" i="15"/>
  <c r="H159" i="15"/>
  <c r="H160" i="15"/>
  <c r="H161" i="15"/>
  <c r="H162" i="15"/>
  <c r="H98" i="15" l="1"/>
  <c r="H99" i="15"/>
  <c r="H79" i="15" l="1"/>
  <c r="H80" i="15"/>
  <c r="H81" i="15"/>
  <c r="H82" i="15"/>
  <c r="H83" i="15"/>
  <c r="H84" i="15"/>
  <c r="R7" i="13" l="1"/>
  <c r="R6" i="13"/>
  <c r="BO6" i="17" l="1"/>
  <c r="BO5" i="17" l="1"/>
  <c r="BZ4" i="15" l="1"/>
  <c r="CK4" i="17"/>
  <c r="BF4" i="15"/>
  <c r="BO4" i="17"/>
  <c r="AQ4" i="17" l="1"/>
  <c r="BC4" i="44" s="1"/>
  <c r="F68" i="21"/>
  <c r="E68" i="21"/>
  <c r="G68" i="21" s="1"/>
  <c r="F67" i="21"/>
  <c r="G67" i="21" s="1"/>
  <c r="E67" i="21"/>
  <c r="F66" i="21"/>
  <c r="E66" i="21"/>
  <c r="F65" i="21"/>
  <c r="E65" i="21"/>
  <c r="F64" i="21"/>
  <c r="E64" i="21"/>
  <c r="F63" i="21"/>
  <c r="E63" i="21"/>
  <c r="F62" i="21"/>
  <c r="E62" i="21"/>
  <c r="F61" i="21"/>
  <c r="E61" i="21"/>
  <c r="F60" i="21"/>
  <c r="E60" i="21"/>
  <c r="F59" i="21"/>
  <c r="E59" i="21"/>
  <c r="F58" i="21"/>
  <c r="E58" i="21"/>
  <c r="F57" i="21"/>
  <c r="E57" i="21"/>
  <c r="F54" i="21"/>
  <c r="E54" i="21"/>
  <c r="F53" i="21"/>
  <c r="E53" i="21"/>
  <c r="F52" i="21"/>
  <c r="E52" i="21"/>
  <c r="F51" i="21"/>
  <c r="E51" i="21"/>
  <c r="F50" i="21"/>
  <c r="E50" i="21"/>
  <c r="F49" i="21"/>
  <c r="E49" i="21"/>
  <c r="F48" i="21"/>
  <c r="E48" i="21"/>
  <c r="F47" i="21"/>
  <c r="E47" i="21"/>
  <c r="F46" i="21"/>
  <c r="E46" i="21"/>
  <c r="F45" i="21"/>
  <c r="E45" i="21"/>
  <c r="F44" i="21"/>
  <c r="E44" i="21"/>
  <c r="F43" i="21"/>
  <c r="E43" i="21"/>
  <c r="D40" i="21"/>
  <c r="H38" i="21" s="1"/>
  <c r="D36" i="21"/>
  <c r="D35" i="21"/>
  <c r="D34" i="21"/>
  <c r="F33" i="21"/>
  <c r="E33" i="21"/>
  <c r="F30" i="21"/>
  <c r="E30" i="21"/>
  <c r="F29" i="21"/>
  <c r="E29" i="21"/>
  <c r="F28" i="21"/>
  <c r="E28" i="21"/>
  <c r="F27" i="21"/>
  <c r="E27" i="21"/>
  <c r="F26" i="21"/>
  <c r="E26" i="21"/>
  <c r="F25" i="21"/>
  <c r="E25" i="21"/>
  <c r="F24" i="21"/>
  <c r="E24" i="21"/>
  <c r="F23" i="21"/>
  <c r="E23" i="21"/>
  <c r="F22" i="21"/>
  <c r="E22" i="21"/>
  <c r="F21" i="21"/>
  <c r="E21" i="21"/>
  <c r="F20" i="21"/>
  <c r="E20" i="21"/>
  <c r="F19" i="21"/>
  <c r="E19" i="21"/>
  <c r="D11" i="21"/>
  <c r="F11" i="21" s="1"/>
  <c r="D10" i="21"/>
  <c r="F10" i="21" s="1"/>
  <c r="D9" i="21"/>
  <c r="F9" i="21" s="1"/>
  <c r="D8" i="21"/>
  <c r="F8" i="21" s="1"/>
  <c r="M4" i="21"/>
  <c r="F4" i="21"/>
  <c r="J4" i="21" s="1"/>
  <c r="E4" i="21"/>
  <c r="P17" i="9" l="1"/>
  <c r="P25" i="9"/>
  <c r="P33" i="9"/>
  <c r="P5" i="9"/>
  <c r="P7" i="9"/>
  <c r="P9" i="9"/>
  <c r="P11" i="9"/>
  <c r="P14" i="9"/>
  <c r="P16" i="9"/>
  <c r="P19" i="9"/>
  <c r="P22" i="9"/>
  <c r="P24" i="9"/>
  <c r="P27" i="9"/>
  <c r="P30" i="9"/>
  <c r="P32" i="9"/>
  <c r="P13" i="9"/>
  <c r="P21" i="9"/>
  <c r="P29" i="9"/>
  <c r="P6" i="9"/>
  <c r="P8" i="9"/>
  <c r="P10" i="9"/>
  <c r="P12" i="9"/>
  <c r="P15" i="9"/>
  <c r="P18" i="9"/>
  <c r="P20" i="9"/>
  <c r="P23" i="9"/>
  <c r="P26" i="9"/>
  <c r="P28" i="9"/>
  <c r="P31" i="9"/>
  <c r="L6" i="19"/>
  <c r="L10" i="19"/>
  <c r="L14" i="19"/>
  <c r="L18" i="19"/>
  <c r="L22" i="19"/>
  <c r="L26" i="19"/>
  <c r="L30" i="19"/>
  <c r="L10" i="11"/>
  <c r="L12" i="11"/>
  <c r="L17" i="11"/>
  <c r="L19" i="11"/>
  <c r="L26" i="11"/>
  <c r="L28" i="11"/>
  <c r="L33" i="11"/>
  <c r="M13" i="10"/>
  <c r="M16" i="10"/>
  <c r="M23" i="10"/>
  <c r="M26" i="10"/>
  <c r="M29" i="10"/>
  <c r="M32" i="10"/>
  <c r="H33" i="36"/>
  <c r="H31" i="36"/>
  <c r="H29" i="36"/>
  <c r="H27" i="36"/>
  <c r="H25" i="36"/>
  <c r="H23" i="36"/>
  <c r="H21" i="36"/>
  <c r="H19" i="36"/>
  <c r="H17" i="36"/>
  <c r="H15" i="36"/>
  <c r="H13" i="36"/>
  <c r="H11" i="36"/>
  <c r="H9" i="36"/>
  <c r="H7" i="36"/>
  <c r="H5" i="36"/>
  <c r="H33" i="25"/>
  <c r="H31" i="25"/>
  <c r="H29" i="25"/>
  <c r="H27" i="25"/>
  <c r="L7" i="19"/>
  <c r="L11" i="19"/>
  <c r="L15" i="19"/>
  <c r="L19" i="19"/>
  <c r="L23" i="19"/>
  <c r="L27" i="19"/>
  <c r="L31" i="19"/>
  <c r="L5" i="11"/>
  <c r="L7" i="11"/>
  <c r="L14" i="11"/>
  <c r="L16" i="11"/>
  <c r="L21" i="11"/>
  <c r="L23" i="11"/>
  <c r="L30" i="11"/>
  <c r="L32" i="11"/>
  <c r="M7" i="10"/>
  <c r="M10" i="10"/>
  <c r="M12" i="10"/>
  <c r="M19" i="10"/>
  <c r="M22" i="10"/>
  <c r="M25" i="10"/>
  <c r="M28" i="10"/>
  <c r="L8" i="19"/>
  <c r="L12" i="19"/>
  <c r="L16" i="19"/>
  <c r="L20" i="19"/>
  <c r="L24" i="19"/>
  <c r="L28" i="19"/>
  <c r="L32" i="19"/>
  <c r="L9" i="11"/>
  <c r="L11" i="11"/>
  <c r="L18" i="11"/>
  <c r="L20" i="11"/>
  <c r="L25" i="11"/>
  <c r="L27" i="11"/>
  <c r="M6" i="10"/>
  <c r="M9" i="10"/>
  <c r="M15" i="10"/>
  <c r="M18" i="10"/>
  <c r="M21" i="10"/>
  <c r="M24" i="10"/>
  <c r="M31" i="10"/>
  <c r="H32" i="36"/>
  <c r="H30" i="36"/>
  <c r="H28" i="36"/>
  <c r="H26" i="36"/>
  <c r="H24" i="36"/>
  <c r="H22" i="36"/>
  <c r="H20" i="36"/>
  <c r="H18" i="36"/>
  <c r="H16" i="36"/>
  <c r="H14" i="36"/>
  <c r="H12" i="36"/>
  <c r="H10" i="36"/>
  <c r="H8" i="36"/>
  <c r="H6" i="36"/>
  <c r="H4" i="36"/>
  <c r="H32" i="25"/>
  <c r="H30" i="25"/>
  <c r="H28" i="25"/>
  <c r="H26" i="25"/>
  <c r="L5" i="19"/>
  <c r="L9" i="19"/>
  <c r="L13" i="19"/>
  <c r="L17" i="19"/>
  <c r="L21" i="19"/>
  <c r="L25" i="19"/>
  <c r="L29" i="19"/>
  <c r="L4" i="19"/>
  <c r="L6" i="11"/>
  <c r="L8" i="11"/>
  <c r="L13" i="11"/>
  <c r="L15" i="11"/>
  <c r="L22" i="11"/>
  <c r="L24" i="11"/>
  <c r="L29" i="11"/>
  <c r="L31" i="11"/>
  <c r="M5" i="10"/>
  <c r="M8" i="10"/>
  <c r="M11" i="10"/>
  <c r="M14" i="10"/>
  <c r="M17" i="10"/>
  <c r="M20" i="10"/>
  <c r="M27" i="10"/>
  <c r="M30" i="10"/>
  <c r="M33" i="10"/>
  <c r="H25" i="25"/>
  <c r="H23" i="25"/>
  <c r="H21" i="25"/>
  <c r="H19" i="25"/>
  <c r="H17" i="25"/>
  <c r="H15" i="25"/>
  <c r="H13" i="25"/>
  <c r="H11" i="25"/>
  <c r="H9" i="25"/>
  <c r="H7" i="25"/>
  <c r="H5" i="25"/>
  <c r="L32" i="13"/>
  <c r="L30" i="13"/>
  <c r="L28" i="13"/>
  <c r="L26" i="13"/>
  <c r="L24" i="13"/>
  <c r="L22" i="13"/>
  <c r="L20" i="13"/>
  <c r="L18" i="13"/>
  <c r="L16" i="13"/>
  <c r="L14" i="13"/>
  <c r="L12" i="13"/>
  <c r="L10" i="13"/>
  <c r="L8" i="13"/>
  <c r="L6" i="13"/>
  <c r="L4" i="13"/>
  <c r="L32" i="12"/>
  <c r="L30" i="12"/>
  <c r="L28" i="12"/>
  <c r="L26" i="12"/>
  <c r="L24" i="12"/>
  <c r="L22" i="12"/>
  <c r="L20" i="12"/>
  <c r="L18" i="12"/>
  <c r="L16" i="12"/>
  <c r="L14" i="12"/>
  <c r="L12" i="12"/>
  <c r="L10" i="12"/>
  <c r="L8" i="12"/>
  <c r="L6" i="12"/>
  <c r="L4" i="12"/>
  <c r="M4" i="10"/>
  <c r="H24" i="25"/>
  <c r="H22" i="25"/>
  <c r="H20" i="25"/>
  <c r="H18" i="25"/>
  <c r="H16" i="25"/>
  <c r="H14" i="25"/>
  <c r="H12" i="25"/>
  <c r="H10" i="25"/>
  <c r="H8" i="25"/>
  <c r="H6" i="25"/>
  <c r="H4" i="25"/>
  <c r="L33" i="13"/>
  <c r="L31" i="13"/>
  <c r="L29" i="13"/>
  <c r="L27" i="13"/>
  <c r="L25" i="13"/>
  <c r="L23" i="13"/>
  <c r="L21" i="13"/>
  <c r="L19" i="13"/>
  <c r="L17" i="13"/>
  <c r="L15" i="13"/>
  <c r="L13" i="13"/>
  <c r="L11" i="13"/>
  <c r="L9" i="13"/>
  <c r="L7" i="13"/>
  <c r="L5" i="13"/>
  <c r="L33" i="12"/>
  <c r="L31" i="12"/>
  <c r="L29" i="12"/>
  <c r="L27" i="12"/>
  <c r="L25" i="12"/>
  <c r="L23" i="12"/>
  <c r="L21" i="12"/>
  <c r="L19" i="12"/>
  <c r="L17" i="12"/>
  <c r="L15" i="12"/>
  <c r="L13" i="12"/>
  <c r="L11" i="12"/>
  <c r="L9" i="12"/>
  <c r="L7" i="12"/>
  <c r="L5" i="12"/>
  <c r="L4" i="11"/>
  <c r="P4" i="9"/>
  <c r="L33" i="19"/>
  <c r="J30" i="36"/>
  <c r="J12" i="36"/>
  <c r="Q6" i="9"/>
  <c r="R6" i="9" s="1"/>
  <c r="Q8" i="9"/>
  <c r="R8" i="9" s="1"/>
  <c r="Q10" i="9"/>
  <c r="R10" i="9" s="1"/>
  <c r="Q12" i="9"/>
  <c r="R12" i="9" s="1"/>
  <c r="Q15" i="9"/>
  <c r="R15" i="9" s="1"/>
  <c r="Q18" i="9"/>
  <c r="R18" i="9" s="1"/>
  <c r="Q20" i="9"/>
  <c r="R20" i="9" s="1"/>
  <c r="Q23" i="9"/>
  <c r="R23" i="9" s="1"/>
  <c r="Q26" i="9"/>
  <c r="R26" i="9" s="1"/>
  <c r="Q28" i="9"/>
  <c r="R28" i="9" s="1"/>
  <c r="Q31" i="9"/>
  <c r="R31" i="9" s="1"/>
  <c r="Q17" i="9"/>
  <c r="R17" i="9" s="1"/>
  <c r="Q25" i="9"/>
  <c r="R25" i="9" s="1"/>
  <c r="Q33" i="9"/>
  <c r="R33" i="9" s="1"/>
  <c r="Q5" i="9"/>
  <c r="R5" i="9" s="1"/>
  <c r="Q7" i="9"/>
  <c r="R7" i="9" s="1"/>
  <c r="Q9" i="9"/>
  <c r="R9" i="9" s="1"/>
  <c r="Q11" i="9"/>
  <c r="R11" i="9" s="1"/>
  <c r="Q14" i="9"/>
  <c r="R14" i="9" s="1"/>
  <c r="Q16" i="9"/>
  <c r="R16" i="9" s="1"/>
  <c r="Q19" i="9"/>
  <c r="R19" i="9" s="1"/>
  <c r="Q22" i="9"/>
  <c r="R22" i="9" s="1"/>
  <c r="Q24" i="9"/>
  <c r="R24" i="9" s="1"/>
  <c r="Q27" i="9"/>
  <c r="R27" i="9" s="1"/>
  <c r="Q30" i="9"/>
  <c r="R30" i="9" s="1"/>
  <c r="Q32" i="9"/>
  <c r="R32" i="9" s="1"/>
  <c r="Q13" i="9"/>
  <c r="R13" i="9" s="1"/>
  <c r="Q21" i="9"/>
  <c r="R21" i="9" s="1"/>
  <c r="Q29" i="9"/>
  <c r="R29" i="9" s="1"/>
  <c r="M6" i="11"/>
  <c r="M8" i="11"/>
  <c r="M13" i="11"/>
  <c r="M15" i="11"/>
  <c r="M22" i="11"/>
  <c r="M24" i="11"/>
  <c r="M29" i="11"/>
  <c r="M31" i="11"/>
  <c r="N5" i="10"/>
  <c r="N8" i="10"/>
  <c r="N11" i="10"/>
  <c r="N14" i="10"/>
  <c r="N17" i="10"/>
  <c r="N20" i="10"/>
  <c r="N27" i="10"/>
  <c r="N30" i="10"/>
  <c r="N33" i="10"/>
  <c r="M10" i="11"/>
  <c r="M12" i="11"/>
  <c r="M17" i="11"/>
  <c r="M19" i="11"/>
  <c r="M26" i="11"/>
  <c r="M28" i="11"/>
  <c r="M33" i="11"/>
  <c r="N13" i="10"/>
  <c r="N16" i="10"/>
  <c r="N23" i="10"/>
  <c r="N26" i="10"/>
  <c r="N29" i="10"/>
  <c r="N32" i="10"/>
  <c r="I32" i="36"/>
  <c r="I30" i="36"/>
  <c r="I28" i="36"/>
  <c r="I26" i="36"/>
  <c r="I24" i="36"/>
  <c r="I22" i="36"/>
  <c r="I20" i="36"/>
  <c r="I18" i="36"/>
  <c r="I16" i="36"/>
  <c r="I14" i="36"/>
  <c r="I12" i="36"/>
  <c r="I10" i="36"/>
  <c r="I8" i="36"/>
  <c r="I6" i="36"/>
  <c r="I4" i="36"/>
  <c r="I32" i="25"/>
  <c r="I30" i="25"/>
  <c r="I28" i="25"/>
  <c r="I26" i="25"/>
  <c r="M5" i="11"/>
  <c r="M7" i="11"/>
  <c r="M14" i="11"/>
  <c r="M16" i="11"/>
  <c r="M21" i="11"/>
  <c r="M23" i="11"/>
  <c r="M30" i="11"/>
  <c r="M32" i="11"/>
  <c r="N7" i="10"/>
  <c r="O7" i="10" s="1"/>
  <c r="N10" i="10"/>
  <c r="N12" i="10"/>
  <c r="N19" i="10"/>
  <c r="N22" i="10"/>
  <c r="N25" i="10"/>
  <c r="N28" i="10"/>
  <c r="M9" i="11"/>
  <c r="M11" i="11"/>
  <c r="M18" i="11"/>
  <c r="M20" i="11"/>
  <c r="M25" i="11"/>
  <c r="M27" i="11"/>
  <c r="N6" i="10"/>
  <c r="N9" i="10"/>
  <c r="N15" i="10"/>
  <c r="N18" i="10"/>
  <c r="N21" i="10"/>
  <c r="N24" i="10"/>
  <c r="N31" i="10"/>
  <c r="I33" i="36"/>
  <c r="I31" i="36"/>
  <c r="I29" i="36"/>
  <c r="I27" i="36"/>
  <c r="I25" i="36"/>
  <c r="J25" i="36" s="1"/>
  <c r="I23" i="36"/>
  <c r="I21" i="36"/>
  <c r="I19" i="36"/>
  <c r="I17" i="36"/>
  <c r="I15" i="36"/>
  <c r="I13" i="36"/>
  <c r="I11" i="36"/>
  <c r="I9" i="36"/>
  <c r="J9" i="36" s="1"/>
  <c r="I7" i="36"/>
  <c r="I5" i="36"/>
  <c r="I33" i="25"/>
  <c r="I31" i="25"/>
  <c r="I29" i="25"/>
  <c r="I27" i="25"/>
  <c r="I25" i="25"/>
  <c r="M6" i="19"/>
  <c r="N6" i="19" s="1"/>
  <c r="M10" i="19"/>
  <c r="N10" i="19" s="1"/>
  <c r="M14" i="19"/>
  <c r="M18" i="19"/>
  <c r="N18" i="19" s="1"/>
  <c r="M22" i="19"/>
  <c r="N22" i="19" s="1"/>
  <c r="M26" i="19"/>
  <c r="N26" i="19" s="1"/>
  <c r="M30" i="19"/>
  <c r="M4" i="19"/>
  <c r="M32" i="13"/>
  <c r="M30" i="13"/>
  <c r="M28" i="13"/>
  <c r="M26" i="13"/>
  <c r="M24" i="13"/>
  <c r="M22" i="13"/>
  <c r="M20" i="13"/>
  <c r="M18" i="13"/>
  <c r="M16" i="13"/>
  <c r="M14" i="13"/>
  <c r="M12" i="13"/>
  <c r="M10" i="13"/>
  <c r="M8" i="13"/>
  <c r="M6" i="13"/>
  <c r="M4" i="13"/>
  <c r="M32" i="12"/>
  <c r="M30" i="12"/>
  <c r="M28" i="12"/>
  <c r="M26" i="12"/>
  <c r="M24" i="12"/>
  <c r="M22" i="12"/>
  <c r="M20" i="12"/>
  <c r="M18" i="12"/>
  <c r="M16" i="12"/>
  <c r="M14" i="12"/>
  <c r="M12" i="12"/>
  <c r="M10" i="12"/>
  <c r="M8" i="12"/>
  <c r="M6" i="12"/>
  <c r="M4" i="12"/>
  <c r="N4" i="10"/>
  <c r="Q4" i="9"/>
  <c r="R4" i="9" s="1"/>
  <c r="I24" i="25"/>
  <c r="I22" i="25"/>
  <c r="I20" i="25"/>
  <c r="I18" i="25"/>
  <c r="I16" i="25"/>
  <c r="I14" i="25"/>
  <c r="I12" i="25"/>
  <c r="I10" i="25"/>
  <c r="I8" i="25"/>
  <c r="I6" i="25"/>
  <c r="I4" i="25"/>
  <c r="M7" i="19"/>
  <c r="N7" i="19" s="1"/>
  <c r="M11" i="19"/>
  <c r="N11" i="19" s="1"/>
  <c r="M15" i="19"/>
  <c r="N15" i="19" s="1"/>
  <c r="M19" i="19"/>
  <c r="M23" i="19"/>
  <c r="N23" i="19" s="1"/>
  <c r="M27" i="19"/>
  <c r="N27" i="19" s="1"/>
  <c r="M31" i="19"/>
  <c r="N31" i="19" s="1"/>
  <c r="M8" i="19"/>
  <c r="N8" i="19" s="1"/>
  <c r="M12" i="19"/>
  <c r="M16" i="19"/>
  <c r="N16" i="19" s="1"/>
  <c r="M20" i="19"/>
  <c r="N20" i="19" s="1"/>
  <c r="M24" i="19"/>
  <c r="N24" i="19" s="1"/>
  <c r="M28" i="19"/>
  <c r="M32" i="19"/>
  <c r="N32" i="19" s="1"/>
  <c r="M33" i="13"/>
  <c r="M31" i="13"/>
  <c r="M29" i="13"/>
  <c r="M27" i="13"/>
  <c r="M25" i="13"/>
  <c r="M23" i="13"/>
  <c r="M21" i="13"/>
  <c r="M19" i="13"/>
  <c r="M17" i="13"/>
  <c r="M15" i="13"/>
  <c r="M13" i="13"/>
  <c r="M11" i="13"/>
  <c r="M9" i="13"/>
  <c r="M7" i="13"/>
  <c r="M5" i="13"/>
  <c r="M33" i="12"/>
  <c r="M31" i="12"/>
  <c r="M29" i="12"/>
  <c r="M27" i="12"/>
  <c r="M25" i="12"/>
  <c r="M23" i="12"/>
  <c r="M21" i="12"/>
  <c r="M19" i="12"/>
  <c r="M17" i="12"/>
  <c r="M15" i="12"/>
  <c r="M13" i="12"/>
  <c r="M11" i="12"/>
  <c r="M9" i="12"/>
  <c r="M7" i="12"/>
  <c r="M5" i="12"/>
  <c r="M4" i="11"/>
  <c r="I23" i="25"/>
  <c r="I21" i="25"/>
  <c r="I19" i="25"/>
  <c r="I17" i="25"/>
  <c r="I15" i="25"/>
  <c r="I13" i="25"/>
  <c r="I11" i="25"/>
  <c r="I9" i="25"/>
  <c r="I7" i="25"/>
  <c r="I5" i="25"/>
  <c r="M5" i="19"/>
  <c r="N5" i="19" s="1"/>
  <c r="M9" i="19"/>
  <c r="N9" i="19" s="1"/>
  <c r="M13" i="19"/>
  <c r="N13" i="19" s="1"/>
  <c r="M17" i="19"/>
  <c r="M21" i="19"/>
  <c r="N21" i="19" s="1"/>
  <c r="M25" i="19"/>
  <c r="N25" i="19" s="1"/>
  <c r="M29" i="19"/>
  <c r="N29" i="19" s="1"/>
  <c r="M33" i="19"/>
  <c r="N33" i="19" s="1"/>
  <c r="I4" i="21"/>
  <c r="K4" i="21" s="1"/>
  <c r="G45" i="21"/>
  <c r="G53" i="21"/>
  <c r="G30" i="21"/>
  <c r="G21" i="21"/>
  <c r="G27" i="21"/>
  <c r="G29" i="21"/>
  <c r="G44" i="21"/>
  <c r="G51" i="21"/>
  <c r="G33" i="21"/>
  <c r="H32" i="21" s="1"/>
  <c r="G46" i="21"/>
  <c r="G48" i="21"/>
  <c r="G50" i="21"/>
  <c r="G52" i="21"/>
  <c r="G54" i="21"/>
  <c r="G58" i="21"/>
  <c r="G64" i="21"/>
  <c r="G66" i="21"/>
  <c r="G20" i="21"/>
  <c r="G22" i="21"/>
  <c r="G24" i="21"/>
  <c r="G26" i="21"/>
  <c r="G28" i="21"/>
  <c r="G57" i="21"/>
  <c r="G59" i="21"/>
  <c r="G61" i="21"/>
  <c r="G63" i="21"/>
  <c r="G65" i="21"/>
  <c r="E9" i="21"/>
  <c r="G9" i="21" s="1"/>
  <c r="H14" i="21" s="1"/>
  <c r="E11" i="21"/>
  <c r="G11" i="21" s="1"/>
  <c r="H16" i="21" s="1"/>
  <c r="G43" i="21"/>
  <c r="G4" i="21"/>
  <c r="H5" i="21" s="1"/>
  <c r="G19" i="21"/>
  <c r="E8" i="21"/>
  <c r="E10" i="21"/>
  <c r="G10" i="21" s="1"/>
  <c r="H15" i="21" s="1"/>
  <c r="G23" i="21"/>
  <c r="G25" i="21"/>
  <c r="G47" i="21"/>
  <c r="G49" i="21"/>
  <c r="G60" i="21"/>
  <c r="G62" i="21"/>
  <c r="N11" i="13" l="1"/>
  <c r="N16" i="13"/>
  <c r="N10" i="11"/>
  <c r="J9" i="25"/>
  <c r="S9" i="9" s="1"/>
  <c r="AI9" i="44" s="1"/>
  <c r="N28" i="19"/>
  <c r="N12" i="19"/>
  <c r="J10" i="25"/>
  <c r="J25" i="25"/>
  <c r="S25" i="9" s="1"/>
  <c r="O31" i="10"/>
  <c r="O15" i="10"/>
  <c r="O19" i="10"/>
  <c r="J26" i="25"/>
  <c r="J28" i="36"/>
  <c r="N27" i="13"/>
  <c r="N24" i="13"/>
  <c r="N11" i="11"/>
  <c r="N21" i="11"/>
  <c r="N26" i="11"/>
  <c r="J11" i="25"/>
  <c r="N19" i="19"/>
  <c r="N30" i="19"/>
  <c r="N14" i="19"/>
  <c r="J28" i="25"/>
  <c r="J19" i="36"/>
  <c r="J12" i="25"/>
  <c r="N19" i="13"/>
  <c r="N8" i="13"/>
  <c r="N32" i="13"/>
  <c r="N27" i="11"/>
  <c r="N5" i="11"/>
  <c r="J15" i="36"/>
  <c r="J14" i="36"/>
  <c r="J27" i="25"/>
  <c r="N21" i="13"/>
  <c r="O28" i="10"/>
  <c r="N32" i="11"/>
  <c r="N25" i="12"/>
  <c r="N9" i="12"/>
  <c r="O29" i="10"/>
  <c r="N4" i="11"/>
  <c r="N28" i="12"/>
  <c r="N12" i="12"/>
  <c r="O20" i="10"/>
  <c r="O5" i="10"/>
  <c r="N27" i="12"/>
  <c r="N11" i="12"/>
  <c r="O18" i="10"/>
  <c r="N4" i="12"/>
  <c r="N18" i="12"/>
  <c r="H56" i="21"/>
  <c r="G69" i="21"/>
  <c r="H42" i="21"/>
  <c r="G55" i="21"/>
  <c r="N5" i="13"/>
  <c r="N13" i="13"/>
  <c r="N29" i="13"/>
  <c r="N26" i="13"/>
  <c r="N25" i="11"/>
  <c r="N9" i="11"/>
  <c r="N19" i="11"/>
  <c r="S19" i="9" s="1"/>
  <c r="N22" i="11"/>
  <c r="N6" i="11"/>
  <c r="J31" i="36"/>
  <c r="J16" i="36"/>
  <c r="J32" i="36"/>
  <c r="J13" i="36"/>
  <c r="J29" i="36"/>
  <c r="J27" i="36"/>
  <c r="J18" i="36"/>
  <c r="J24" i="25"/>
  <c r="J8" i="25"/>
  <c r="J23" i="25"/>
  <c r="J7" i="25"/>
  <c r="J22" i="25"/>
  <c r="J6" i="25"/>
  <c r="J21" i="25"/>
  <c r="J5" i="25"/>
  <c r="N7" i="13"/>
  <c r="N15" i="13"/>
  <c r="N23" i="13"/>
  <c r="N31" i="13"/>
  <c r="N4" i="13"/>
  <c r="N12" i="13"/>
  <c r="N20" i="13"/>
  <c r="N28" i="13"/>
  <c r="N30" i="11"/>
  <c r="N14" i="11"/>
  <c r="N33" i="11"/>
  <c r="N17" i="11"/>
  <c r="N31" i="11"/>
  <c r="N15" i="11"/>
  <c r="J4" i="36"/>
  <c r="J20" i="36"/>
  <c r="J23" i="36"/>
  <c r="J17" i="36"/>
  <c r="J33" i="36"/>
  <c r="J6" i="36"/>
  <c r="J22" i="36"/>
  <c r="J20" i="25"/>
  <c r="J4" i="25"/>
  <c r="J19" i="25"/>
  <c r="J18" i="25"/>
  <c r="J33" i="25"/>
  <c r="J17" i="25"/>
  <c r="O25" i="10"/>
  <c r="N16" i="11"/>
  <c r="N21" i="12"/>
  <c r="N5" i="12"/>
  <c r="O26" i="10"/>
  <c r="N28" i="11"/>
  <c r="N24" i="12"/>
  <c r="N8" i="12"/>
  <c r="O17" i="10"/>
  <c r="N24" i="11"/>
  <c r="N23" i="12"/>
  <c r="N7" i="12"/>
  <c r="O9" i="10"/>
  <c r="N30" i="12"/>
  <c r="N14" i="12"/>
  <c r="N10" i="13"/>
  <c r="N18" i="13"/>
  <c r="N4" i="19"/>
  <c r="G31" i="21"/>
  <c r="N17" i="19"/>
  <c r="N9" i="13"/>
  <c r="N17" i="13"/>
  <c r="N25" i="13"/>
  <c r="N33" i="13"/>
  <c r="N6" i="13"/>
  <c r="N14" i="13"/>
  <c r="N22" i="13"/>
  <c r="N30" i="13"/>
  <c r="N18" i="11"/>
  <c r="O10" i="10"/>
  <c r="N23" i="11"/>
  <c r="N7" i="11"/>
  <c r="O23" i="10"/>
  <c r="O27" i="10"/>
  <c r="O11" i="10"/>
  <c r="N29" i="11"/>
  <c r="N13" i="11"/>
  <c r="J7" i="36"/>
  <c r="J8" i="36"/>
  <c r="J24" i="36"/>
  <c r="J5" i="36"/>
  <c r="J21" i="36"/>
  <c r="J11" i="36"/>
  <c r="J10" i="36"/>
  <c r="J26" i="36"/>
  <c r="J32" i="25"/>
  <c r="J16" i="25"/>
  <c r="J31" i="25"/>
  <c r="J15" i="25"/>
  <c r="J30" i="25"/>
  <c r="J14" i="25"/>
  <c r="J29" i="25"/>
  <c r="J13" i="25"/>
  <c r="O22" i="10"/>
  <c r="N33" i="12"/>
  <c r="N17" i="12"/>
  <c r="O4" i="10"/>
  <c r="O16" i="10"/>
  <c r="N12" i="11"/>
  <c r="N20" i="12"/>
  <c r="O33" i="10"/>
  <c r="O14" i="10"/>
  <c r="N8" i="11"/>
  <c r="N19" i="12"/>
  <c r="O24" i="10"/>
  <c r="O6" i="10"/>
  <c r="N26" i="12"/>
  <c r="N10" i="12"/>
  <c r="O12" i="10"/>
  <c r="N29" i="12"/>
  <c r="N13" i="12"/>
  <c r="O32" i="10"/>
  <c r="S32" i="9" s="1"/>
  <c r="O13" i="10"/>
  <c r="N32" i="12"/>
  <c r="N16" i="12"/>
  <c r="O30" i="10"/>
  <c r="S30" i="9" s="1"/>
  <c r="O8" i="10"/>
  <c r="N31" i="12"/>
  <c r="N15" i="12"/>
  <c r="O21" i="10"/>
  <c r="N20" i="11"/>
  <c r="N22" i="12"/>
  <c r="N6" i="12"/>
  <c r="S6" i="9" s="1"/>
  <c r="AI6" i="44" s="1"/>
  <c r="S11" i="9"/>
  <c r="AI11" i="44" s="1"/>
  <c r="S26" i="9"/>
  <c r="S13" i="9"/>
  <c r="AI13" i="44" s="1"/>
  <c r="S21" i="9"/>
  <c r="S22" i="9"/>
  <c r="G8" i="21"/>
  <c r="H13" i="21" s="1"/>
  <c r="S16" i="9" l="1"/>
  <c r="AI16" i="44" s="1"/>
  <c r="S8" i="9"/>
  <c r="AI8" i="44" s="1"/>
  <c r="S12" i="9"/>
  <c r="AI12" i="44" s="1"/>
  <c r="S24" i="9"/>
  <c r="S33" i="9"/>
  <c r="S7" i="9"/>
  <c r="AI7" i="44" s="1"/>
  <c r="S5" i="9"/>
  <c r="AI5" i="44" s="1"/>
  <c r="S20" i="9"/>
  <c r="S14" i="9"/>
  <c r="AI14" i="44" s="1"/>
  <c r="S31" i="9"/>
  <c r="S23" i="9"/>
  <c r="S17" i="9"/>
  <c r="S18" i="9"/>
  <c r="AI18" i="44" s="1"/>
  <c r="S10" i="9"/>
  <c r="AI10" i="44" s="1"/>
  <c r="S15" i="9"/>
  <c r="AI15" i="44" s="1"/>
  <c r="S29" i="9"/>
  <c r="S28" i="9"/>
  <c r="S27" i="9"/>
  <c r="O34" i="10"/>
  <c r="S4" i="9"/>
  <c r="G34" i="9" l="1"/>
  <c r="E34" i="9"/>
  <c r="H463" i="15" l="1"/>
  <c r="H456" i="15"/>
  <c r="H457" i="15"/>
  <c r="H458" i="15"/>
  <c r="H459" i="15"/>
  <c r="F452" i="15" l="1"/>
  <c r="C31" i="14" s="1"/>
  <c r="AG31" i="17" s="1"/>
  <c r="AH31" i="17" s="1"/>
  <c r="H446" i="15"/>
  <c r="H439" i="15"/>
  <c r="H440" i="15"/>
  <c r="H441" i="15"/>
  <c r="H442" i="15"/>
  <c r="H444" i="15"/>
  <c r="H445" i="15"/>
  <c r="H447" i="15"/>
  <c r="AA31" i="17" l="1"/>
  <c r="AB31" i="17"/>
  <c r="K31" i="14" s="1"/>
  <c r="X31" i="44"/>
  <c r="T69" i="45"/>
  <c r="Z69" i="45" s="1"/>
  <c r="H433" i="15"/>
  <c r="H432" i="15"/>
  <c r="H431" i="15"/>
  <c r="H430" i="15"/>
  <c r="H423" i="15"/>
  <c r="H422" i="15"/>
  <c r="H421" i="15"/>
  <c r="H420" i="15"/>
  <c r="H419" i="15"/>
  <c r="J31" i="14" l="1"/>
  <c r="Z31" i="44"/>
  <c r="AB31" i="44" s="1"/>
  <c r="H407" i="15"/>
  <c r="H408" i="15"/>
  <c r="H409" i="15"/>
  <c r="H410" i="15"/>
  <c r="J31" i="44" l="1"/>
  <c r="N31" i="44" s="1"/>
  <c r="U69" i="45"/>
  <c r="N31" i="14"/>
  <c r="O31" i="14"/>
  <c r="AA31" i="44" s="1"/>
  <c r="AD31" i="44"/>
  <c r="H401" i="15"/>
  <c r="H400" i="15"/>
  <c r="H399" i="15"/>
  <c r="K31" i="44" l="1"/>
  <c r="H383" i="15"/>
  <c r="H378" i="15"/>
  <c r="H379" i="15"/>
  <c r="H380" i="15"/>
  <c r="H381" i="15"/>
  <c r="H382" i="15"/>
  <c r="AS31" i="44" l="1"/>
  <c r="H362" i="15"/>
  <c r="H370" i="15"/>
  <c r="H350" i="15"/>
  <c r="H337" i="15" l="1"/>
  <c r="H332" i="15"/>
  <c r="H333" i="15"/>
  <c r="H334" i="15"/>
  <c r="H335" i="15"/>
  <c r="H336" i="15"/>
  <c r="H338" i="15"/>
  <c r="H34" i="10" l="1"/>
  <c r="H324" i="15"/>
  <c r="H323" i="15" l="1"/>
  <c r="H306" i="15" l="1"/>
  <c r="H297" i="15"/>
  <c r="H305" i="15"/>
  <c r="H307" i="15"/>
  <c r="H289" i="15" l="1"/>
  <c r="H257" i="15" l="1"/>
  <c r="H243" i="15"/>
  <c r="H242" i="15"/>
  <c r="H235" i="15"/>
  <c r="H236" i="15"/>
  <c r="H237" i="15"/>
  <c r="H239" i="15"/>
  <c r="H241" i="15"/>
  <c r="H244" i="15"/>
  <c r="H219" i="15" l="1"/>
  <c r="H217" i="15"/>
  <c r="H218" i="15"/>
  <c r="H220" i="15"/>
  <c r="H222" i="15"/>
  <c r="H224" i="15"/>
  <c r="H225" i="15"/>
  <c r="H226" i="15"/>
  <c r="H205" i="15" l="1"/>
  <c r="H206" i="15"/>
  <c r="H207" i="15"/>
  <c r="H208" i="15"/>
  <c r="H175" i="15" l="1"/>
  <c r="H177" i="15"/>
  <c r="H178" i="15"/>
  <c r="H179" i="15"/>
  <c r="H180" i="15"/>
  <c r="H181" i="15"/>
  <c r="H164" i="15" l="1"/>
  <c r="H165" i="15"/>
  <c r="H166" i="15"/>
  <c r="H167" i="15"/>
  <c r="H85" i="15" l="1"/>
  <c r="H50" i="15" l="1"/>
  <c r="H51" i="15"/>
  <c r="H52" i="15"/>
  <c r="H53" i="15"/>
  <c r="H12" i="15" l="1"/>
  <c r="H13" i="15"/>
  <c r="H14" i="15"/>
  <c r="H15" i="15"/>
  <c r="H16" i="15"/>
  <c r="H17" i="15"/>
  <c r="B4" i="43" l="1"/>
  <c r="AP4" i="43" s="1"/>
  <c r="AV4" i="43" s="1"/>
  <c r="BA4" i="43" s="1"/>
  <c r="BF4" i="43" s="1"/>
  <c r="BQ4" i="43" s="1"/>
  <c r="CB4" i="43" s="1"/>
  <c r="AP4" i="17"/>
  <c r="AV4" i="17" s="1"/>
  <c r="BA4" i="17" s="1"/>
  <c r="BF4" i="17" s="1"/>
  <c r="E34" i="26" l="1"/>
  <c r="E34" i="23"/>
  <c r="E34" i="24"/>
  <c r="L33" i="5" l="1"/>
  <c r="H465" i="15" l="1"/>
  <c r="CK33" i="17" l="1"/>
  <c r="H451" i="15"/>
  <c r="BO29" i="17" l="1"/>
  <c r="CK29" i="17"/>
  <c r="F415" i="15"/>
  <c r="C29" i="14" s="1"/>
  <c r="AG29" i="17" s="1"/>
  <c r="AH29" i="17" s="1"/>
  <c r="H412" i="15"/>
  <c r="H413" i="15"/>
  <c r="X29" i="44" l="1"/>
  <c r="T67" i="45"/>
  <c r="Z67" i="45" s="1"/>
  <c r="E26" i="10"/>
  <c r="D64" i="45" s="1"/>
  <c r="H373" i="15" l="1"/>
  <c r="H347" i="15" l="1"/>
  <c r="H348" i="15"/>
  <c r="H349" i="15"/>
  <c r="H351" i="15"/>
  <c r="H352" i="15"/>
  <c r="H353" i="15"/>
  <c r="H355" i="15"/>
  <c r="H339" i="15" l="1"/>
  <c r="H326" i="15" l="1"/>
  <c r="AT17" i="17" l="1"/>
  <c r="CC8" i="44" l="1"/>
  <c r="CD8" i="44"/>
  <c r="CG9" i="44"/>
  <c r="N7" i="5"/>
  <c r="M8" i="44" l="1"/>
  <c r="AT8" i="44" s="1"/>
  <c r="G41" i="5"/>
  <c r="D29" i="44" l="1"/>
  <c r="D30" i="44"/>
  <c r="D31" i="44"/>
  <c r="O31" i="44" s="1"/>
  <c r="AG31" i="44" s="1"/>
  <c r="D28" i="44"/>
  <c r="AP28" i="44" s="1"/>
  <c r="D33" i="44"/>
  <c r="D32" i="44"/>
  <c r="I32" i="5"/>
  <c r="I31" i="5"/>
  <c r="I30" i="5"/>
  <c r="D18" i="44"/>
  <c r="AP18" i="44" s="1"/>
  <c r="D16" i="44"/>
  <c r="AP16" i="44" s="1"/>
  <c r="D8" i="44"/>
  <c r="AP8" i="44" s="1"/>
  <c r="D5" i="44"/>
  <c r="AP5" i="44" s="1"/>
  <c r="D6" i="44"/>
  <c r="AP6" i="44" s="1"/>
  <c r="D11" i="44"/>
  <c r="AP11" i="44" s="1"/>
  <c r="D7" i="44"/>
  <c r="AP7" i="44" s="1"/>
  <c r="AP29" i="44"/>
  <c r="D27" i="44"/>
  <c r="AP27" i="44" s="1"/>
  <c r="D25" i="44"/>
  <c r="AP25" i="44" s="1"/>
  <c r="D23" i="44"/>
  <c r="AP23" i="44" s="1"/>
  <c r="D21" i="44"/>
  <c r="AP21" i="44" s="1"/>
  <c r="D20" i="44"/>
  <c r="AP20" i="44" s="1"/>
  <c r="D15" i="44"/>
  <c r="AP15" i="44" s="1"/>
  <c r="D14" i="44"/>
  <c r="AP14" i="44" s="1"/>
  <c r="D12" i="44"/>
  <c r="AP12" i="44" s="1"/>
  <c r="D10" i="44"/>
  <c r="AP10" i="44" s="1"/>
  <c r="D26" i="44"/>
  <c r="AP26" i="44" s="1"/>
  <c r="D22" i="44"/>
  <c r="AP22" i="44" s="1"/>
  <c r="D19" i="44"/>
  <c r="AP19" i="44" s="1"/>
  <c r="D17" i="44"/>
  <c r="AP17" i="44" s="1"/>
  <c r="D13" i="44"/>
  <c r="AP13" i="44" s="1"/>
  <c r="D9" i="44"/>
  <c r="AP9" i="44" s="1"/>
  <c r="D24" i="44"/>
  <c r="AP24" i="44" s="1"/>
  <c r="I7" i="5"/>
  <c r="I13" i="5"/>
  <c r="I19" i="5"/>
  <c r="I11" i="5"/>
  <c r="I21" i="5"/>
  <c r="I27" i="5"/>
  <c r="I5" i="5"/>
  <c r="I23" i="5"/>
  <c r="I29" i="5"/>
  <c r="I15" i="5"/>
  <c r="I24" i="5"/>
  <c r="I12" i="5"/>
  <c r="I26" i="5"/>
  <c r="I8" i="5"/>
  <c r="I16" i="5"/>
  <c r="I10" i="5"/>
  <c r="I9" i="5"/>
  <c r="I20" i="5"/>
  <c r="I28" i="5"/>
  <c r="I4" i="5"/>
  <c r="I6" i="5"/>
  <c r="I17" i="5"/>
  <c r="I25" i="5"/>
  <c r="I18" i="5"/>
  <c r="I14" i="5"/>
  <c r="I22" i="5"/>
  <c r="I3" i="5"/>
  <c r="BQ4" i="17"/>
  <c r="CB4" i="17" s="1"/>
  <c r="AP31" i="44" l="1"/>
  <c r="AP30" i="44"/>
  <c r="AP33" i="44"/>
  <c r="AP32" i="44"/>
  <c r="BI31" i="44" l="1"/>
  <c r="H434" i="15"/>
  <c r="F435" i="15"/>
  <c r="C30" i="14" s="1"/>
  <c r="AG30" i="17" s="1"/>
  <c r="AH30" i="17" s="1"/>
  <c r="N28" i="5"/>
  <c r="M29" i="44" s="1"/>
  <c r="N29" i="5"/>
  <c r="M30" i="44" s="1"/>
  <c r="AT30" i="44" s="1"/>
  <c r="X30" i="44" l="1"/>
  <c r="AT29" i="44"/>
  <c r="T68" i="45"/>
  <c r="Z68" i="45" s="1"/>
  <c r="BO26" i="17"/>
  <c r="CC29" i="44"/>
  <c r="CG29" i="44"/>
  <c r="CD29" i="44"/>
  <c r="CC27" i="44" l="1"/>
  <c r="H45" i="5"/>
  <c r="G34" i="13" l="1"/>
  <c r="H216" i="15" l="1"/>
  <c r="H227" i="15"/>
  <c r="H228" i="15"/>
  <c r="H204" i="15" l="1"/>
  <c r="H193" i="15" l="1"/>
  <c r="H194" i="15"/>
  <c r="H195" i="15"/>
  <c r="H196" i="15"/>
  <c r="BB4" i="17" l="1"/>
  <c r="BM4" i="44" l="1"/>
  <c r="BB5" i="17"/>
  <c r="BB6" i="17" s="1"/>
  <c r="BB7" i="17" s="1"/>
  <c r="BB8" i="17" s="1"/>
  <c r="BB9" i="17" s="1"/>
  <c r="BB10" i="17" s="1"/>
  <c r="BB11" i="17" s="1"/>
  <c r="BB12" i="17" s="1"/>
  <c r="BB13" i="17" s="1"/>
  <c r="BB14" i="17" s="1"/>
  <c r="BB15" i="17" s="1"/>
  <c r="BB16" i="17" s="1"/>
  <c r="AQ5" i="17"/>
  <c r="CC4" i="43"/>
  <c r="CD4" i="43"/>
  <c r="CE4" i="43"/>
  <c r="CF4" i="43"/>
  <c r="CG4" i="43"/>
  <c r="CI4" i="43"/>
  <c r="CJ4" i="43"/>
  <c r="CC5" i="43"/>
  <c r="CD5" i="43"/>
  <c r="CE5" i="43"/>
  <c r="CF5" i="43"/>
  <c r="CG5" i="43"/>
  <c r="CI5" i="43"/>
  <c r="CJ5" i="43"/>
  <c r="CC6" i="43"/>
  <c r="CD6" i="43"/>
  <c r="CE6" i="43"/>
  <c r="CF6" i="43"/>
  <c r="CG6" i="43"/>
  <c r="CI6" i="43"/>
  <c r="CJ6" i="43"/>
  <c r="CC7" i="43"/>
  <c r="CD7" i="43"/>
  <c r="CE7" i="43"/>
  <c r="CF7" i="43"/>
  <c r="CG7" i="43"/>
  <c r="CI7" i="43"/>
  <c r="CJ7" i="43"/>
  <c r="CC8" i="43"/>
  <c r="CD8" i="43"/>
  <c r="CE8" i="43"/>
  <c r="CF8" i="43"/>
  <c r="CG8" i="43"/>
  <c r="CI8" i="43"/>
  <c r="CJ8" i="43"/>
  <c r="CC9" i="43"/>
  <c r="CD9" i="43"/>
  <c r="CE9" i="43"/>
  <c r="CF9" i="43"/>
  <c r="CG9" i="43"/>
  <c r="CI9" i="43"/>
  <c r="CJ9" i="43"/>
  <c r="CC10" i="43"/>
  <c r="CD10" i="43"/>
  <c r="CE10" i="43"/>
  <c r="CF10" i="43"/>
  <c r="CG10" i="43"/>
  <c r="CI10" i="43"/>
  <c r="CJ10" i="43"/>
  <c r="CC11" i="43"/>
  <c r="CD11" i="43"/>
  <c r="CE11" i="43"/>
  <c r="CF11" i="43"/>
  <c r="CG11" i="43"/>
  <c r="CI11" i="43"/>
  <c r="CJ11" i="43"/>
  <c r="CC12" i="43"/>
  <c r="CD12" i="43"/>
  <c r="CE12" i="43"/>
  <c r="CF12" i="43"/>
  <c r="CG12" i="43"/>
  <c r="CI12" i="43"/>
  <c r="CJ12" i="43"/>
  <c r="CC13" i="43"/>
  <c r="CD13" i="43"/>
  <c r="CE13" i="43"/>
  <c r="CF13" i="43"/>
  <c r="CG13" i="43"/>
  <c r="CI13" i="43"/>
  <c r="CJ13" i="43"/>
  <c r="CC14" i="43"/>
  <c r="CD14" i="43"/>
  <c r="CE14" i="43"/>
  <c r="CF14" i="43"/>
  <c r="CG14" i="43"/>
  <c r="CI14" i="43"/>
  <c r="CJ14" i="43"/>
  <c r="CC15" i="43"/>
  <c r="CD15" i="43"/>
  <c r="CE15" i="43"/>
  <c r="CF15" i="43"/>
  <c r="CG15" i="43"/>
  <c r="CI15" i="43"/>
  <c r="CJ15" i="43"/>
  <c r="CC16" i="43"/>
  <c r="CD16" i="43"/>
  <c r="CE16" i="43"/>
  <c r="CF16" i="43"/>
  <c r="CG16" i="43"/>
  <c r="CI16" i="43"/>
  <c r="CJ16" i="43"/>
  <c r="CC17" i="43"/>
  <c r="CD17" i="43"/>
  <c r="CE17" i="43"/>
  <c r="CF17" i="43"/>
  <c r="CG17" i="43"/>
  <c r="CI17" i="43"/>
  <c r="CJ17" i="43"/>
  <c r="BG4" i="43"/>
  <c r="BH4" i="43"/>
  <c r="BI4" i="43"/>
  <c r="BJ4" i="43"/>
  <c r="BK4" i="43"/>
  <c r="BM4" i="43"/>
  <c r="BN4" i="43"/>
  <c r="BG5" i="43"/>
  <c r="BH5" i="43"/>
  <c r="BI5" i="43"/>
  <c r="BJ5" i="43"/>
  <c r="BK5" i="43"/>
  <c r="BM5" i="43"/>
  <c r="BN5" i="43"/>
  <c r="BG6" i="43"/>
  <c r="BH6" i="43"/>
  <c r="BI6" i="43"/>
  <c r="BJ6" i="43"/>
  <c r="BK6" i="43"/>
  <c r="BM6" i="43"/>
  <c r="BN6" i="43"/>
  <c r="BG7" i="43"/>
  <c r="BH7" i="43"/>
  <c r="BI7" i="43"/>
  <c r="BJ7" i="43"/>
  <c r="BK7" i="43"/>
  <c r="BM7" i="43"/>
  <c r="BN7" i="43"/>
  <c r="BG8" i="43"/>
  <c r="BH8" i="43"/>
  <c r="BI8" i="43"/>
  <c r="BJ8" i="43"/>
  <c r="BK8" i="43"/>
  <c r="BM8" i="43"/>
  <c r="BN8" i="43"/>
  <c r="BG9" i="43"/>
  <c r="BH9" i="43"/>
  <c r="BI9" i="43"/>
  <c r="BJ9" i="43"/>
  <c r="BK9" i="43"/>
  <c r="BM9" i="43"/>
  <c r="BN9" i="43"/>
  <c r="BG10" i="43"/>
  <c r="BH10" i="43"/>
  <c r="BI10" i="43"/>
  <c r="BJ10" i="43"/>
  <c r="BK10" i="43"/>
  <c r="BM10" i="43"/>
  <c r="BN10" i="43"/>
  <c r="BG11" i="43"/>
  <c r="BH11" i="43"/>
  <c r="BI11" i="43"/>
  <c r="BJ11" i="43"/>
  <c r="BK11" i="43"/>
  <c r="BM11" i="43"/>
  <c r="BN11" i="43"/>
  <c r="BG12" i="43"/>
  <c r="BH12" i="43"/>
  <c r="BI12" i="43"/>
  <c r="BJ12" i="43"/>
  <c r="BK12" i="43"/>
  <c r="BM12" i="43"/>
  <c r="BN12" i="43"/>
  <c r="BG13" i="43"/>
  <c r="BH13" i="43"/>
  <c r="BI13" i="43"/>
  <c r="BJ13" i="43"/>
  <c r="BK13" i="43"/>
  <c r="BM13" i="43"/>
  <c r="BN13" i="43"/>
  <c r="BG14" i="43"/>
  <c r="BH14" i="43"/>
  <c r="BI14" i="43"/>
  <c r="BJ14" i="43"/>
  <c r="BK14" i="43"/>
  <c r="BM14" i="43"/>
  <c r="BN14" i="43"/>
  <c r="BG15" i="43"/>
  <c r="BH15" i="43"/>
  <c r="BI15" i="43"/>
  <c r="BJ15" i="43"/>
  <c r="BK15" i="43"/>
  <c r="BM15" i="43"/>
  <c r="BN15" i="43"/>
  <c r="BG16" i="43"/>
  <c r="BH16" i="43"/>
  <c r="BI16" i="43"/>
  <c r="BJ16" i="43"/>
  <c r="BK16" i="43"/>
  <c r="BM16" i="43"/>
  <c r="BN16" i="43"/>
  <c r="BG17" i="43"/>
  <c r="BH17" i="43"/>
  <c r="BI17" i="43"/>
  <c r="BJ17" i="43"/>
  <c r="BK17" i="43"/>
  <c r="BM17" i="43"/>
  <c r="BN17" i="43"/>
  <c r="BR4" i="17"/>
  <c r="BS4" i="17"/>
  <c r="BT4" i="17"/>
  <c r="BU4" i="17"/>
  <c r="BV4" i="17"/>
  <c r="BX4" i="17"/>
  <c r="BY4" i="17"/>
  <c r="BR8" i="43"/>
  <c r="BS8" i="43"/>
  <c r="CE8" i="44"/>
  <c r="BV9" i="43"/>
  <c r="BM30" i="44" l="1"/>
  <c r="BM5" i="44"/>
  <c r="BU17" i="43"/>
  <c r="CF17" i="44"/>
  <c r="BV14" i="43"/>
  <c r="CG14" i="44"/>
  <c r="BX7" i="43"/>
  <c r="CI7" i="44"/>
  <c r="BT17" i="43"/>
  <c r="CE17" i="44"/>
  <c r="BR15" i="43"/>
  <c r="CC15" i="44"/>
  <c r="BY13" i="43"/>
  <c r="CJ13" i="44"/>
  <c r="BT13" i="43"/>
  <c r="CE13" i="44"/>
  <c r="BX12" i="43"/>
  <c r="CI12" i="44"/>
  <c r="BS12" i="43"/>
  <c r="CD12" i="44"/>
  <c r="BV11" i="43"/>
  <c r="CG11" i="44"/>
  <c r="BR11" i="43"/>
  <c r="CC11" i="44"/>
  <c r="BU10" i="43"/>
  <c r="CF10" i="44"/>
  <c r="BY9" i="43"/>
  <c r="CJ9" i="44"/>
  <c r="BT9" i="43"/>
  <c r="CE9" i="44"/>
  <c r="BX8" i="43"/>
  <c r="CI8" i="44"/>
  <c r="BV7" i="43"/>
  <c r="CG7" i="44"/>
  <c r="BR7" i="43"/>
  <c r="CC7" i="44"/>
  <c r="BU6" i="43"/>
  <c r="CF6" i="44"/>
  <c r="BY5" i="43"/>
  <c r="CJ5" i="44"/>
  <c r="BT5" i="43"/>
  <c r="CE5" i="44"/>
  <c r="BX4" i="43"/>
  <c r="CI4" i="44"/>
  <c r="BS4" i="43"/>
  <c r="CD4" i="44"/>
  <c r="BY16" i="43"/>
  <c r="CJ16" i="44"/>
  <c r="BX15" i="43"/>
  <c r="CI15" i="44"/>
  <c r="BR14" i="43"/>
  <c r="CC14" i="44"/>
  <c r="BU13" i="43"/>
  <c r="CF13" i="44"/>
  <c r="BT12" i="43"/>
  <c r="CE12" i="44"/>
  <c r="BX11" i="43"/>
  <c r="CI11" i="44"/>
  <c r="BS11" i="43"/>
  <c r="CD11" i="44"/>
  <c r="BV10" i="43"/>
  <c r="CG10" i="44"/>
  <c r="BR10" i="43"/>
  <c r="CC10" i="44"/>
  <c r="BU9" i="43"/>
  <c r="CF9" i="44"/>
  <c r="BY8" i="43"/>
  <c r="CJ8" i="44"/>
  <c r="BS7" i="43"/>
  <c r="CD7" i="44"/>
  <c r="BR6" i="43"/>
  <c r="CC6" i="44"/>
  <c r="BU5" i="43"/>
  <c r="CF5" i="44"/>
  <c r="BY4" i="43"/>
  <c r="CJ4" i="44"/>
  <c r="BX16" i="43"/>
  <c r="CI16" i="44"/>
  <c r="BV15" i="43"/>
  <c r="CG15" i="44"/>
  <c r="BX17" i="43"/>
  <c r="CI17" i="44"/>
  <c r="BS17" i="43"/>
  <c r="CD17" i="44"/>
  <c r="BV16" i="43"/>
  <c r="CG16" i="44"/>
  <c r="BR16" i="43"/>
  <c r="CC16" i="44"/>
  <c r="BU15" i="43"/>
  <c r="CF15" i="44"/>
  <c r="BY14" i="43"/>
  <c r="CJ14" i="44"/>
  <c r="BT14" i="43"/>
  <c r="CE14" i="44"/>
  <c r="BX13" i="43"/>
  <c r="CI13" i="44"/>
  <c r="BS13" i="43"/>
  <c r="CD13" i="44"/>
  <c r="BV12" i="43"/>
  <c r="CG12" i="44"/>
  <c r="BR12" i="43"/>
  <c r="CC12" i="44"/>
  <c r="BU11" i="43"/>
  <c r="CF11" i="44"/>
  <c r="BY10" i="43"/>
  <c r="CJ10" i="44"/>
  <c r="BT10" i="43"/>
  <c r="CE10" i="44"/>
  <c r="BX9" i="43"/>
  <c r="CI9" i="44"/>
  <c r="BS9" i="43"/>
  <c r="CD9" i="44"/>
  <c r="BV8" i="43"/>
  <c r="CG8" i="44"/>
  <c r="BU7" i="43"/>
  <c r="CF7" i="44"/>
  <c r="BY6" i="43"/>
  <c r="CJ6" i="44"/>
  <c r="BT6" i="43"/>
  <c r="CE6" i="44"/>
  <c r="BX5" i="43"/>
  <c r="CI5" i="44"/>
  <c r="BS5" i="43"/>
  <c r="CD5" i="44"/>
  <c r="BV4" i="43"/>
  <c r="CG4" i="44"/>
  <c r="BR4" i="43"/>
  <c r="CC4" i="44"/>
  <c r="BT16" i="43"/>
  <c r="CE16" i="44"/>
  <c r="BS15" i="43"/>
  <c r="CD15" i="44"/>
  <c r="BY12" i="43"/>
  <c r="CJ12" i="44"/>
  <c r="BV6" i="43"/>
  <c r="CG6" i="44"/>
  <c r="BT4" i="43"/>
  <c r="CE4" i="44"/>
  <c r="BY17" i="43"/>
  <c r="CJ17" i="44"/>
  <c r="BS16" i="43"/>
  <c r="CD16" i="44"/>
  <c r="BU14" i="43"/>
  <c r="CF14" i="44"/>
  <c r="BV17" i="43"/>
  <c r="CG17" i="44"/>
  <c r="BR17" i="43"/>
  <c r="CC17" i="44"/>
  <c r="BU16" i="43"/>
  <c r="CF16" i="44"/>
  <c r="BY15" i="43"/>
  <c r="CJ15" i="44"/>
  <c r="BT15" i="43"/>
  <c r="CE15" i="44"/>
  <c r="BX14" i="43"/>
  <c r="CI14" i="44"/>
  <c r="BS14" i="43"/>
  <c r="CD14" i="44"/>
  <c r="BV13" i="43"/>
  <c r="CG13" i="44"/>
  <c r="BR13" i="43"/>
  <c r="CC13" i="44"/>
  <c r="BU12" i="43"/>
  <c r="CF12" i="44"/>
  <c r="BY11" i="43"/>
  <c r="CJ11" i="44"/>
  <c r="BT11" i="43"/>
  <c r="CE11" i="44"/>
  <c r="BX10" i="43"/>
  <c r="CI10" i="44"/>
  <c r="BS10" i="43"/>
  <c r="CD10" i="44"/>
  <c r="BR9" i="43"/>
  <c r="CC9" i="44"/>
  <c r="BU8" i="43"/>
  <c r="CF8" i="44"/>
  <c r="BY7" i="43"/>
  <c r="CJ7" i="44"/>
  <c r="BT7" i="43"/>
  <c r="CE7" i="44"/>
  <c r="BX6" i="43"/>
  <c r="CI6" i="44"/>
  <c r="BS6" i="43"/>
  <c r="CD6" i="44"/>
  <c r="BV5" i="43"/>
  <c r="CG5" i="44"/>
  <c r="BR5" i="43"/>
  <c r="CC5" i="44"/>
  <c r="BU4" i="43"/>
  <c r="CF4" i="44"/>
  <c r="AQ6" i="17"/>
  <c r="BC5" i="44"/>
  <c r="BT8" i="43"/>
  <c r="BZ8" i="17"/>
  <c r="L34" i="20"/>
  <c r="E34" i="20"/>
  <c r="J34" i="12"/>
  <c r="J34" i="11"/>
  <c r="BM31" i="44" l="1"/>
  <c r="BM22" i="44"/>
  <c r="BM6" i="44"/>
  <c r="CK8" i="44"/>
  <c r="CK12" i="44"/>
  <c r="CK17" i="44"/>
  <c r="AQ7" i="17"/>
  <c r="BC6" i="44"/>
  <c r="CK4" i="44"/>
  <c r="CK16" i="44"/>
  <c r="CK6" i="44"/>
  <c r="CK10" i="44"/>
  <c r="CK14" i="44"/>
  <c r="CK7" i="44"/>
  <c r="CK11" i="44"/>
  <c r="CK15" i="44"/>
  <c r="CK5" i="44"/>
  <c r="CK9" i="44"/>
  <c r="CK13" i="44"/>
  <c r="BM32" i="44" l="1"/>
  <c r="BM23" i="44"/>
  <c r="BM7" i="44"/>
  <c r="AQ8" i="17"/>
  <c r="BC7" i="44"/>
  <c r="BM33" i="44" l="1"/>
  <c r="BM24" i="44"/>
  <c r="BM8" i="44"/>
  <c r="AQ9" i="17"/>
  <c r="BC8" i="44"/>
  <c r="BM25" i="44" l="1"/>
  <c r="BM9" i="44"/>
  <c r="AQ10" i="17"/>
  <c r="BC9" i="44"/>
  <c r="BM26" i="44" l="1"/>
  <c r="BM10" i="44"/>
  <c r="AQ11" i="17"/>
  <c r="BC10" i="44"/>
  <c r="CE29" i="44"/>
  <c r="CI29" i="44"/>
  <c r="BM27" i="44" l="1"/>
  <c r="BM11" i="44"/>
  <c r="AQ12" i="17"/>
  <c r="BC11" i="44"/>
  <c r="CI28" i="44"/>
  <c r="CI27" i="44"/>
  <c r="BM28" i="44" l="1"/>
  <c r="BM12" i="44"/>
  <c r="AQ13" i="17"/>
  <c r="AQ13" i="43" s="1"/>
  <c r="BC12" i="44"/>
  <c r="CJ32" i="43"/>
  <c r="CI32" i="43"/>
  <c r="CE32" i="43"/>
  <c r="CD32" i="43"/>
  <c r="CC32" i="43"/>
  <c r="CJ31" i="43"/>
  <c r="CI31" i="43"/>
  <c r="CE31" i="43"/>
  <c r="CD31" i="43"/>
  <c r="CC31" i="43"/>
  <c r="CJ30" i="43"/>
  <c r="CI30" i="43"/>
  <c r="CE30" i="43"/>
  <c r="CD30" i="43"/>
  <c r="CC30" i="43"/>
  <c r="CJ29" i="43"/>
  <c r="CI29" i="43"/>
  <c r="CE29" i="43"/>
  <c r="CD29" i="43"/>
  <c r="CC29" i="43"/>
  <c r="CJ28" i="43"/>
  <c r="CI28" i="43"/>
  <c r="CD28" i="43"/>
  <c r="CC28" i="43"/>
  <c r="CJ27" i="43"/>
  <c r="CI27" i="43"/>
  <c r="CD27" i="43"/>
  <c r="CC27" i="43"/>
  <c r="CJ26" i="43"/>
  <c r="CI26" i="43"/>
  <c r="CD26" i="43"/>
  <c r="CC26" i="43"/>
  <c r="CJ25" i="43"/>
  <c r="CI25" i="43"/>
  <c r="CD25" i="43"/>
  <c r="CC25" i="43"/>
  <c r="CJ24" i="43"/>
  <c r="CI24" i="43"/>
  <c r="CD24" i="43"/>
  <c r="CC24" i="43"/>
  <c r="CJ23" i="43"/>
  <c r="CI23" i="43"/>
  <c r="CD23" i="43"/>
  <c r="CC23" i="43"/>
  <c r="CJ22" i="43"/>
  <c r="CI22" i="43"/>
  <c r="CD22" i="43"/>
  <c r="CC22" i="43"/>
  <c r="CJ21" i="43"/>
  <c r="CI21" i="43"/>
  <c r="CD21" i="43"/>
  <c r="CC21" i="43"/>
  <c r="CJ20" i="43"/>
  <c r="CI20" i="43"/>
  <c r="CC20" i="43"/>
  <c r="CJ19" i="43"/>
  <c r="CI19" i="43"/>
  <c r="CD19" i="43"/>
  <c r="CC19" i="43"/>
  <c r="CJ18" i="43"/>
  <c r="CI18" i="43"/>
  <c r="CG18" i="43"/>
  <c r="CF18" i="43"/>
  <c r="CE18" i="43"/>
  <c r="CD18" i="43"/>
  <c r="CC18" i="43"/>
  <c r="BY32" i="43"/>
  <c r="BX32" i="43"/>
  <c r="BT32" i="43"/>
  <c r="BY31" i="43"/>
  <c r="BX31" i="43"/>
  <c r="BT31" i="43"/>
  <c r="BY30" i="43"/>
  <c r="BX30" i="43"/>
  <c r="BT30" i="43"/>
  <c r="BY29" i="43"/>
  <c r="BX29" i="43"/>
  <c r="BT29" i="43"/>
  <c r="BY28" i="43"/>
  <c r="BX28" i="43"/>
  <c r="BY27" i="43"/>
  <c r="BX27" i="43"/>
  <c r="BY26" i="43"/>
  <c r="BY25" i="43"/>
  <c r="BY24" i="43"/>
  <c r="BY23" i="43"/>
  <c r="BY22" i="43"/>
  <c r="BY21" i="43"/>
  <c r="BN32" i="43"/>
  <c r="BM32" i="43"/>
  <c r="BJ32" i="43"/>
  <c r="BI32" i="43"/>
  <c r="BN31" i="43"/>
  <c r="BM31" i="43"/>
  <c r="BJ31" i="43"/>
  <c r="BI31" i="43"/>
  <c r="BN30" i="43"/>
  <c r="BM30" i="43"/>
  <c r="BJ30" i="43"/>
  <c r="BI30" i="43"/>
  <c r="BN29" i="43"/>
  <c r="BM29" i="43"/>
  <c r="BJ29" i="43"/>
  <c r="BI29" i="43"/>
  <c r="BN28" i="43"/>
  <c r="BM28" i="43"/>
  <c r="BJ28" i="43"/>
  <c r="BN27" i="43"/>
  <c r="BM27" i="43"/>
  <c r="BJ27" i="43"/>
  <c r="BN26" i="43"/>
  <c r="BJ26" i="43"/>
  <c r="BN25" i="43"/>
  <c r="BJ25" i="43"/>
  <c r="BN24" i="43"/>
  <c r="BJ24" i="43"/>
  <c r="BN23" i="43"/>
  <c r="BJ23" i="43"/>
  <c r="BN22" i="43"/>
  <c r="BJ22" i="43"/>
  <c r="BN21" i="43"/>
  <c r="BJ21" i="43"/>
  <c r="BJ20" i="43"/>
  <c r="BJ19" i="43"/>
  <c r="BN18" i="43"/>
  <c r="BM18" i="43"/>
  <c r="BK18" i="43"/>
  <c r="BJ18" i="43"/>
  <c r="BI18" i="43"/>
  <c r="BH18" i="43"/>
  <c r="BG18" i="43"/>
  <c r="AS32" i="43"/>
  <c r="AS31" i="43"/>
  <c r="AS30" i="43"/>
  <c r="AS29" i="43"/>
  <c r="AS28" i="43"/>
  <c r="AS27" i="43"/>
  <c r="AS26" i="43"/>
  <c r="AS25" i="43"/>
  <c r="AS24" i="43"/>
  <c r="AS23" i="43"/>
  <c r="AS22" i="43"/>
  <c r="AS21" i="43"/>
  <c r="AQ12" i="43"/>
  <c r="AQ11" i="43"/>
  <c r="AQ10" i="43"/>
  <c r="AQ9" i="43"/>
  <c r="AQ8" i="43"/>
  <c r="AQ7" i="43"/>
  <c r="AQ6" i="43"/>
  <c r="AQ5" i="43"/>
  <c r="AQ4" i="43"/>
  <c r="AK32" i="43"/>
  <c r="AK31" i="43"/>
  <c r="AK30" i="43"/>
  <c r="AK29" i="43"/>
  <c r="AK28" i="43"/>
  <c r="AK27" i="43"/>
  <c r="AK26" i="43"/>
  <c r="AK25" i="43"/>
  <c r="AK24" i="43"/>
  <c r="AK23" i="43"/>
  <c r="AK22" i="43"/>
  <c r="AK21" i="43"/>
  <c r="AK20" i="43"/>
  <c r="AK19" i="43"/>
  <c r="AK18" i="43"/>
  <c r="AK17" i="43"/>
  <c r="AK16" i="43"/>
  <c r="AK15" i="43"/>
  <c r="AK14" i="43"/>
  <c r="AK13" i="43"/>
  <c r="AK12" i="43"/>
  <c r="AK11" i="43"/>
  <c r="AK10" i="43"/>
  <c r="AK9" i="43"/>
  <c r="AK8" i="43"/>
  <c r="AK7" i="43"/>
  <c r="AK6" i="43"/>
  <c r="AK5" i="43"/>
  <c r="CB5" i="43"/>
  <c r="CB6" i="43" s="1"/>
  <c r="CB7" i="43" s="1"/>
  <c r="CB8" i="43" s="1"/>
  <c r="CB9" i="43" s="1"/>
  <c r="CB10" i="43" s="1"/>
  <c r="CB11" i="43" s="1"/>
  <c r="CB12" i="43" s="1"/>
  <c r="CB13" i="43" s="1"/>
  <c r="CB14" i="43" s="1"/>
  <c r="CB15" i="43" s="1"/>
  <c r="CB16" i="43" s="1"/>
  <c r="CB17" i="43" s="1"/>
  <c r="CB18" i="43" s="1"/>
  <c r="CB19" i="43" s="1"/>
  <c r="CB20" i="43" s="1"/>
  <c r="CB21" i="43" s="1"/>
  <c r="CB22" i="43" s="1"/>
  <c r="CB23" i="43" s="1"/>
  <c r="CB24" i="43" s="1"/>
  <c r="CB25" i="43" s="1"/>
  <c r="CB26" i="43" s="1"/>
  <c r="CB27" i="43" s="1"/>
  <c r="CB28" i="43" s="1"/>
  <c r="CB29" i="43" s="1"/>
  <c r="CB30" i="43" s="1"/>
  <c r="CB31" i="43" s="1"/>
  <c r="CB32" i="43" s="1"/>
  <c r="BQ5" i="43"/>
  <c r="BQ6" i="43" s="1"/>
  <c r="BQ7" i="43" s="1"/>
  <c r="BQ8" i="43" s="1"/>
  <c r="BQ9" i="43" s="1"/>
  <c r="BQ10" i="43" s="1"/>
  <c r="BQ11" i="43" s="1"/>
  <c r="BQ12" i="43" s="1"/>
  <c r="BQ13" i="43" s="1"/>
  <c r="BQ14" i="43" s="1"/>
  <c r="BQ15" i="43" s="1"/>
  <c r="BQ16" i="43" s="1"/>
  <c r="BQ17" i="43" s="1"/>
  <c r="BQ18" i="43" s="1"/>
  <c r="BQ19" i="43" s="1"/>
  <c r="BQ20" i="43" s="1"/>
  <c r="BQ21" i="43" s="1"/>
  <c r="BQ22" i="43" s="1"/>
  <c r="BQ23" i="43" s="1"/>
  <c r="BQ24" i="43" s="1"/>
  <c r="BQ25" i="43" s="1"/>
  <c r="BQ26" i="43" s="1"/>
  <c r="BQ27" i="43" s="1"/>
  <c r="BQ28" i="43" s="1"/>
  <c r="BQ29" i="43" s="1"/>
  <c r="BQ30" i="43" s="1"/>
  <c r="BQ31" i="43" s="1"/>
  <c r="BQ32" i="43" s="1"/>
  <c r="BF5" i="43"/>
  <c r="BF6" i="43" s="1"/>
  <c r="BF7" i="43" s="1"/>
  <c r="BF8" i="43" s="1"/>
  <c r="BF9" i="43" s="1"/>
  <c r="BF10" i="43" s="1"/>
  <c r="BF11" i="43" s="1"/>
  <c r="BF12" i="43" s="1"/>
  <c r="BF13" i="43" s="1"/>
  <c r="BF14" i="43" s="1"/>
  <c r="BF15" i="43" s="1"/>
  <c r="BF16" i="43" s="1"/>
  <c r="BF17" i="43" s="1"/>
  <c r="BF18" i="43" s="1"/>
  <c r="BF19" i="43" s="1"/>
  <c r="BF20" i="43" s="1"/>
  <c r="BF21" i="43" s="1"/>
  <c r="BF22" i="43" s="1"/>
  <c r="BF23" i="43" s="1"/>
  <c r="BF24" i="43" s="1"/>
  <c r="BF25" i="43" s="1"/>
  <c r="BF26" i="43" s="1"/>
  <c r="BF27" i="43" s="1"/>
  <c r="BF28" i="43" s="1"/>
  <c r="BF29" i="43" s="1"/>
  <c r="BF30" i="43" s="1"/>
  <c r="BF31" i="43" s="1"/>
  <c r="BF32" i="43" s="1"/>
  <c r="BA5" i="43"/>
  <c r="BA6" i="43" s="1"/>
  <c r="BA7" i="43" s="1"/>
  <c r="BA8" i="43" s="1"/>
  <c r="BA9" i="43" s="1"/>
  <c r="BA10" i="43" s="1"/>
  <c r="BA11" i="43" s="1"/>
  <c r="BA12" i="43" s="1"/>
  <c r="BA13" i="43" s="1"/>
  <c r="BA14" i="43" s="1"/>
  <c r="BA15" i="43" s="1"/>
  <c r="BA16" i="43" s="1"/>
  <c r="BA17" i="43" s="1"/>
  <c r="BA18" i="43" s="1"/>
  <c r="BA19" i="43" s="1"/>
  <c r="BA20" i="43" s="1"/>
  <c r="BA21" i="43" s="1"/>
  <c r="BA22" i="43" s="1"/>
  <c r="BA23" i="43" s="1"/>
  <c r="BA24" i="43" s="1"/>
  <c r="BA25" i="43" s="1"/>
  <c r="BA26" i="43" s="1"/>
  <c r="BA27" i="43" s="1"/>
  <c r="BA28" i="43" s="1"/>
  <c r="BA29" i="43" s="1"/>
  <c r="BA30" i="43" s="1"/>
  <c r="BA31" i="43" s="1"/>
  <c r="BA32" i="43" s="1"/>
  <c r="AV5" i="43"/>
  <c r="AV6" i="43" s="1"/>
  <c r="AV7" i="43" s="1"/>
  <c r="AV8" i="43" s="1"/>
  <c r="AV9" i="43" s="1"/>
  <c r="AV10" i="43" s="1"/>
  <c r="AV11" i="43" s="1"/>
  <c r="AV12" i="43" s="1"/>
  <c r="AV13" i="43" s="1"/>
  <c r="AV14" i="43" s="1"/>
  <c r="AV15" i="43" s="1"/>
  <c r="AV16" i="43" s="1"/>
  <c r="AV17" i="43" s="1"/>
  <c r="AV18" i="43" s="1"/>
  <c r="AV19" i="43" s="1"/>
  <c r="AV20" i="43" s="1"/>
  <c r="AV21" i="43" s="1"/>
  <c r="AV22" i="43" s="1"/>
  <c r="AV23" i="43" s="1"/>
  <c r="AV24" i="43" s="1"/>
  <c r="AV25" i="43" s="1"/>
  <c r="AV26" i="43" s="1"/>
  <c r="AV27" i="43" s="1"/>
  <c r="AV28" i="43" s="1"/>
  <c r="AV29" i="43" s="1"/>
  <c r="AV30" i="43" s="1"/>
  <c r="AV31" i="43" s="1"/>
  <c r="AV32" i="43" s="1"/>
  <c r="AP5" i="43"/>
  <c r="AP6" i="43" s="1"/>
  <c r="AP7" i="43" s="1"/>
  <c r="AP8" i="43" s="1"/>
  <c r="AP9" i="43" s="1"/>
  <c r="AP10" i="43" s="1"/>
  <c r="AP11" i="43" s="1"/>
  <c r="AP12" i="43" s="1"/>
  <c r="AP13" i="43" s="1"/>
  <c r="AP14" i="43" s="1"/>
  <c r="AP15" i="43" s="1"/>
  <c r="AP16" i="43" s="1"/>
  <c r="AP17" i="43" s="1"/>
  <c r="AP18" i="43" s="1"/>
  <c r="AP19" i="43" s="1"/>
  <c r="AP20" i="43" s="1"/>
  <c r="AP21" i="43" s="1"/>
  <c r="AP22" i="43" s="1"/>
  <c r="AP23" i="43" s="1"/>
  <c r="AP24" i="43" s="1"/>
  <c r="AP25" i="43" s="1"/>
  <c r="AP26" i="43" s="1"/>
  <c r="AP27" i="43" s="1"/>
  <c r="AP28" i="43" s="1"/>
  <c r="AP29" i="43" s="1"/>
  <c r="AP30" i="43" s="1"/>
  <c r="AP31" i="43" s="1"/>
  <c r="AP32" i="43" s="1"/>
  <c r="B5" i="43"/>
  <c r="B6" i="43" s="1"/>
  <c r="B7" i="43" s="1"/>
  <c r="B8" i="43" s="1"/>
  <c r="B9" i="43" s="1"/>
  <c r="B10" i="43" s="1"/>
  <c r="B11" i="43" s="1"/>
  <c r="B12" i="43" s="1"/>
  <c r="B13" i="43" s="1"/>
  <c r="B14" i="43" s="1"/>
  <c r="B15" i="43" s="1"/>
  <c r="B16" i="43" s="1"/>
  <c r="B17" i="43" s="1"/>
  <c r="B18" i="43" s="1"/>
  <c r="B19" i="43" s="1"/>
  <c r="B20" i="43" s="1"/>
  <c r="B21" i="43" s="1"/>
  <c r="B22" i="43" s="1"/>
  <c r="B23" i="43" s="1"/>
  <c r="B24" i="43" s="1"/>
  <c r="B25" i="43" s="1"/>
  <c r="B26" i="43" s="1"/>
  <c r="B27" i="43" s="1"/>
  <c r="B28" i="43" s="1"/>
  <c r="B29" i="43" s="1"/>
  <c r="B30" i="43" s="1"/>
  <c r="B31" i="43" s="1"/>
  <c r="B32" i="43" s="1"/>
  <c r="AF3" i="43"/>
  <c r="AD3" i="43"/>
  <c r="W3" i="43"/>
  <c r="V3" i="43"/>
  <c r="U3" i="43"/>
  <c r="BM29" i="44" l="1"/>
  <c r="BM13" i="44"/>
  <c r="AQ14" i="17"/>
  <c r="BC13" i="44"/>
  <c r="AS19" i="43"/>
  <c r="BM14" i="44" l="1"/>
  <c r="AQ15" i="17"/>
  <c r="BC14" i="44"/>
  <c r="AQ14" i="43"/>
  <c r="AS20" i="43"/>
  <c r="AS18" i="43"/>
  <c r="AS17" i="43"/>
  <c r="BM15" i="44" l="1"/>
  <c r="AQ16" i="17"/>
  <c r="BC15" i="44"/>
  <c r="AQ15" i="43"/>
  <c r="CD20" i="43"/>
  <c r="BM16" i="44" l="1"/>
  <c r="AQ17" i="17"/>
  <c r="BC16" i="44"/>
  <c r="AQ16" i="43"/>
  <c r="BM17" i="44" l="1"/>
  <c r="BS19" i="43"/>
  <c r="CD19" i="44"/>
  <c r="AQ18" i="17"/>
  <c r="BC17" i="44"/>
  <c r="AQ17" i="43"/>
  <c r="BI19" i="43"/>
  <c r="BM19" i="43"/>
  <c r="BN19" i="43"/>
  <c r="BN20" i="43"/>
  <c r="BH19" i="43"/>
  <c r="CE19" i="43"/>
  <c r="BM18" i="44" l="1"/>
  <c r="BT19" i="43"/>
  <c r="CE19" i="44"/>
  <c r="BX19" i="43"/>
  <c r="CI19" i="44"/>
  <c r="AQ19" i="17"/>
  <c r="BC18" i="44"/>
  <c r="AQ18" i="43"/>
  <c r="BR19" i="43"/>
  <c r="CC19" i="44"/>
  <c r="CE20" i="43"/>
  <c r="BI20" i="43"/>
  <c r="BG19" i="43"/>
  <c r="BK19" i="43"/>
  <c r="CF19" i="43"/>
  <c r="CG19" i="43"/>
  <c r="BH20" i="43"/>
  <c r="BM20" i="43"/>
  <c r="O34" i="9"/>
  <c r="BM19" i="44" l="1"/>
  <c r="BS20" i="43"/>
  <c r="CD20" i="44"/>
  <c r="BV19" i="43"/>
  <c r="CG19" i="44"/>
  <c r="BU19" i="43"/>
  <c r="CF19" i="44"/>
  <c r="BT20" i="43"/>
  <c r="CE20" i="44"/>
  <c r="BX20" i="43"/>
  <c r="CI20" i="44"/>
  <c r="AQ20" i="17"/>
  <c r="BC19" i="44"/>
  <c r="AQ19" i="43"/>
  <c r="BH21" i="43"/>
  <c r="CE21" i="43"/>
  <c r="BI21" i="43"/>
  <c r="BM21" i="43"/>
  <c r="CG20" i="43"/>
  <c r="CF20" i="43"/>
  <c r="BG20" i="43"/>
  <c r="BK20" i="43"/>
  <c r="CJ18" i="44"/>
  <c r="CK20" i="17"/>
  <c r="CK20" i="43" s="1"/>
  <c r="CK19" i="43"/>
  <c r="CK18" i="17"/>
  <c r="CK18" i="43" s="1"/>
  <c r="CK17" i="17"/>
  <c r="CK17" i="43" s="1"/>
  <c r="CK16" i="17"/>
  <c r="CK16" i="43" s="1"/>
  <c r="CK15" i="17"/>
  <c r="CK14" i="17"/>
  <c r="CK14" i="43" s="1"/>
  <c r="CK13" i="17"/>
  <c r="CK13" i="43" s="1"/>
  <c r="CK12" i="17"/>
  <c r="CK12" i="43" s="1"/>
  <c r="CK11" i="17"/>
  <c r="CK11" i="43" s="1"/>
  <c r="CK10" i="17"/>
  <c r="CK10" i="43" s="1"/>
  <c r="CK9" i="17"/>
  <c r="CK9" i="43" s="1"/>
  <c r="CK8" i="17"/>
  <c r="CK8" i="43" s="1"/>
  <c r="CK7" i="17"/>
  <c r="CK7" i="43" s="1"/>
  <c r="CK6" i="17"/>
  <c r="CK6" i="43" s="1"/>
  <c r="CK5" i="17"/>
  <c r="CK5" i="43" s="1"/>
  <c r="CB5" i="17"/>
  <c r="CB6" i="17" s="1"/>
  <c r="CB7" i="17" s="1"/>
  <c r="CB8" i="17" s="1"/>
  <c r="CB9" i="17" s="1"/>
  <c r="CB10" i="17" s="1"/>
  <c r="CB11" i="17" s="1"/>
  <c r="CB12" i="17" s="1"/>
  <c r="CB13" i="17" s="1"/>
  <c r="CB14" i="17" s="1"/>
  <c r="CB15" i="17" s="1"/>
  <c r="CB16" i="17" s="1"/>
  <c r="CB17" i="17" s="1"/>
  <c r="CB18" i="17" s="1"/>
  <c r="CB19" i="17" s="1"/>
  <c r="CB20" i="17" s="1"/>
  <c r="CB21" i="17" s="1"/>
  <c r="CB22" i="17" s="1"/>
  <c r="CB23" i="17" s="1"/>
  <c r="CB24" i="17" s="1"/>
  <c r="CB25" i="17" s="1"/>
  <c r="CB26" i="17" s="1"/>
  <c r="CB27" i="17" s="1"/>
  <c r="CB28" i="17" s="1"/>
  <c r="CB29" i="17" s="1"/>
  <c r="CB30" i="17" s="1"/>
  <c r="CK4" i="43"/>
  <c r="BZ17" i="17"/>
  <c r="BZ17" i="43" s="1"/>
  <c r="BZ16" i="17"/>
  <c r="BZ16" i="43" s="1"/>
  <c r="BZ15" i="17"/>
  <c r="BZ15" i="43" s="1"/>
  <c r="BZ14" i="17"/>
  <c r="BZ14" i="43" s="1"/>
  <c r="BZ13" i="17"/>
  <c r="BZ13" i="43" s="1"/>
  <c r="BZ12" i="17"/>
  <c r="BZ12" i="43" s="1"/>
  <c r="BZ11" i="17"/>
  <c r="BZ11" i="43" s="1"/>
  <c r="BZ10" i="17"/>
  <c r="BZ10" i="43" s="1"/>
  <c r="BZ9" i="17"/>
  <c r="BZ9" i="43" s="1"/>
  <c r="BZ8" i="43"/>
  <c r="BZ7" i="17"/>
  <c r="BZ7" i="43" s="1"/>
  <c r="BZ6" i="17"/>
  <c r="BZ6" i="43" s="1"/>
  <c r="BZ5" i="17"/>
  <c r="BZ5" i="43" s="1"/>
  <c r="BQ5" i="17"/>
  <c r="BQ6" i="17" s="1"/>
  <c r="BQ7" i="17" s="1"/>
  <c r="BQ8" i="17" s="1"/>
  <c r="BQ9" i="17" s="1"/>
  <c r="BQ10" i="17" s="1"/>
  <c r="BQ11" i="17" s="1"/>
  <c r="BQ12" i="17" s="1"/>
  <c r="BQ13" i="17" s="1"/>
  <c r="BQ14" i="17" s="1"/>
  <c r="BQ15" i="17" s="1"/>
  <c r="BQ16" i="17" s="1"/>
  <c r="BQ17" i="17" s="1"/>
  <c r="BQ18" i="17" s="1"/>
  <c r="BQ19" i="17" s="1"/>
  <c r="BQ20" i="17" s="1"/>
  <c r="BQ21" i="17" s="1"/>
  <c r="BQ22" i="17" s="1"/>
  <c r="BQ23" i="17" s="1"/>
  <c r="BQ24" i="17" s="1"/>
  <c r="BQ25" i="17" s="1"/>
  <c r="BQ26" i="17" s="1"/>
  <c r="BQ27" i="17" s="1"/>
  <c r="BQ28" i="17" s="1"/>
  <c r="BQ29" i="17" s="1"/>
  <c r="BQ30" i="17" s="1"/>
  <c r="BZ4" i="17"/>
  <c r="BZ4" i="43" s="1"/>
  <c r="BO4" i="43"/>
  <c r="BO5" i="43"/>
  <c r="BO6" i="43"/>
  <c r="BO7" i="17"/>
  <c r="BO7" i="43" s="1"/>
  <c r="BO8" i="17"/>
  <c r="BO8" i="43" s="1"/>
  <c r="BO9" i="17"/>
  <c r="BO9" i="43" s="1"/>
  <c r="BO10" i="17"/>
  <c r="BO10" i="43" s="1"/>
  <c r="BO11" i="17"/>
  <c r="BO11" i="43" s="1"/>
  <c r="BO12" i="17"/>
  <c r="BO12" i="43" s="1"/>
  <c r="BO13" i="17"/>
  <c r="BO13" i="43" s="1"/>
  <c r="BO14" i="17"/>
  <c r="BO14" i="43" s="1"/>
  <c r="BO15" i="17"/>
  <c r="BO15" i="43" s="1"/>
  <c r="BO16" i="17"/>
  <c r="BO16" i="43" s="1"/>
  <c r="BO17" i="17"/>
  <c r="BO17" i="43" s="1"/>
  <c r="BO18" i="17"/>
  <c r="BO18" i="43" s="1"/>
  <c r="CK15" i="43" l="1"/>
  <c r="BQ33" i="17"/>
  <c r="BQ31" i="17"/>
  <c r="BQ32" i="17" s="1"/>
  <c r="CB33" i="17"/>
  <c r="CB31" i="17"/>
  <c r="CB32" i="17" s="1"/>
  <c r="BM21" i="44"/>
  <c r="BM20" i="44"/>
  <c r="BR18" i="43"/>
  <c r="CC18" i="44"/>
  <c r="BU18" i="43"/>
  <c r="CF18" i="44"/>
  <c r="BR20" i="43"/>
  <c r="CC20" i="44"/>
  <c r="BS21" i="43"/>
  <c r="CD21" i="44"/>
  <c r="BV18" i="43"/>
  <c r="CG18" i="44"/>
  <c r="BT18" i="43"/>
  <c r="CE18" i="44"/>
  <c r="BV20" i="43"/>
  <c r="CG20" i="44"/>
  <c r="BX21" i="43"/>
  <c r="CI21" i="44"/>
  <c r="AQ21" i="17"/>
  <c r="BC20" i="44"/>
  <c r="AQ20" i="43"/>
  <c r="BX18" i="43"/>
  <c r="CI18" i="44"/>
  <c r="BS18" i="43"/>
  <c r="CD18" i="44"/>
  <c r="BU20" i="43"/>
  <c r="CF20" i="44"/>
  <c r="BT21" i="43"/>
  <c r="CE21" i="44"/>
  <c r="CE23" i="43"/>
  <c r="BI22" i="43"/>
  <c r="BM23" i="43"/>
  <c r="CD23" i="44"/>
  <c r="BH23" i="43"/>
  <c r="BY18" i="43"/>
  <c r="CJ19" i="44"/>
  <c r="CK19" i="44" s="1"/>
  <c r="CG21" i="43"/>
  <c r="CE22" i="43"/>
  <c r="CK21" i="43"/>
  <c r="CF21" i="43"/>
  <c r="BG21" i="43"/>
  <c r="CC21" i="44"/>
  <c r="BK21" i="43"/>
  <c r="BM22" i="43"/>
  <c r="CD22" i="44"/>
  <c r="BH22" i="43"/>
  <c r="BZ18" i="17"/>
  <c r="BZ18" i="43" s="1"/>
  <c r="AS16" i="43"/>
  <c r="AS15" i="43"/>
  <c r="AS13" i="43"/>
  <c r="AS11" i="43"/>
  <c r="AS10" i="43"/>
  <c r="AS8" i="43"/>
  <c r="AS7" i="43"/>
  <c r="AS6" i="43"/>
  <c r="AS5" i="43"/>
  <c r="AS4" i="43"/>
  <c r="BT22" i="43" l="1"/>
  <c r="CE22" i="44"/>
  <c r="BT23" i="43"/>
  <c r="CE23" i="44"/>
  <c r="CK18" i="44"/>
  <c r="BX22" i="43"/>
  <c r="CI22" i="44"/>
  <c r="BV21" i="43"/>
  <c r="CG21" i="44"/>
  <c r="BS23" i="43"/>
  <c r="AQ22" i="17"/>
  <c r="BC21" i="44"/>
  <c r="AQ21" i="43"/>
  <c r="BU21" i="43"/>
  <c r="CF21" i="44"/>
  <c r="BX23" i="43"/>
  <c r="CI23" i="44"/>
  <c r="BS22" i="43"/>
  <c r="CK22" i="17"/>
  <c r="CK22" i="43" s="1"/>
  <c r="CG23" i="43"/>
  <c r="BM24" i="43"/>
  <c r="BK22" i="43"/>
  <c r="CK24" i="17"/>
  <c r="CK24" i="43" s="1"/>
  <c r="CF23" i="43"/>
  <c r="CD24" i="44"/>
  <c r="BH24" i="43"/>
  <c r="CK23" i="17"/>
  <c r="CK23" i="43" s="1"/>
  <c r="CC23" i="44"/>
  <c r="BG23" i="43"/>
  <c r="BI23" i="43"/>
  <c r="CE24" i="43"/>
  <c r="CG22" i="43"/>
  <c r="CF22" i="43"/>
  <c r="BY19" i="43"/>
  <c r="CJ20" i="44"/>
  <c r="CK20" i="44" s="1"/>
  <c r="BZ19" i="17"/>
  <c r="BZ19" i="43" s="1"/>
  <c r="BR21" i="43"/>
  <c r="BZ21" i="17"/>
  <c r="BZ21" i="43" s="1"/>
  <c r="AS12" i="43"/>
  <c r="CC22" i="44"/>
  <c r="BG22" i="43"/>
  <c r="AS9" i="43"/>
  <c r="AS14" i="43"/>
  <c r="X5" i="43"/>
  <c r="X6" i="43"/>
  <c r="X7" i="43"/>
  <c r="X8" i="43"/>
  <c r="X9" i="43"/>
  <c r="X10" i="43"/>
  <c r="X11" i="43"/>
  <c r="X12" i="43"/>
  <c r="X13" i="43"/>
  <c r="X14" i="43"/>
  <c r="X15" i="43"/>
  <c r="X16" i="43"/>
  <c r="X17" i="43"/>
  <c r="X18" i="43"/>
  <c r="X19" i="43"/>
  <c r="X20" i="43"/>
  <c r="X21" i="43"/>
  <c r="X22" i="43"/>
  <c r="X23" i="43"/>
  <c r="X24" i="43"/>
  <c r="X25" i="43"/>
  <c r="X26" i="43"/>
  <c r="X27" i="43"/>
  <c r="X28" i="43"/>
  <c r="X29" i="43"/>
  <c r="X30" i="43"/>
  <c r="X31" i="43"/>
  <c r="X32" i="43"/>
  <c r="AF5" i="43"/>
  <c r="AF6" i="43"/>
  <c r="AF7" i="43"/>
  <c r="AF8" i="43"/>
  <c r="AF9" i="43"/>
  <c r="AF10" i="43"/>
  <c r="AF11" i="43"/>
  <c r="AF12" i="43"/>
  <c r="AF13" i="43"/>
  <c r="AF14" i="43"/>
  <c r="AF15" i="43"/>
  <c r="AF16" i="43"/>
  <c r="AF17" i="43"/>
  <c r="AF18" i="43"/>
  <c r="AF19" i="43"/>
  <c r="AF20" i="43"/>
  <c r="AF21" i="43"/>
  <c r="AF22" i="43"/>
  <c r="AF23" i="43"/>
  <c r="AF24" i="43"/>
  <c r="AF25" i="43"/>
  <c r="AF26" i="43"/>
  <c r="AF27" i="43"/>
  <c r="AF28" i="43"/>
  <c r="AF29" i="43"/>
  <c r="AF30" i="43"/>
  <c r="AF31" i="43"/>
  <c r="AF32" i="43"/>
  <c r="CK21" i="44" l="1"/>
  <c r="BV22" i="43"/>
  <c r="CG22" i="44"/>
  <c r="BS24" i="43"/>
  <c r="BU23" i="43"/>
  <c r="CF23" i="44"/>
  <c r="AQ23" i="17"/>
  <c r="BC22" i="44"/>
  <c r="AQ22" i="43"/>
  <c r="BT24" i="43"/>
  <c r="CE24" i="44"/>
  <c r="BU22" i="43"/>
  <c r="CF22" i="44"/>
  <c r="BX24" i="43"/>
  <c r="CI24" i="44"/>
  <c r="CC24" i="44"/>
  <c r="BG24" i="43"/>
  <c r="CD25" i="44"/>
  <c r="BH25" i="43"/>
  <c r="BI24" i="43"/>
  <c r="CE25" i="43"/>
  <c r="CF24" i="43"/>
  <c r="CG24" i="43"/>
  <c r="BK23" i="43"/>
  <c r="BR23" i="43"/>
  <c r="BM25" i="43"/>
  <c r="BR22" i="43"/>
  <c r="BZ22" i="17"/>
  <c r="BZ22" i="43" s="1"/>
  <c r="BY20" i="43"/>
  <c r="BZ20" i="17"/>
  <c r="BZ20" i="43" s="1"/>
  <c r="CK22" i="44" l="1"/>
  <c r="BS25" i="43"/>
  <c r="AQ24" i="17"/>
  <c r="BC23" i="44"/>
  <c r="AQ23" i="43"/>
  <c r="BV23" i="43"/>
  <c r="CG23" i="44"/>
  <c r="CK23" i="44" s="1"/>
  <c r="BU24" i="43"/>
  <c r="CF24" i="44"/>
  <c r="BX25" i="43"/>
  <c r="CI25" i="44"/>
  <c r="CG25" i="43"/>
  <c r="BM26" i="43"/>
  <c r="BK24" i="43"/>
  <c r="BI25" i="43"/>
  <c r="BZ23" i="17"/>
  <c r="BZ23" i="43" s="1"/>
  <c r="BR24" i="43"/>
  <c r="CK25" i="17"/>
  <c r="CK25" i="43" s="1"/>
  <c r="CD26" i="44"/>
  <c r="BH26" i="43"/>
  <c r="CF25" i="43"/>
  <c r="CE26" i="43"/>
  <c r="CK26" i="17"/>
  <c r="CK26" i="43" s="1"/>
  <c r="CC25" i="44"/>
  <c r="BG25" i="43"/>
  <c r="BB4" i="43"/>
  <c r="BO19" i="43"/>
  <c r="BO20" i="43"/>
  <c r="BO21" i="43"/>
  <c r="BO22" i="17"/>
  <c r="BO22" i="43" s="1"/>
  <c r="BO23" i="17"/>
  <c r="BO23" i="43" s="1"/>
  <c r="BO24" i="17"/>
  <c r="BO24" i="43" s="1"/>
  <c r="BO25" i="17"/>
  <c r="BO25" i="43" s="1"/>
  <c r="BF5" i="17"/>
  <c r="BF6" i="17" s="1"/>
  <c r="BF7" i="17" s="1"/>
  <c r="BF8" i="17" s="1"/>
  <c r="BF9" i="17" s="1"/>
  <c r="BF10" i="17" s="1"/>
  <c r="BF11" i="17" s="1"/>
  <c r="BF12" i="17" s="1"/>
  <c r="BF13" i="17" s="1"/>
  <c r="BF14" i="17" s="1"/>
  <c r="BF15" i="17" s="1"/>
  <c r="BF16" i="17" s="1"/>
  <c r="BF17" i="17" s="1"/>
  <c r="BF18" i="17" s="1"/>
  <c r="BF19" i="17" s="1"/>
  <c r="BF20" i="17" s="1"/>
  <c r="BF21" i="17" s="1"/>
  <c r="BF22" i="17" s="1"/>
  <c r="BF23" i="17" s="1"/>
  <c r="BF24" i="17" s="1"/>
  <c r="BF25" i="17" s="1"/>
  <c r="BF26" i="17" s="1"/>
  <c r="BF27" i="17" s="1"/>
  <c r="BF28" i="17" s="1"/>
  <c r="BF29" i="17" s="1"/>
  <c r="BF30" i="17" s="1"/>
  <c r="BA5" i="17"/>
  <c r="BA6" i="17" s="1"/>
  <c r="BA7" i="17" s="1"/>
  <c r="BA8" i="17" s="1"/>
  <c r="BA9" i="17" s="1"/>
  <c r="BA10" i="17" s="1"/>
  <c r="BA11" i="17" s="1"/>
  <c r="BA12" i="17" s="1"/>
  <c r="BA13" i="17" s="1"/>
  <c r="BA14" i="17" s="1"/>
  <c r="BA15" i="17" s="1"/>
  <c r="BA16" i="17" s="1"/>
  <c r="BA17" i="17" s="1"/>
  <c r="BA18" i="17" s="1"/>
  <c r="BA19" i="17" s="1"/>
  <c r="BA20" i="17" s="1"/>
  <c r="BA21" i="17" s="1"/>
  <c r="BA22" i="17" s="1"/>
  <c r="BA23" i="17" s="1"/>
  <c r="BA24" i="17" s="1"/>
  <c r="BA25" i="17" s="1"/>
  <c r="BA26" i="17" s="1"/>
  <c r="BA27" i="17" s="1"/>
  <c r="BA28" i="17" s="1"/>
  <c r="BA29" i="17" s="1"/>
  <c r="BA30" i="17" s="1"/>
  <c r="AV5" i="17"/>
  <c r="AV6" i="17" s="1"/>
  <c r="AV7" i="17" s="1"/>
  <c r="AV8" i="17" s="1"/>
  <c r="AV9" i="17" s="1"/>
  <c r="AV10" i="17" s="1"/>
  <c r="AV11" i="17" s="1"/>
  <c r="AV12" i="17" s="1"/>
  <c r="AV13" i="17" s="1"/>
  <c r="AV14" i="17" s="1"/>
  <c r="AV15" i="17" s="1"/>
  <c r="AV16" i="17" s="1"/>
  <c r="AV17" i="17" s="1"/>
  <c r="AV18" i="17" s="1"/>
  <c r="AV19" i="17" s="1"/>
  <c r="AV20" i="17" s="1"/>
  <c r="AV21" i="17" s="1"/>
  <c r="AV22" i="17" s="1"/>
  <c r="AV23" i="17" s="1"/>
  <c r="AV24" i="17" s="1"/>
  <c r="AV25" i="17" s="1"/>
  <c r="AV26" i="17" s="1"/>
  <c r="AV27" i="17" s="1"/>
  <c r="AV28" i="17" s="1"/>
  <c r="AV29" i="17" s="1"/>
  <c r="AV30" i="17" s="1"/>
  <c r="AP5" i="17"/>
  <c r="AP6" i="17" s="1"/>
  <c r="AP7" i="17" s="1"/>
  <c r="AP8" i="17" s="1"/>
  <c r="AP9" i="17" s="1"/>
  <c r="AP10" i="17" s="1"/>
  <c r="AP11" i="17" s="1"/>
  <c r="AP12" i="17" s="1"/>
  <c r="AP13" i="17" s="1"/>
  <c r="AP14" i="17" s="1"/>
  <c r="AP15" i="17" s="1"/>
  <c r="AP16" i="17" s="1"/>
  <c r="AP17" i="17" s="1"/>
  <c r="AP18" i="17" s="1"/>
  <c r="AP19" i="17" s="1"/>
  <c r="AP20" i="17" s="1"/>
  <c r="AP21" i="17" s="1"/>
  <c r="AP22" i="17" s="1"/>
  <c r="AP23" i="17" s="1"/>
  <c r="AP24" i="17" s="1"/>
  <c r="AP25" i="17" s="1"/>
  <c r="AP26" i="17" s="1"/>
  <c r="AP27" i="17" s="1"/>
  <c r="AP28" i="17" s="1"/>
  <c r="AP29" i="17" s="1"/>
  <c r="AP30" i="17" s="1"/>
  <c r="BA33" i="17" l="1"/>
  <c r="BA31" i="17"/>
  <c r="BA32" i="17" s="1"/>
  <c r="AV33" i="17"/>
  <c r="AV31" i="17"/>
  <c r="AV32" i="17" s="1"/>
  <c r="BF33" i="17"/>
  <c r="BF31" i="17"/>
  <c r="BF32" i="17" s="1"/>
  <c r="AP33" i="17"/>
  <c r="AP31" i="17"/>
  <c r="AP32" i="17" s="1"/>
  <c r="BV24" i="43"/>
  <c r="CG24" i="44"/>
  <c r="CK24" i="44" s="1"/>
  <c r="BT25" i="43"/>
  <c r="CE25" i="44"/>
  <c r="AQ25" i="17"/>
  <c r="BC24" i="44"/>
  <c r="AQ24" i="43"/>
  <c r="BS26" i="43"/>
  <c r="BX26" i="43"/>
  <c r="CI26" i="44"/>
  <c r="BU25" i="43"/>
  <c r="CF25" i="44"/>
  <c r="CE28" i="43"/>
  <c r="CD28" i="44"/>
  <c r="BH28" i="43"/>
  <c r="CD27" i="44"/>
  <c r="BH27" i="43"/>
  <c r="BI26" i="43"/>
  <c r="BR25" i="43"/>
  <c r="CE27" i="43"/>
  <c r="BK25" i="43"/>
  <c r="CF26" i="43"/>
  <c r="CC26" i="44"/>
  <c r="BG26" i="43"/>
  <c r="BZ24" i="17"/>
  <c r="BZ24" i="43" s="1"/>
  <c r="CG26" i="43"/>
  <c r="BB5" i="43"/>
  <c r="BS28" i="43" l="1"/>
  <c r="BT26" i="43"/>
  <c r="CE26" i="44"/>
  <c r="BU26" i="43"/>
  <c r="CF26" i="44"/>
  <c r="BS27" i="43"/>
  <c r="BV25" i="43"/>
  <c r="CG25" i="44"/>
  <c r="CK25" i="44" s="1"/>
  <c r="AQ26" i="17"/>
  <c r="BC25" i="44"/>
  <c r="AQ25" i="43"/>
  <c r="BH30" i="43"/>
  <c r="CG27" i="43"/>
  <c r="CC28" i="44"/>
  <c r="BG28" i="43"/>
  <c r="BS29" i="43"/>
  <c r="BH29" i="43"/>
  <c r="CF28" i="43"/>
  <c r="BI27" i="43"/>
  <c r="CF27" i="43"/>
  <c r="BK26" i="43"/>
  <c r="BO26" i="43"/>
  <c r="BZ25" i="17"/>
  <c r="BZ25" i="43" s="1"/>
  <c r="BR26" i="43"/>
  <c r="CK27" i="17"/>
  <c r="CK27" i="43" s="1"/>
  <c r="BG27" i="43"/>
  <c r="BO27" i="17"/>
  <c r="BO27" i="43" s="1"/>
  <c r="BB6" i="43"/>
  <c r="F136" i="15"/>
  <c r="AQ27" i="17" l="1"/>
  <c r="BC26" i="44"/>
  <c r="AQ26" i="43"/>
  <c r="BS30" i="43"/>
  <c r="BV26" i="43"/>
  <c r="CG26" i="44"/>
  <c r="CK26" i="44" s="1"/>
  <c r="BU28" i="43"/>
  <c r="CF28" i="44"/>
  <c r="BU27" i="43"/>
  <c r="CF27" i="44"/>
  <c r="BT27" i="43"/>
  <c r="CE27" i="44"/>
  <c r="C11" i="14"/>
  <c r="AG11" i="17" s="1"/>
  <c r="AH11" i="17" s="1"/>
  <c r="BO28" i="17"/>
  <c r="BO28" i="43" s="1"/>
  <c r="CF30" i="43"/>
  <c r="BG30" i="43"/>
  <c r="CF29" i="43"/>
  <c r="CG28" i="43"/>
  <c r="BG29" i="43"/>
  <c r="BI28" i="43"/>
  <c r="BK28" i="43"/>
  <c r="BR28" i="43"/>
  <c r="CK28" i="17"/>
  <c r="CK28" i="43" s="1"/>
  <c r="BR27" i="43"/>
  <c r="BZ26" i="17"/>
  <c r="BZ26" i="43" s="1"/>
  <c r="BK27" i="43"/>
  <c r="BB7" i="43"/>
  <c r="X11" i="44" l="1"/>
  <c r="T49" i="45"/>
  <c r="Z49" i="45" s="1"/>
  <c r="AG11" i="43"/>
  <c r="BV27" i="43"/>
  <c r="CG27" i="44"/>
  <c r="CK27" i="44" s="1"/>
  <c r="BU30" i="43"/>
  <c r="BU29" i="43"/>
  <c r="CF29" i="44"/>
  <c r="CK29" i="44" s="1"/>
  <c r="BV28" i="43"/>
  <c r="CG28" i="44"/>
  <c r="AQ28" i="17"/>
  <c r="BC27" i="44"/>
  <c r="AQ27" i="43"/>
  <c r="BT28" i="43"/>
  <c r="CE28" i="44"/>
  <c r="BK30" i="43"/>
  <c r="CG29" i="43"/>
  <c r="BH32" i="43"/>
  <c r="BG31" i="43"/>
  <c r="CF31" i="43"/>
  <c r="BR30" i="43"/>
  <c r="BO30" i="17"/>
  <c r="BO30" i="43" s="1"/>
  <c r="BO29" i="43"/>
  <c r="BZ28" i="17"/>
  <c r="BZ28" i="43" s="1"/>
  <c r="BR29" i="43"/>
  <c r="CK29" i="43"/>
  <c r="BV29" i="43"/>
  <c r="BK29" i="43"/>
  <c r="BZ27" i="17"/>
  <c r="BZ27" i="43" s="1"/>
  <c r="BB8" i="43"/>
  <c r="AQ29" i="17" l="1"/>
  <c r="BC28" i="44"/>
  <c r="AQ28" i="43"/>
  <c r="CK28" i="44"/>
  <c r="BU31" i="43"/>
  <c r="BS32" i="43"/>
  <c r="BU32" i="43"/>
  <c r="CF32" i="43"/>
  <c r="BR31" i="43"/>
  <c r="CG30" i="43"/>
  <c r="CK30" i="17"/>
  <c r="CK30" i="43" s="1"/>
  <c r="BZ29" i="17"/>
  <c r="BZ29" i="43" s="1"/>
  <c r="BK31" i="43"/>
  <c r="BB9" i="43"/>
  <c r="AQ30" i="17" l="1"/>
  <c r="BC29" i="44"/>
  <c r="AQ29" i="43"/>
  <c r="BK32" i="43"/>
  <c r="BO32" i="43"/>
  <c r="BV30" i="43"/>
  <c r="BZ30" i="17"/>
  <c r="BZ30" i="43" s="1"/>
  <c r="BR32" i="43"/>
  <c r="CG31" i="43"/>
  <c r="CK31" i="43"/>
  <c r="BB10" i="43"/>
  <c r="AQ31" i="17" l="1"/>
  <c r="BC30" i="44"/>
  <c r="AQ33" i="17"/>
  <c r="BC33" i="44" s="1"/>
  <c r="AQ30" i="43"/>
  <c r="BV31" i="43"/>
  <c r="CG32" i="43"/>
  <c r="CK32" i="43"/>
  <c r="BB11" i="43"/>
  <c r="AQ32" i="17" l="1"/>
  <c r="BC32" i="44" s="1"/>
  <c r="BC31" i="44"/>
  <c r="AQ31" i="43"/>
  <c r="BV32" i="43"/>
  <c r="BZ32" i="43"/>
  <c r="BB12" i="43"/>
  <c r="K3" i="5"/>
  <c r="C33" i="5"/>
  <c r="X4" i="17"/>
  <c r="X4" i="43" s="1"/>
  <c r="AF4" i="43"/>
  <c r="AQ32" i="43" l="1"/>
  <c r="C37" i="5"/>
  <c r="BB13" i="43"/>
  <c r="X34" i="17"/>
  <c r="X33" i="43" s="1"/>
  <c r="BB14" i="43" l="1"/>
  <c r="N4" i="5"/>
  <c r="N5" i="5"/>
  <c r="N11" i="5"/>
  <c r="N12" i="5"/>
  <c r="N13" i="5"/>
  <c r="N15" i="5"/>
  <c r="N16" i="5"/>
  <c r="N17" i="5"/>
  <c r="N19" i="5"/>
  <c r="N20" i="5"/>
  <c r="N21" i="5"/>
  <c r="N24" i="5"/>
  <c r="N25" i="5"/>
  <c r="N27" i="5"/>
  <c r="M28" i="44" s="1"/>
  <c r="N3" i="5"/>
  <c r="N23" i="5"/>
  <c r="N26" i="5"/>
  <c r="N22" i="5"/>
  <c r="N18" i="5"/>
  <c r="N14" i="5"/>
  <c r="M23" i="44" l="1"/>
  <c r="AT23" i="44" s="1"/>
  <c r="M22" i="44"/>
  <c r="AT22" i="44" s="1"/>
  <c r="M12" i="44"/>
  <c r="AT12" i="44" s="1"/>
  <c r="AT28" i="44"/>
  <c r="M16" i="44"/>
  <c r="AT16" i="44" s="1"/>
  <c r="M15" i="44"/>
  <c r="AT15" i="44" s="1"/>
  <c r="M26" i="44"/>
  <c r="AT26" i="44" s="1"/>
  <c r="M20" i="44"/>
  <c r="AT20" i="44" s="1"/>
  <c r="M14" i="44"/>
  <c r="AT14" i="44" s="1"/>
  <c r="M5" i="44"/>
  <c r="AT5" i="44" s="1"/>
  <c r="M17" i="44"/>
  <c r="AT17" i="44" s="1"/>
  <c r="M27" i="44"/>
  <c r="AT27" i="44" s="1"/>
  <c r="M21" i="44"/>
  <c r="AT21" i="44" s="1"/>
  <c r="M6" i="44"/>
  <c r="AT6" i="44" s="1"/>
  <c r="M19" i="44"/>
  <c r="AT19" i="44" s="1"/>
  <c r="M24" i="44"/>
  <c r="AT24" i="44" s="1"/>
  <c r="M25" i="44"/>
  <c r="AT25" i="44" s="1"/>
  <c r="M18" i="44"/>
  <c r="AT18" i="44" s="1"/>
  <c r="M13" i="44"/>
  <c r="AT13" i="44" s="1"/>
  <c r="BD4" i="17"/>
  <c r="BD5" i="17" s="1"/>
  <c r="BD6" i="17" s="1"/>
  <c r="M4" i="44"/>
  <c r="AT4" i="44" s="1"/>
  <c r="BB15" i="43"/>
  <c r="BC6" i="17" l="1"/>
  <c r="BN6" i="44" s="1"/>
  <c r="BO6" i="44"/>
  <c r="BO5" i="44"/>
  <c r="BN5" i="44" s="1"/>
  <c r="BO4" i="44"/>
  <c r="BN4" i="44" s="1"/>
  <c r="BD4" i="43"/>
  <c r="BC4" i="17"/>
  <c r="BC4" i="43" s="1"/>
  <c r="BB16" i="43"/>
  <c r="N6" i="5"/>
  <c r="BD7" i="17" s="1"/>
  <c r="N8" i="5"/>
  <c r="N9" i="5"/>
  <c r="N10" i="5"/>
  <c r="BC7" i="17" l="1"/>
  <c r="BD8" i="17"/>
  <c r="M10" i="44"/>
  <c r="AT10" i="44" s="1"/>
  <c r="M7" i="44"/>
  <c r="AT7" i="44" s="1"/>
  <c r="M9" i="44"/>
  <c r="M11" i="44"/>
  <c r="AT11" i="44" s="1"/>
  <c r="BD5" i="43"/>
  <c r="BC5" i="17"/>
  <c r="BC5" i="43" s="1"/>
  <c r="BD6" i="43"/>
  <c r="BB17" i="43"/>
  <c r="N33" i="5"/>
  <c r="BC8" i="17" l="1"/>
  <c r="BD9" i="17"/>
  <c r="M34" i="44"/>
  <c r="M37" i="44" s="1"/>
  <c r="AT9" i="44"/>
  <c r="BN7" i="44"/>
  <c r="BO7" i="44"/>
  <c r="BD7" i="43"/>
  <c r="BC6" i="43"/>
  <c r="M33" i="5"/>
  <c r="BB18" i="43"/>
  <c r="H356" i="15"/>
  <c r="BC9" i="17" l="1"/>
  <c r="BD10" i="17"/>
  <c r="M38" i="44"/>
  <c r="BN8" i="44"/>
  <c r="BO8" i="44"/>
  <c r="BD8" i="43"/>
  <c r="BC7" i="43"/>
  <c r="BB19" i="43"/>
  <c r="H34" i="37"/>
  <c r="BC10" i="17" l="1"/>
  <c r="BD11" i="17"/>
  <c r="BN9" i="44"/>
  <c r="BO9" i="44"/>
  <c r="BD9" i="43"/>
  <c r="BC8" i="43"/>
  <c r="BB20" i="43"/>
  <c r="BC11" i="17" l="1"/>
  <c r="BN11" i="44" s="1"/>
  <c r="BD12" i="17"/>
  <c r="BO11" i="44"/>
  <c r="BN10" i="44"/>
  <c r="BO10" i="44"/>
  <c r="BD10" i="43"/>
  <c r="BC9" i="43"/>
  <c r="BB21" i="43"/>
  <c r="H316" i="15"/>
  <c r="H309" i="15"/>
  <c r="H308" i="15"/>
  <c r="BC12" i="17" l="1"/>
  <c r="BD13" i="17"/>
  <c r="BN12" i="44"/>
  <c r="BO12" i="44"/>
  <c r="BD11" i="43"/>
  <c r="BC10" i="43"/>
  <c r="BB22" i="43"/>
  <c r="H291" i="15"/>
  <c r="BC13" i="17" l="1"/>
  <c r="BN13" i="44" s="1"/>
  <c r="BD14" i="17"/>
  <c r="BO13" i="44"/>
  <c r="BD12" i="43"/>
  <c r="BC11" i="43"/>
  <c r="BB23" i="43"/>
  <c r="H258" i="15"/>
  <c r="H259" i="15"/>
  <c r="H260" i="15"/>
  <c r="H276" i="15"/>
  <c r="H277" i="15"/>
  <c r="H278" i="15"/>
  <c r="H284" i="15"/>
  <c r="H290" i="15"/>
  <c r="H266" i="15"/>
  <c r="BC14" i="17" l="1"/>
  <c r="BN14" i="44" s="1"/>
  <c r="BD15" i="17"/>
  <c r="BO14" i="44"/>
  <c r="BC12" i="43"/>
  <c r="BD13" i="43"/>
  <c r="BB24" i="43"/>
  <c r="H261" i="15"/>
  <c r="F262" i="15"/>
  <c r="H264" i="15"/>
  <c r="H265" i="15"/>
  <c r="BC15" i="17" l="1"/>
  <c r="BN15" i="44" s="1"/>
  <c r="BD16" i="17"/>
  <c r="BC16" i="17" s="1"/>
  <c r="BO15" i="44"/>
  <c r="C19" i="14"/>
  <c r="AG19" i="17" s="1"/>
  <c r="AH19" i="17" s="1"/>
  <c r="BC13" i="43"/>
  <c r="BD14" i="43"/>
  <c r="BB25" i="43"/>
  <c r="H252" i="15"/>
  <c r="BN16" i="44" l="1"/>
  <c r="X19" i="44"/>
  <c r="T57" i="45"/>
  <c r="Z57" i="45" s="1"/>
  <c r="AG19" i="43"/>
  <c r="BO16" i="44"/>
  <c r="BC14" i="43"/>
  <c r="BD15" i="43"/>
  <c r="BB28" i="43"/>
  <c r="BB27" i="43"/>
  <c r="BB26" i="43"/>
  <c r="BN17" i="44" l="1"/>
  <c r="BO17" i="44"/>
  <c r="BC15" i="43"/>
  <c r="BD16" i="43"/>
  <c r="BB29" i="43"/>
  <c r="H209" i="15"/>
  <c r="H203" i="15"/>
  <c r="H210" i="15"/>
  <c r="BN18" i="44" l="1"/>
  <c r="BO18" i="44"/>
  <c r="BC16" i="43"/>
  <c r="BB30" i="43"/>
  <c r="BN19" i="44" l="1"/>
  <c r="BO19" i="44"/>
  <c r="BC17" i="43"/>
  <c r="BD18" i="43"/>
  <c r="BD17" i="43"/>
  <c r="BB32" i="43"/>
  <c r="BB31" i="43"/>
  <c r="H197" i="15"/>
  <c r="H198" i="15"/>
  <c r="BN20" i="44" l="1"/>
  <c r="BO20" i="44"/>
  <c r="BC18" i="43"/>
  <c r="BN21" i="44" l="1"/>
  <c r="BO21" i="44"/>
  <c r="BC19" i="43"/>
  <c r="BD20" i="43"/>
  <c r="BD19" i="43"/>
  <c r="H168" i="15"/>
  <c r="H169" i="15"/>
  <c r="H170" i="15"/>
  <c r="H163" i="15"/>
  <c r="BN22" i="44" l="1"/>
  <c r="BO22" i="44"/>
  <c r="BC20" i="43"/>
  <c r="H140" i="15"/>
  <c r="H146" i="15"/>
  <c r="H147" i="15"/>
  <c r="H148" i="15"/>
  <c r="H149" i="15"/>
  <c r="H150" i="15"/>
  <c r="H151" i="15"/>
  <c r="H152" i="15"/>
  <c r="BN23" i="44" l="1"/>
  <c r="BO23" i="44"/>
  <c r="BC21" i="43"/>
  <c r="BD22" i="43"/>
  <c r="BD21" i="43"/>
  <c r="H127" i="15"/>
  <c r="H128" i="15"/>
  <c r="H129" i="15"/>
  <c r="H130" i="15"/>
  <c r="H132" i="15"/>
  <c r="H133" i="15"/>
  <c r="H134" i="15"/>
  <c r="BN24" i="44" l="1"/>
  <c r="BO24" i="44"/>
  <c r="BC22" i="43"/>
  <c r="BD23" i="43"/>
  <c r="H111" i="15"/>
  <c r="H112" i="15"/>
  <c r="H113" i="15"/>
  <c r="H119" i="15"/>
  <c r="H120" i="15"/>
  <c r="H121" i="15"/>
  <c r="H122" i="15"/>
  <c r="AD5" i="43"/>
  <c r="AD6" i="43"/>
  <c r="AD7" i="43"/>
  <c r="AD8" i="43"/>
  <c r="AD9" i="43"/>
  <c r="AD10" i="43"/>
  <c r="AD11" i="43"/>
  <c r="AD12" i="43"/>
  <c r="AD13" i="43"/>
  <c r="AD14" i="43"/>
  <c r="AD15" i="43"/>
  <c r="AD16" i="43"/>
  <c r="AD17" i="43"/>
  <c r="AD18" i="43"/>
  <c r="AD19" i="43"/>
  <c r="AD20" i="43"/>
  <c r="AD21" i="43"/>
  <c r="AD22" i="43"/>
  <c r="AD23" i="43"/>
  <c r="AD24" i="43"/>
  <c r="AD25" i="43"/>
  <c r="AD26" i="43"/>
  <c r="AD27" i="43"/>
  <c r="AD28" i="43"/>
  <c r="AD29" i="43"/>
  <c r="AD30" i="43"/>
  <c r="AD31" i="43"/>
  <c r="AD32" i="43"/>
  <c r="H106" i="15"/>
  <c r="H105" i="15"/>
  <c r="BN25" i="44" l="1"/>
  <c r="BO25" i="44"/>
  <c r="BD24" i="43"/>
  <c r="BC23" i="43"/>
  <c r="AH19" i="43" l="1"/>
  <c r="AH11" i="43"/>
  <c r="BN26" i="44"/>
  <c r="BO26" i="44"/>
  <c r="BC24" i="43"/>
  <c r="I5" i="43"/>
  <c r="K5" i="43"/>
  <c r="M5" i="43"/>
  <c r="N5" i="43"/>
  <c r="R5" i="43"/>
  <c r="T5" i="43"/>
  <c r="U5" i="43"/>
  <c r="V5" i="43"/>
  <c r="W5" i="43"/>
  <c r="J6" i="43"/>
  <c r="K6" i="43"/>
  <c r="M6" i="43"/>
  <c r="N6" i="43"/>
  <c r="R6" i="43"/>
  <c r="S6" i="43"/>
  <c r="T6" i="43"/>
  <c r="U6" i="43"/>
  <c r="V6" i="43"/>
  <c r="W6" i="43"/>
  <c r="I7" i="43"/>
  <c r="J7" i="43"/>
  <c r="K7" i="43"/>
  <c r="M7" i="43"/>
  <c r="N7" i="43"/>
  <c r="R7" i="43"/>
  <c r="S7" i="43"/>
  <c r="T7" i="43"/>
  <c r="U7" i="43"/>
  <c r="V7" i="43"/>
  <c r="W7" i="43"/>
  <c r="I8" i="43"/>
  <c r="J8" i="43"/>
  <c r="K8" i="43"/>
  <c r="M8" i="43"/>
  <c r="N8" i="43"/>
  <c r="R8" i="43"/>
  <c r="S8" i="43"/>
  <c r="T8" i="43"/>
  <c r="U8" i="43"/>
  <c r="V8" i="43"/>
  <c r="W8" i="43"/>
  <c r="I9" i="43"/>
  <c r="J9" i="43"/>
  <c r="K9" i="43"/>
  <c r="M9" i="43"/>
  <c r="N9" i="43"/>
  <c r="R9" i="43"/>
  <c r="S9" i="43"/>
  <c r="T9" i="43"/>
  <c r="U9" i="43"/>
  <c r="V9" i="43"/>
  <c r="W9" i="43"/>
  <c r="I10" i="43"/>
  <c r="J10" i="43"/>
  <c r="K10" i="43"/>
  <c r="L10" i="43"/>
  <c r="M10" i="43"/>
  <c r="N10" i="43"/>
  <c r="R10" i="43"/>
  <c r="S10" i="43"/>
  <c r="T10" i="43"/>
  <c r="U10" i="43"/>
  <c r="V10" i="43"/>
  <c r="W10" i="43"/>
  <c r="I11" i="43"/>
  <c r="J11" i="43"/>
  <c r="K11" i="43"/>
  <c r="M11" i="43"/>
  <c r="N11" i="43"/>
  <c r="R11" i="43"/>
  <c r="S11" i="43"/>
  <c r="T11" i="43"/>
  <c r="U11" i="43"/>
  <c r="V11" i="43"/>
  <c r="W11" i="43"/>
  <c r="I12" i="43"/>
  <c r="J12" i="43"/>
  <c r="K12" i="43"/>
  <c r="M12" i="43"/>
  <c r="N12" i="43"/>
  <c r="R12" i="43"/>
  <c r="S12" i="43"/>
  <c r="T12" i="43"/>
  <c r="U12" i="43"/>
  <c r="V12" i="43"/>
  <c r="W12" i="43"/>
  <c r="I13" i="43"/>
  <c r="J13" i="43"/>
  <c r="K13" i="43"/>
  <c r="M13" i="43"/>
  <c r="N13" i="43"/>
  <c r="R13" i="43"/>
  <c r="T13" i="43"/>
  <c r="U13" i="43"/>
  <c r="V13" i="43"/>
  <c r="W13" i="43"/>
  <c r="I14" i="43"/>
  <c r="J14" i="43"/>
  <c r="K14" i="43"/>
  <c r="M14" i="43"/>
  <c r="N14" i="43"/>
  <c r="R14" i="43"/>
  <c r="S14" i="43"/>
  <c r="T14" i="43"/>
  <c r="U14" i="43"/>
  <c r="V14" i="43"/>
  <c r="W14" i="43"/>
  <c r="Y14" i="43"/>
  <c r="I15" i="43"/>
  <c r="J15" i="43"/>
  <c r="K15" i="43"/>
  <c r="M15" i="43"/>
  <c r="N15" i="43"/>
  <c r="R15" i="43"/>
  <c r="T15" i="43"/>
  <c r="U15" i="43"/>
  <c r="V15" i="43"/>
  <c r="W15" i="43"/>
  <c r="Y15" i="43"/>
  <c r="I16" i="43"/>
  <c r="J16" i="43"/>
  <c r="K16" i="43"/>
  <c r="M16" i="43"/>
  <c r="N16" i="43"/>
  <c r="R16" i="43"/>
  <c r="T16" i="43"/>
  <c r="U16" i="43"/>
  <c r="V16" i="43"/>
  <c r="W16" i="43"/>
  <c r="Y16" i="43"/>
  <c r="I17" i="43"/>
  <c r="J17" i="43"/>
  <c r="K17" i="43"/>
  <c r="M17" i="43"/>
  <c r="N17" i="43"/>
  <c r="R17" i="43"/>
  <c r="T17" i="43"/>
  <c r="U17" i="43"/>
  <c r="V17" i="43"/>
  <c r="W17" i="43"/>
  <c r="Y17" i="43"/>
  <c r="I18" i="43"/>
  <c r="J18" i="43"/>
  <c r="K18" i="43"/>
  <c r="M18" i="43"/>
  <c r="N18" i="43"/>
  <c r="R18" i="43"/>
  <c r="T18" i="43"/>
  <c r="U18" i="43"/>
  <c r="V18" i="43"/>
  <c r="W18" i="43"/>
  <c r="Y18" i="43"/>
  <c r="I19" i="43"/>
  <c r="J19" i="43"/>
  <c r="K19" i="43"/>
  <c r="M19" i="43"/>
  <c r="N19" i="43"/>
  <c r="R19" i="43"/>
  <c r="T19" i="43"/>
  <c r="U19" i="43"/>
  <c r="V19" i="43"/>
  <c r="W19" i="43"/>
  <c r="Y19" i="43"/>
  <c r="I20" i="43"/>
  <c r="J20" i="43"/>
  <c r="K20" i="43"/>
  <c r="M20" i="43"/>
  <c r="N20" i="43"/>
  <c r="R20" i="43"/>
  <c r="T20" i="43"/>
  <c r="U20" i="43"/>
  <c r="V20" i="43"/>
  <c r="W20" i="43"/>
  <c r="Y20" i="43"/>
  <c r="I21" i="43"/>
  <c r="J21" i="43"/>
  <c r="K21" i="43"/>
  <c r="M21" i="43"/>
  <c r="N21" i="43"/>
  <c r="R21" i="43"/>
  <c r="T21" i="43"/>
  <c r="U21" i="43"/>
  <c r="V21" i="43"/>
  <c r="W21" i="43"/>
  <c r="Y21" i="43"/>
  <c r="I22" i="43"/>
  <c r="J22" i="43"/>
  <c r="K22" i="43"/>
  <c r="M22" i="43"/>
  <c r="N22" i="43"/>
  <c r="R22" i="43"/>
  <c r="S22" i="43"/>
  <c r="T22" i="43"/>
  <c r="U22" i="43"/>
  <c r="V22" i="43"/>
  <c r="W22" i="43"/>
  <c r="Y22" i="43"/>
  <c r="I23" i="43"/>
  <c r="J23" i="43"/>
  <c r="K23" i="43"/>
  <c r="M23" i="43"/>
  <c r="N23" i="43"/>
  <c r="R23" i="43"/>
  <c r="S23" i="43"/>
  <c r="T23" i="43"/>
  <c r="U23" i="43"/>
  <c r="V23" i="43"/>
  <c r="W23" i="43"/>
  <c r="Y23" i="43"/>
  <c r="I24" i="43"/>
  <c r="J24" i="43"/>
  <c r="K24" i="43"/>
  <c r="M24" i="43"/>
  <c r="N24" i="43"/>
  <c r="R24" i="43"/>
  <c r="S24" i="43"/>
  <c r="T24" i="43"/>
  <c r="U24" i="43"/>
  <c r="V24" i="43"/>
  <c r="W24" i="43"/>
  <c r="Y24" i="43"/>
  <c r="I25" i="43"/>
  <c r="J25" i="43"/>
  <c r="K25" i="43"/>
  <c r="M25" i="43"/>
  <c r="N25" i="43"/>
  <c r="R25" i="43"/>
  <c r="T25" i="43"/>
  <c r="U25" i="43"/>
  <c r="V25" i="43"/>
  <c r="W25" i="43"/>
  <c r="Y25" i="43"/>
  <c r="I26" i="43"/>
  <c r="J26" i="43"/>
  <c r="K26" i="43"/>
  <c r="M26" i="43"/>
  <c r="N26" i="43"/>
  <c r="R26" i="43"/>
  <c r="T26" i="43"/>
  <c r="U26" i="43"/>
  <c r="V26" i="43"/>
  <c r="W26" i="43"/>
  <c r="Y26" i="43"/>
  <c r="I27" i="43"/>
  <c r="J27" i="43"/>
  <c r="K27" i="43"/>
  <c r="M27" i="43"/>
  <c r="N27" i="43"/>
  <c r="R27" i="43"/>
  <c r="T27" i="43"/>
  <c r="U27" i="43"/>
  <c r="V27" i="43"/>
  <c r="W27" i="43"/>
  <c r="Y27" i="43"/>
  <c r="I28" i="43"/>
  <c r="J28" i="43"/>
  <c r="K28" i="43"/>
  <c r="M28" i="43"/>
  <c r="N28" i="43"/>
  <c r="R28" i="43"/>
  <c r="T28" i="43"/>
  <c r="U28" i="43"/>
  <c r="V28" i="43"/>
  <c r="W28" i="43"/>
  <c r="Y28" i="43"/>
  <c r="I29" i="43"/>
  <c r="J29" i="43"/>
  <c r="K29" i="43"/>
  <c r="M29" i="43"/>
  <c r="N29" i="43"/>
  <c r="R29" i="43"/>
  <c r="T29" i="43"/>
  <c r="U29" i="43"/>
  <c r="V29" i="43"/>
  <c r="W29" i="43"/>
  <c r="Y29" i="43"/>
  <c r="I30" i="43"/>
  <c r="J30" i="43"/>
  <c r="K30" i="43"/>
  <c r="M30" i="43"/>
  <c r="N30" i="43"/>
  <c r="R30" i="43"/>
  <c r="T30" i="43"/>
  <c r="U30" i="43"/>
  <c r="V30" i="43"/>
  <c r="W30" i="43"/>
  <c r="Y30" i="43"/>
  <c r="I31" i="43"/>
  <c r="J31" i="43"/>
  <c r="K31" i="43"/>
  <c r="M31" i="43"/>
  <c r="N31" i="43"/>
  <c r="R31" i="43"/>
  <c r="T31" i="43"/>
  <c r="U31" i="43"/>
  <c r="V31" i="43"/>
  <c r="W31" i="43"/>
  <c r="Y31" i="43"/>
  <c r="I32" i="43"/>
  <c r="K32" i="43"/>
  <c r="M32" i="43"/>
  <c r="N32" i="43"/>
  <c r="R32" i="43"/>
  <c r="S32" i="43"/>
  <c r="T32" i="43"/>
  <c r="U32" i="43"/>
  <c r="V32" i="43"/>
  <c r="W32" i="43"/>
  <c r="Y32" i="43"/>
  <c r="H86" i="15"/>
  <c r="H87" i="15"/>
  <c r="H88" i="15"/>
  <c r="J5" i="43" l="1"/>
  <c r="I6" i="43"/>
  <c r="S5" i="43"/>
  <c r="BN27" i="44"/>
  <c r="BO27" i="44"/>
  <c r="S31" i="43"/>
  <c r="S28" i="43"/>
  <c r="S29" i="43"/>
  <c r="S25" i="43"/>
  <c r="S30" i="43"/>
  <c r="S26" i="43"/>
  <c r="S27" i="43"/>
  <c r="S21" i="43"/>
  <c r="S20" i="43"/>
  <c r="S19" i="43"/>
  <c r="S18" i="43"/>
  <c r="S17" i="43"/>
  <c r="S16" i="43"/>
  <c r="S15" i="43"/>
  <c r="S13" i="43"/>
  <c r="Y13" i="43"/>
  <c r="Y11" i="43"/>
  <c r="Y7" i="43"/>
  <c r="Y6" i="43"/>
  <c r="Y12" i="43"/>
  <c r="Y8" i="43"/>
  <c r="Y9" i="43"/>
  <c r="Y5" i="43"/>
  <c r="G32" i="43"/>
  <c r="L29" i="43"/>
  <c r="H29" i="43"/>
  <c r="G28" i="43"/>
  <c r="L25" i="43"/>
  <c r="H25" i="43"/>
  <c r="G24" i="43"/>
  <c r="L21" i="43"/>
  <c r="H21" i="43"/>
  <c r="G20" i="43"/>
  <c r="G16" i="43"/>
  <c r="H13" i="43"/>
  <c r="Y10" i="43"/>
  <c r="L9" i="43"/>
  <c r="L5" i="43"/>
  <c r="L30" i="43"/>
  <c r="L26" i="43"/>
  <c r="G25" i="43"/>
  <c r="H22" i="43"/>
  <c r="G21" i="43"/>
  <c r="L18" i="43"/>
  <c r="H18" i="43"/>
  <c r="G17" i="43"/>
  <c r="H14" i="43"/>
  <c r="H10" i="43"/>
  <c r="G9" i="43"/>
  <c r="L6" i="43"/>
  <c r="G5" i="43"/>
  <c r="L31" i="43"/>
  <c r="H31" i="43"/>
  <c r="G30" i="43"/>
  <c r="L27" i="43"/>
  <c r="H27" i="43"/>
  <c r="G26" i="43"/>
  <c r="L23" i="43"/>
  <c r="H23" i="43"/>
  <c r="G22" i="43"/>
  <c r="L19" i="43"/>
  <c r="H19" i="43"/>
  <c r="G18" i="43"/>
  <c r="L15" i="43"/>
  <c r="H15" i="43"/>
  <c r="G14" i="43"/>
  <c r="L11" i="43"/>
  <c r="H11" i="43"/>
  <c r="G10" i="43"/>
  <c r="L7" i="43"/>
  <c r="H7" i="43"/>
  <c r="G6" i="43"/>
  <c r="L17" i="43"/>
  <c r="H17" i="43"/>
  <c r="L13" i="43"/>
  <c r="G12" i="43"/>
  <c r="H9" i="43"/>
  <c r="G8" i="43"/>
  <c r="H5" i="43"/>
  <c r="H30" i="43"/>
  <c r="G29" i="43"/>
  <c r="H26" i="43"/>
  <c r="L22" i="43"/>
  <c r="L14" i="43"/>
  <c r="G13" i="43"/>
  <c r="H6" i="43"/>
  <c r="L32" i="43"/>
  <c r="H32" i="43"/>
  <c r="G31" i="43"/>
  <c r="L28" i="43"/>
  <c r="H28" i="43"/>
  <c r="G27" i="43"/>
  <c r="L24" i="43"/>
  <c r="H24" i="43"/>
  <c r="G23" i="43"/>
  <c r="L20" i="43"/>
  <c r="H20" i="43"/>
  <c r="G19" i="43"/>
  <c r="L16" i="43"/>
  <c r="H16" i="43"/>
  <c r="G15" i="43"/>
  <c r="L12" i="43"/>
  <c r="H12" i="43"/>
  <c r="G11" i="43"/>
  <c r="L8" i="43"/>
  <c r="H8" i="43"/>
  <c r="G7" i="43"/>
  <c r="BC25" i="43"/>
  <c r="BD25" i="43"/>
  <c r="J32" i="43"/>
  <c r="W4" i="17"/>
  <c r="W4" i="43" s="1"/>
  <c r="V4" i="17"/>
  <c r="V4" i="43" s="1"/>
  <c r="U4" i="17"/>
  <c r="U4" i="43" s="1"/>
  <c r="V3" i="17"/>
  <c r="U3" i="17"/>
  <c r="D34" i="39"/>
  <c r="E34" i="39" s="1"/>
  <c r="B5" i="39"/>
  <c r="B6" i="39" s="1"/>
  <c r="B7" i="39" s="1"/>
  <c r="B8" i="39" s="1"/>
  <c r="B9" i="39" s="1"/>
  <c r="B10" i="39" s="1"/>
  <c r="B11" i="39" s="1"/>
  <c r="B12" i="39" s="1"/>
  <c r="B13" i="39" s="1"/>
  <c r="B14" i="39" s="1"/>
  <c r="B15" i="39" s="1"/>
  <c r="B16" i="39" s="1"/>
  <c r="B17" i="39" s="1"/>
  <c r="B18" i="39" s="1"/>
  <c r="B19" i="39" s="1"/>
  <c r="B20" i="39" s="1"/>
  <c r="B21" i="39" s="1"/>
  <c r="B22" i="39" s="1"/>
  <c r="B23" i="39" s="1"/>
  <c r="B24" i="39" s="1"/>
  <c r="B25" i="39" s="1"/>
  <c r="B26" i="39" s="1"/>
  <c r="B27" i="39" s="1"/>
  <c r="B28" i="39" s="1"/>
  <c r="B29" i="39" s="1"/>
  <c r="B30" i="39" s="1"/>
  <c r="I34" i="38"/>
  <c r="J34" i="38" s="1"/>
  <c r="G5" i="38"/>
  <c r="G6" i="38" s="1"/>
  <c r="G7" i="38" s="1"/>
  <c r="G8" i="38" s="1"/>
  <c r="G9" i="38" s="1"/>
  <c r="G10" i="38" s="1"/>
  <c r="G11" i="38" s="1"/>
  <c r="G12" i="38" s="1"/>
  <c r="G13" i="38" s="1"/>
  <c r="G14" i="38" s="1"/>
  <c r="G15" i="38" s="1"/>
  <c r="G16" i="38" s="1"/>
  <c r="G17" i="38" s="1"/>
  <c r="G18" i="38" s="1"/>
  <c r="G19" i="38" s="1"/>
  <c r="G20" i="38" s="1"/>
  <c r="G21" i="38" s="1"/>
  <c r="G22" i="38" s="1"/>
  <c r="G23" i="38" s="1"/>
  <c r="G24" i="38" s="1"/>
  <c r="G25" i="38" s="1"/>
  <c r="G26" i="38" s="1"/>
  <c r="G27" i="38" s="1"/>
  <c r="G28" i="38" s="1"/>
  <c r="G29" i="38" s="1"/>
  <c r="G30" i="38" s="1"/>
  <c r="D34" i="38"/>
  <c r="B5" i="38"/>
  <c r="B6" i="38" s="1"/>
  <c r="B7" i="38" s="1"/>
  <c r="B8" i="38" s="1"/>
  <c r="B9" i="38" s="1"/>
  <c r="B10" i="38" s="1"/>
  <c r="B11" i="38" s="1"/>
  <c r="B12" i="38" s="1"/>
  <c r="B13" i="38" s="1"/>
  <c r="B14" i="38" s="1"/>
  <c r="B15" i="38" s="1"/>
  <c r="B16" i="38" s="1"/>
  <c r="B17" i="38" s="1"/>
  <c r="B18" i="38" s="1"/>
  <c r="B19" i="38" s="1"/>
  <c r="B20" i="38" s="1"/>
  <c r="B21" i="38" s="1"/>
  <c r="B22" i="38" s="1"/>
  <c r="B23" i="38" s="1"/>
  <c r="B24" i="38" s="1"/>
  <c r="B25" i="38" s="1"/>
  <c r="B26" i="38" s="1"/>
  <c r="B27" i="38" s="1"/>
  <c r="B28" i="38" s="1"/>
  <c r="B29" i="38" s="1"/>
  <c r="B30" i="38" s="1"/>
  <c r="BN28" i="44" l="1"/>
  <c r="B31" i="39"/>
  <c r="B32" i="39" s="1"/>
  <c r="B33" i="39" s="1"/>
  <c r="G31" i="38"/>
  <c r="G32" i="38" s="1"/>
  <c r="G33" i="38" s="1"/>
  <c r="B31" i="38"/>
  <c r="B32" i="38" s="1"/>
  <c r="B33" i="38" s="1"/>
  <c r="BO28" i="44"/>
  <c r="BC26" i="43"/>
  <c r="BD26" i="43"/>
  <c r="V34" i="17"/>
  <c r="V33" i="43" s="1"/>
  <c r="W34" i="17"/>
  <c r="W33" i="43" s="1"/>
  <c r="E34" i="38"/>
  <c r="BN29" i="44" l="1"/>
  <c r="BO29" i="44"/>
  <c r="BC27" i="43"/>
  <c r="BD29" i="43"/>
  <c r="BD27" i="43"/>
  <c r="AD4" i="17"/>
  <c r="AD4" i="43" s="1"/>
  <c r="BN30" i="44" l="1"/>
  <c r="BO30" i="44"/>
  <c r="BC29" i="43"/>
  <c r="BD30" i="43"/>
  <c r="BC28" i="43"/>
  <c r="BD28" i="43"/>
  <c r="O33" i="13"/>
  <c r="F34" i="10"/>
  <c r="BN31" i="44" l="1"/>
  <c r="BO31" i="44"/>
  <c r="BC30" i="43"/>
  <c r="D35" i="25"/>
  <c r="BN32" i="44" l="1"/>
  <c r="BO32" i="44"/>
  <c r="BD32" i="43" l="1"/>
  <c r="BO33" i="44"/>
  <c r="BD31" i="43"/>
  <c r="H448" i="15"/>
  <c r="BN33" i="44" l="1"/>
  <c r="BC31" i="43"/>
  <c r="H392" i="15"/>
  <c r="H384" i="15"/>
  <c r="H385" i="15"/>
  <c r="H386" i="15"/>
  <c r="BC32" i="43" l="1"/>
  <c r="H372" i="15"/>
  <c r="H325" i="15" l="1"/>
  <c r="H311" i="15" l="1"/>
  <c r="H34" i="15"/>
  <c r="H35" i="15"/>
  <c r="H36" i="15"/>
  <c r="H66" i="15"/>
  <c r="H101" i="15"/>
  <c r="H102" i="15"/>
  <c r="H182" i="15"/>
  <c r="H234" i="15" l="1"/>
  <c r="H245" i="15"/>
  <c r="H246" i="15"/>
  <c r="H42" i="15" l="1"/>
  <c r="H43" i="15"/>
  <c r="H49" i="15"/>
  <c r="H54" i="15"/>
  <c r="H55" i="15"/>
  <c r="H33" i="15" l="1"/>
  <c r="H32" i="15"/>
  <c r="H19" i="15" l="1"/>
  <c r="H211" i="15" l="1"/>
  <c r="H110" i="15"/>
  <c r="H72" i="15"/>
  <c r="H73" i="15"/>
  <c r="H92" i="15" l="1"/>
  <c r="H100" i="15"/>
  <c r="H103" i="15"/>
  <c r="H104" i="15"/>
  <c r="E8" i="11"/>
  <c r="E46" i="45" s="1"/>
  <c r="K8" i="5"/>
  <c r="E8" i="43" l="1"/>
  <c r="F89" i="15"/>
  <c r="C8" i="14" s="1"/>
  <c r="AG8" i="17" s="1"/>
  <c r="AH8" i="17" s="1"/>
  <c r="X8" i="44" l="1"/>
  <c r="T46" i="45"/>
  <c r="Z46" i="45" s="1"/>
  <c r="AG8" i="43"/>
  <c r="K7" i="5"/>
  <c r="H61" i="15" l="1"/>
  <c r="H71" i="15"/>
  <c r="AH8" i="43" l="1"/>
  <c r="H18" i="15"/>
  <c r="E4" i="11" l="1"/>
  <c r="E42" i="45" s="1"/>
  <c r="K32" i="5" l="1"/>
  <c r="K29" i="5"/>
  <c r="K28" i="5"/>
  <c r="K27" i="5"/>
  <c r="K26" i="5"/>
  <c r="K25" i="5"/>
  <c r="K24" i="5"/>
  <c r="K23" i="5"/>
  <c r="K22" i="5"/>
  <c r="K21" i="5"/>
  <c r="K20" i="5"/>
  <c r="K19" i="5"/>
  <c r="K18" i="5"/>
  <c r="K17" i="5"/>
  <c r="K16" i="5"/>
  <c r="K15" i="5"/>
  <c r="K14" i="5"/>
  <c r="K13" i="5"/>
  <c r="K12" i="5"/>
  <c r="K11" i="5"/>
  <c r="K10" i="5"/>
  <c r="K9" i="5"/>
  <c r="K6" i="5"/>
  <c r="K5" i="5"/>
  <c r="K4" i="5"/>
  <c r="K33" i="5" l="1"/>
  <c r="H450" i="15"/>
  <c r="H414" i="15" l="1"/>
  <c r="AG30" i="43" l="1"/>
  <c r="AH30" i="43"/>
  <c r="AG29" i="43"/>
  <c r="AH29" i="43"/>
  <c r="H402" i="15" l="1"/>
  <c r="F343" i="15" l="1"/>
  <c r="H342" i="15"/>
  <c r="C24" i="14" l="1"/>
  <c r="AG24" i="17" s="1"/>
  <c r="AH24" i="17" s="1"/>
  <c r="H279" i="15"/>
  <c r="X24" i="44" l="1"/>
  <c r="T62" i="45"/>
  <c r="Z62" i="45" s="1"/>
  <c r="AG24" i="43"/>
  <c r="H229" i="15"/>
  <c r="F199" i="15" l="1"/>
  <c r="F123" i="15"/>
  <c r="H37" i="15"/>
  <c r="AH24" i="43" l="1"/>
  <c r="C15" i="14"/>
  <c r="AG15" i="17" s="1"/>
  <c r="AH15" i="17" s="1"/>
  <c r="C10" i="14"/>
  <c r="AG10" i="17" s="1"/>
  <c r="AH10" i="17" s="1"/>
  <c r="U34" i="17"/>
  <c r="U33" i="43" s="1"/>
  <c r="X15" i="44" l="1"/>
  <c r="T53" i="45"/>
  <c r="Z53" i="45" s="1"/>
  <c r="AG15" i="43"/>
  <c r="X10" i="44"/>
  <c r="AG10" i="43"/>
  <c r="T48" i="45"/>
  <c r="Z48" i="45" s="1"/>
  <c r="O34" i="19"/>
  <c r="V34" i="9"/>
  <c r="H34" i="24"/>
  <c r="P34" i="10"/>
  <c r="K34" i="36" l="1"/>
  <c r="L34" i="26"/>
  <c r="L34" i="23"/>
  <c r="AH10" i="43" l="1"/>
  <c r="AH15" i="43"/>
  <c r="L34" i="28"/>
  <c r="L34" i="24"/>
  <c r="O34" i="12"/>
  <c r="F33" i="5" l="1"/>
  <c r="AF34" i="17" l="1"/>
  <c r="AF33" i="43" s="1"/>
  <c r="F37" i="5"/>
  <c r="F34" i="9" l="1"/>
  <c r="H135" i="15" l="1"/>
  <c r="T4" i="17" l="1"/>
  <c r="T4" i="43" s="1"/>
  <c r="L34" i="37"/>
  <c r="J34" i="37"/>
  <c r="I34" i="37"/>
  <c r="G34" i="37"/>
  <c r="E34" i="37"/>
  <c r="B5" i="37"/>
  <c r="B6" i="37" s="1"/>
  <c r="B7" i="37" s="1"/>
  <c r="B8" i="37" s="1"/>
  <c r="B9" i="37" s="1"/>
  <c r="B10" i="37" s="1"/>
  <c r="B11" i="37" s="1"/>
  <c r="B12" i="37" s="1"/>
  <c r="B13" i="37" s="1"/>
  <c r="B14" i="37" s="1"/>
  <c r="B15" i="37" s="1"/>
  <c r="B16" i="37" s="1"/>
  <c r="B17" i="37" s="1"/>
  <c r="B18" i="37" s="1"/>
  <c r="B19" i="37" s="1"/>
  <c r="B20" i="37" s="1"/>
  <c r="B21" i="37" s="1"/>
  <c r="B22" i="37" s="1"/>
  <c r="B23" i="37" s="1"/>
  <c r="B24" i="37" s="1"/>
  <c r="B25" i="37" s="1"/>
  <c r="B26" i="37" s="1"/>
  <c r="B27" i="37" s="1"/>
  <c r="B28" i="37" s="1"/>
  <c r="B29" i="37" s="1"/>
  <c r="B30" i="37" s="1"/>
  <c r="B31" i="37" l="1"/>
  <c r="B32" i="37" s="1"/>
  <c r="B33" i="37" s="1"/>
  <c r="T34" i="17"/>
  <c r="T33" i="43" l="1"/>
  <c r="L34" i="34" l="1"/>
  <c r="K35" i="25" l="1"/>
  <c r="L34" i="22" l="1"/>
  <c r="O34" i="11" l="1"/>
  <c r="H357" i="15" l="1"/>
  <c r="H341" i="15" l="1"/>
  <c r="H331" i="15" l="1"/>
  <c r="L34" i="9"/>
  <c r="H327" i="15"/>
  <c r="F293" i="15" l="1"/>
  <c r="C21" i="14" s="1"/>
  <c r="AG21" i="17" s="1"/>
  <c r="AH21" i="17" s="1"/>
  <c r="X21" i="44" l="1"/>
  <c r="T59" i="45"/>
  <c r="Z59" i="45" s="1"/>
  <c r="Z21" i="43"/>
  <c r="H438" i="15"/>
  <c r="AH21" i="43" l="1"/>
  <c r="AG21" i="43"/>
  <c r="E5" i="27"/>
  <c r="E6" i="27"/>
  <c r="O6" i="17" s="1"/>
  <c r="E7" i="27"/>
  <c r="O7" i="17" s="1"/>
  <c r="E8" i="27"/>
  <c r="O8" i="17" s="1"/>
  <c r="E9" i="27"/>
  <c r="O9" i="17" s="1"/>
  <c r="E10" i="27"/>
  <c r="E11" i="27"/>
  <c r="O11" i="17" s="1"/>
  <c r="E12" i="27"/>
  <c r="E13" i="27"/>
  <c r="O13" i="17" s="1"/>
  <c r="E14" i="27"/>
  <c r="E15" i="27"/>
  <c r="O15" i="17" s="1"/>
  <c r="E16" i="27"/>
  <c r="O16" i="17" s="1"/>
  <c r="E17" i="27"/>
  <c r="E18" i="27"/>
  <c r="O18" i="17" s="1"/>
  <c r="E19" i="27"/>
  <c r="O19" i="17" s="1"/>
  <c r="E20" i="27"/>
  <c r="O20" i="17" s="1"/>
  <c r="E21" i="27"/>
  <c r="E22" i="27"/>
  <c r="E23" i="27"/>
  <c r="E24" i="27"/>
  <c r="O24" i="17" s="1"/>
  <c r="E25" i="27"/>
  <c r="O25" i="17" s="1"/>
  <c r="E26" i="27"/>
  <c r="O26" i="17" s="1"/>
  <c r="E27" i="27"/>
  <c r="O27" i="17" s="1"/>
  <c r="E28" i="27"/>
  <c r="O28" i="17" s="1"/>
  <c r="E29" i="27"/>
  <c r="O29" i="17" s="1"/>
  <c r="E30" i="27"/>
  <c r="O30" i="17" s="1"/>
  <c r="E5" i="31"/>
  <c r="P5" i="17" s="1"/>
  <c r="E6" i="31"/>
  <c r="P6" i="17" s="1"/>
  <c r="E7" i="31"/>
  <c r="P7" i="17" s="1"/>
  <c r="E8" i="31"/>
  <c r="P8" i="17" s="1"/>
  <c r="E9" i="31"/>
  <c r="P9" i="17" s="1"/>
  <c r="E10" i="31"/>
  <c r="P10" i="17" s="1"/>
  <c r="E11" i="31"/>
  <c r="P11" i="17" s="1"/>
  <c r="E12" i="31"/>
  <c r="P12" i="17" s="1"/>
  <c r="E13" i="31"/>
  <c r="P13" i="17" s="1"/>
  <c r="E14" i="31"/>
  <c r="P14" i="17" s="1"/>
  <c r="E15" i="31"/>
  <c r="P15" i="17" s="1"/>
  <c r="E16" i="31"/>
  <c r="P16" i="17" s="1"/>
  <c r="E17" i="31"/>
  <c r="P17" i="17" s="1"/>
  <c r="E18" i="31"/>
  <c r="P18" i="17" s="1"/>
  <c r="E19" i="31"/>
  <c r="P19" i="17" s="1"/>
  <c r="E20" i="31"/>
  <c r="P20" i="17" s="1"/>
  <c r="E21" i="31"/>
  <c r="P21" i="17" s="1"/>
  <c r="E22" i="31"/>
  <c r="P22" i="17" s="1"/>
  <c r="E23" i="31"/>
  <c r="P23" i="17" s="1"/>
  <c r="E24" i="31"/>
  <c r="P24" i="17" s="1"/>
  <c r="E25" i="31"/>
  <c r="P25" i="17" s="1"/>
  <c r="E26" i="31"/>
  <c r="P26" i="17" s="1"/>
  <c r="E27" i="31"/>
  <c r="P27" i="17" s="1"/>
  <c r="E28" i="31"/>
  <c r="P28" i="17" s="1"/>
  <c r="E29" i="31"/>
  <c r="P29" i="17" s="1"/>
  <c r="E30" i="31"/>
  <c r="P30" i="17" s="1"/>
  <c r="E5" i="32"/>
  <c r="Q5" i="17" s="1"/>
  <c r="E6" i="32"/>
  <c r="Q6" i="17" s="1"/>
  <c r="E7" i="32"/>
  <c r="Q7" i="17" s="1"/>
  <c r="E8" i="32"/>
  <c r="Q8" i="17" s="1"/>
  <c r="E9" i="32"/>
  <c r="Q9" i="17" s="1"/>
  <c r="E10" i="32"/>
  <c r="Q10" i="17" s="1"/>
  <c r="E11" i="32"/>
  <c r="Q11" i="17" s="1"/>
  <c r="E12" i="32"/>
  <c r="Q12" i="17" s="1"/>
  <c r="E13" i="32"/>
  <c r="Q13" i="17" s="1"/>
  <c r="E14" i="32"/>
  <c r="Q14" i="17" s="1"/>
  <c r="E15" i="32"/>
  <c r="Q15" i="17" s="1"/>
  <c r="E16" i="32"/>
  <c r="Q16" i="17" s="1"/>
  <c r="E17" i="32"/>
  <c r="Q17" i="17" s="1"/>
  <c r="E18" i="32"/>
  <c r="Q18" i="17" s="1"/>
  <c r="E19" i="32"/>
  <c r="Q19" i="17" s="1"/>
  <c r="E20" i="32"/>
  <c r="Q20" i="17" s="1"/>
  <c r="E21" i="32"/>
  <c r="Q21" i="17" s="1"/>
  <c r="E22" i="32"/>
  <c r="Q22" i="17" s="1"/>
  <c r="E23" i="32"/>
  <c r="Q23" i="17" s="1"/>
  <c r="E24" i="32"/>
  <c r="Q24" i="17" s="1"/>
  <c r="E25" i="32"/>
  <c r="Q25" i="17" s="1"/>
  <c r="E26" i="32"/>
  <c r="Q26" i="17" s="1"/>
  <c r="E27" i="32"/>
  <c r="Q27" i="17" s="1"/>
  <c r="E28" i="32"/>
  <c r="Q28" i="17" s="1"/>
  <c r="E29" i="32"/>
  <c r="Q29" i="17" s="1"/>
  <c r="E30" i="32"/>
  <c r="Q30" i="17" s="1"/>
  <c r="O17" i="17" l="1"/>
  <c r="O14" i="17"/>
  <c r="O12" i="17"/>
  <c r="O10" i="17"/>
  <c r="O5" i="17"/>
  <c r="AB10" i="17"/>
  <c r="K10" i="14" s="1"/>
  <c r="AA10" i="17"/>
  <c r="AA29" i="17"/>
  <c r="AB29" i="17"/>
  <c r="K29" i="14" s="1"/>
  <c r="F29" i="44"/>
  <c r="G29" i="44"/>
  <c r="O21" i="17"/>
  <c r="G21" i="44" s="1"/>
  <c r="F28" i="44"/>
  <c r="G28" i="44"/>
  <c r="AB24" i="17"/>
  <c r="K24" i="14" s="1"/>
  <c r="AA24" i="17"/>
  <c r="AA8" i="17"/>
  <c r="AB8" i="17"/>
  <c r="K8" i="14" s="1"/>
  <c r="AB30" i="17"/>
  <c r="K30" i="14" s="1"/>
  <c r="AA30" i="17"/>
  <c r="F30" i="44"/>
  <c r="G30" i="44"/>
  <c r="O22" i="17"/>
  <c r="G22" i="44" s="1"/>
  <c r="O23" i="17"/>
  <c r="G23" i="44" s="1"/>
  <c r="AB19" i="17"/>
  <c r="K19" i="14" s="1"/>
  <c r="AA19" i="17"/>
  <c r="AB15" i="17"/>
  <c r="K15" i="14" s="1"/>
  <c r="AA15" i="17"/>
  <c r="AA11" i="17"/>
  <c r="AB11" i="17"/>
  <c r="K11" i="14" s="1"/>
  <c r="G27" i="44"/>
  <c r="G26" i="44"/>
  <c r="G25" i="44"/>
  <c r="G24" i="44"/>
  <c r="G19" i="44"/>
  <c r="G18" i="44"/>
  <c r="G20" i="44"/>
  <c r="G17" i="44"/>
  <c r="G13" i="44"/>
  <c r="G15" i="44"/>
  <c r="G14" i="44"/>
  <c r="G10" i="44"/>
  <c r="G9" i="44"/>
  <c r="G16" i="44"/>
  <c r="G12" i="44"/>
  <c r="G11" i="44"/>
  <c r="J64" i="45"/>
  <c r="O29" i="43"/>
  <c r="J67" i="45"/>
  <c r="J63" i="45"/>
  <c r="O21" i="43"/>
  <c r="J59" i="45"/>
  <c r="J68" i="45"/>
  <c r="O22" i="43"/>
  <c r="J60" i="45"/>
  <c r="J66" i="45"/>
  <c r="J62" i="45"/>
  <c r="O20" i="43"/>
  <c r="J58" i="45"/>
  <c r="O27" i="43"/>
  <c r="J65" i="45"/>
  <c r="J61" i="45"/>
  <c r="J57" i="45"/>
  <c r="O18" i="43"/>
  <c r="J56" i="45"/>
  <c r="O17" i="43"/>
  <c r="J55" i="45"/>
  <c r="O16" i="43"/>
  <c r="J54" i="45"/>
  <c r="J53" i="45"/>
  <c r="O14" i="43"/>
  <c r="J52" i="45"/>
  <c r="J51" i="45"/>
  <c r="O12" i="43"/>
  <c r="J50" i="45"/>
  <c r="O11" i="43"/>
  <c r="J49" i="45"/>
  <c r="J48" i="45"/>
  <c r="O9" i="43"/>
  <c r="J47" i="45"/>
  <c r="G8" i="44"/>
  <c r="J46" i="45"/>
  <c r="J44" i="45"/>
  <c r="J43" i="45"/>
  <c r="J45" i="45"/>
  <c r="Q28" i="43"/>
  <c r="Q31" i="43"/>
  <c r="Q30" i="43"/>
  <c r="Q26" i="43"/>
  <c r="P30" i="43"/>
  <c r="Q32" i="43"/>
  <c r="Q27" i="43"/>
  <c r="Q29" i="43"/>
  <c r="Q25" i="43"/>
  <c r="P25" i="43"/>
  <c r="Q24" i="43"/>
  <c r="Q23" i="43"/>
  <c r="Q22" i="43"/>
  <c r="Q6" i="43"/>
  <c r="P22" i="43"/>
  <c r="Q21" i="43"/>
  <c r="Q5" i="43"/>
  <c r="P21" i="43"/>
  <c r="Q20" i="43"/>
  <c r="P19" i="43"/>
  <c r="Q19" i="43"/>
  <c r="Q18" i="43"/>
  <c r="Q16" i="43"/>
  <c r="P16" i="43"/>
  <c r="Q15" i="43"/>
  <c r="P15" i="43"/>
  <c r="Q17" i="43"/>
  <c r="P17" i="43"/>
  <c r="Q14" i="43"/>
  <c r="Q13" i="43"/>
  <c r="P12" i="43"/>
  <c r="Q12" i="43"/>
  <c r="P11" i="43"/>
  <c r="Q9" i="43"/>
  <c r="Q10" i="43"/>
  <c r="P10" i="43"/>
  <c r="P9" i="43"/>
  <c r="Q8" i="43"/>
  <c r="P8" i="43"/>
  <c r="Q7" i="43"/>
  <c r="O32" i="43"/>
  <c r="O23" i="43"/>
  <c r="O6" i="43"/>
  <c r="O24" i="43"/>
  <c r="O25" i="43"/>
  <c r="O13" i="43"/>
  <c r="E4" i="32"/>
  <c r="E4" i="31"/>
  <c r="E4" i="27"/>
  <c r="H4" i="9"/>
  <c r="AQ30" i="44" l="1"/>
  <c r="AA21" i="17"/>
  <c r="AB21" i="17"/>
  <c r="K21" i="14" s="1"/>
  <c r="O5" i="43"/>
  <c r="G5" i="44"/>
  <c r="G7" i="44"/>
  <c r="G6" i="44"/>
  <c r="F19" i="44"/>
  <c r="AQ19" i="44" s="1"/>
  <c r="F27" i="44"/>
  <c r="F20" i="44"/>
  <c r="F22" i="44"/>
  <c r="F21" i="44"/>
  <c r="J42" i="45"/>
  <c r="J72" i="45" s="1"/>
  <c r="F23" i="44"/>
  <c r="F24" i="44"/>
  <c r="F25" i="44"/>
  <c r="F26" i="44"/>
  <c r="F18" i="44"/>
  <c r="F17" i="44"/>
  <c r="F16" i="44"/>
  <c r="F15" i="44"/>
  <c r="F13" i="44"/>
  <c r="F12" i="44"/>
  <c r="F14" i="44"/>
  <c r="F11" i="44"/>
  <c r="F10" i="44"/>
  <c r="F9" i="44"/>
  <c r="F8" i="44"/>
  <c r="F5" i="44"/>
  <c r="F7" i="44"/>
  <c r="F6" i="44"/>
  <c r="C42" i="45"/>
  <c r="P31" i="43"/>
  <c r="P26" i="43"/>
  <c r="P27" i="43"/>
  <c r="Q11" i="43"/>
  <c r="P29" i="43"/>
  <c r="P32" i="43"/>
  <c r="P24" i="43"/>
  <c r="P28" i="43"/>
  <c r="P6" i="43"/>
  <c r="P7" i="43"/>
  <c r="P14" i="43"/>
  <c r="P5" i="43"/>
  <c r="P23" i="43"/>
  <c r="P20" i="43"/>
  <c r="P18" i="43"/>
  <c r="P13" i="43"/>
  <c r="O19" i="43"/>
  <c r="O26" i="43"/>
  <c r="O31" i="43"/>
  <c r="O7" i="43"/>
  <c r="O10" i="43"/>
  <c r="O15" i="43"/>
  <c r="O28" i="43"/>
  <c r="O30" i="43"/>
  <c r="O8" i="43"/>
  <c r="S4" i="17"/>
  <c r="G34" i="36"/>
  <c r="E34" i="36"/>
  <c r="B5" i="36"/>
  <c r="B6" i="36" s="1"/>
  <c r="B7" i="36" s="1"/>
  <c r="B8" i="36" s="1"/>
  <c r="B9" i="36" s="1"/>
  <c r="B10" i="36" s="1"/>
  <c r="B11" i="36" s="1"/>
  <c r="B12" i="36" s="1"/>
  <c r="B13" i="36" s="1"/>
  <c r="B14" i="36" s="1"/>
  <c r="B15" i="36" s="1"/>
  <c r="B16" i="36" s="1"/>
  <c r="B17" i="36" s="1"/>
  <c r="B18" i="36" s="1"/>
  <c r="B19" i="36" s="1"/>
  <c r="B20" i="36" s="1"/>
  <c r="B21" i="36" s="1"/>
  <c r="B22" i="36" s="1"/>
  <c r="B23" i="36" s="1"/>
  <c r="B24" i="36" s="1"/>
  <c r="B25" i="36" s="1"/>
  <c r="B26" i="36" s="1"/>
  <c r="B27" i="36" s="1"/>
  <c r="B28" i="36" s="1"/>
  <c r="B29" i="36" s="1"/>
  <c r="B30" i="36" s="1"/>
  <c r="N4" i="17"/>
  <c r="N4" i="43" s="1"/>
  <c r="J34" i="34"/>
  <c r="I34" i="34"/>
  <c r="G34" i="34"/>
  <c r="E34" i="34"/>
  <c r="B5" i="34"/>
  <c r="B6" i="34" s="1"/>
  <c r="B7" i="34" s="1"/>
  <c r="B8" i="34" s="1"/>
  <c r="B9" i="34" s="1"/>
  <c r="B10" i="34" s="1"/>
  <c r="B11" i="34" s="1"/>
  <c r="B12" i="34" s="1"/>
  <c r="B13" i="34" s="1"/>
  <c r="B14" i="34" s="1"/>
  <c r="B15" i="34" s="1"/>
  <c r="B16" i="34" s="1"/>
  <c r="B17" i="34" s="1"/>
  <c r="B18" i="34" s="1"/>
  <c r="B19" i="34" s="1"/>
  <c r="B20" i="34" s="1"/>
  <c r="B21" i="34" s="1"/>
  <c r="B22" i="34" s="1"/>
  <c r="B23" i="34" s="1"/>
  <c r="B24" i="34" s="1"/>
  <c r="B25" i="34" s="1"/>
  <c r="B26" i="34" s="1"/>
  <c r="B27" i="34" s="1"/>
  <c r="B28" i="34" s="1"/>
  <c r="B29" i="34" s="1"/>
  <c r="B30" i="34" s="1"/>
  <c r="E4" i="12"/>
  <c r="F42" i="45" s="1"/>
  <c r="E5" i="11"/>
  <c r="E6" i="11"/>
  <c r="E7" i="11"/>
  <c r="E9" i="11"/>
  <c r="E10" i="11"/>
  <c r="E48" i="45" s="1"/>
  <c r="E11" i="11"/>
  <c r="E12" i="11"/>
  <c r="E13" i="11"/>
  <c r="E14" i="11"/>
  <c r="E15" i="11"/>
  <c r="E16" i="11"/>
  <c r="E17" i="43"/>
  <c r="E18" i="11"/>
  <c r="E19" i="11"/>
  <c r="E57" i="45" s="1"/>
  <c r="E20" i="11"/>
  <c r="E21" i="11"/>
  <c r="E59" i="45" s="1"/>
  <c r="E22" i="11"/>
  <c r="E23" i="11"/>
  <c r="E25" i="11"/>
  <c r="E26" i="11"/>
  <c r="E27" i="11"/>
  <c r="E28" i="11"/>
  <c r="E29" i="11"/>
  <c r="E30" i="11"/>
  <c r="C68" i="45"/>
  <c r="C4" i="43"/>
  <c r="G42" i="5"/>
  <c r="AB21" i="43" l="1"/>
  <c r="O21" i="14"/>
  <c r="AA21" i="43"/>
  <c r="J21" i="14"/>
  <c r="B31" i="36"/>
  <c r="B32" i="36" s="1"/>
  <c r="B33" i="36" s="1"/>
  <c r="B31" i="34"/>
  <c r="B32" i="34" s="1"/>
  <c r="B33" i="34" s="1"/>
  <c r="AQ28" i="44"/>
  <c r="AQ26" i="44"/>
  <c r="AQ29" i="44"/>
  <c r="AQ27" i="44"/>
  <c r="AQ25" i="44"/>
  <c r="AQ24" i="44"/>
  <c r="AQ23" i="44"/>
  <c r="AQ20" i="44"/>
  <c r="AQ21" i="44"/>
  <c r="C62" i="45"/>
  <c r="E26" i="43"/>
  <c r="E64" i="45"/>
  <c r="C65" i="45"/>
  <c r="E30" i="43"/>
  <c r="E68" i="45"/>
  <c r="C61" i="45"/>
  <c r="E29" i="43"/>
  <c r="E67" i="45"/>
  <c r="E25" i="43"/>
  <c r="E63" i="45"/>
  <c r="C64" i="45"/>
  <c r="C60" i="45"/>
  <c r="E32" i="43"/>
  <c r="E28" i="43"/>
  <c r="E66" i="45"/>
  <c r="E23" i="43"/>
  <c r="E61" i="45"/>
  <c r="C66" i="45"/>
  <c r="C67" i="45"/>
  <c r="C63" i="45"/>
  <c r="C59" i="45"/>
  <c r="E31" i="43"/>
  <c r="E27" i="43"/>
  <c r="E65" i="45"/>
  <c r="E22" i="43"/>
  <c r="E60" i="45"/>
  <c r="E20" i="43"/>
  <c r="E58" i="45"/>
  <c r="AQ17" i="44"/>
  <c r="E18" i="43"/>
  <c r="E56" i="45"/>
  <c r="AQ16" i="44"/>
  <c r="AQ14" i="44"/>
  <c r="E16" i="43"/>
  <c r="E54" i="45"/>
  <c r="AQ12" i="44"/>
  <c r="E15" i="43"/>
  <c r="E53" i="45"/>
  <c r="E14" i="43"/>
  <c r="E52" i="45"/>
  <c r="C52" i="45"/>
  <c r="E13" i="43"/>
  <c r="E51" i="45"/>
  <c r="C51" i="45"/>
  <c r="E12" i="43"/>
  <c r="E50" i="45"/>
  <c r="C50" i="45"/>
  <c r="E11" i="43"/>
  <c r="E49" i="45"/>
  <c r="C49" i="45"/>
  <c r="C48" i="45"/>
  <c r="AQ6" i="44"/>
  <c r="E9" i="43"/>
  <c r="E47" i="45"/>
  <c r="C47" i="45"/>
  <c r="AQ5" i="44"/>
  <c r="C46" i="45"/>
  <c r="AQ7" i="44"/>
  <c r="E7" i="43"/>
  <c r="E45" i="45"/>
  <c r="C45" i="45"/>
  <c r="E6" i="43"/>
  <c r="E44" i="45"/>
  <c r="C44" i="45"/>
  <c r="E5" i="43"/>
  <c r="E43" i="45"/>
  <c r="C43" i="45"/>
  <c r="AQ22" i="44"/>
  <c r="AQ8" i="44"/>
  <c r="AQ11" i="44"/>
  <c r="AQ9" i="44"/>
  <c r="AQ13" i="44"/>
  <c r="AQ10" i="44"/>
  <c r="AQ18" i="44"/>
  <c r="AQ15" i="44"/>
  <c r="S4" i="43"/>
  <c r="E10" i="43"/>
  <c r="C13" i="43"/>
  <c r="C12" i="43"/>
  <c r="C8" i="43"/>
  <c r="C7" i="43"/>
  <c r="C6" i="43"/>
  <c r="C5" i="43"/>
  <c r="E19" i="43"/>
  <c r="C30" i="43"/>
  <c r="C18" i="43"/>
  <c r="C29" i="43"/>
  <c r="C21" i="43"/>
  <c r="C17" i="43"/>
  <c r="C28" i="43"/>
  <c r="C24" i="43"/>
  <c r="C20" i="43"/>
  <c r="C16" i="43"/>
  <c r="E24" i="43"/>
  <c r="C26" i="43"/>
  <c r="C22" i="43"/>
  <c r="C14" i="43"/>
  <c r="C25" i="43"/>
  <c r="E21" i="43"/>
  <c r="C32" i="43"/>
  <c r="C31" i="43"/>
  <c r="C27" i="43"/>
  <c r="C23" i="43"/>
  <c r="C19" i="43"/>
  <c r="C15" i="43"/>
  <c r="C11" i="43"/>
  <c r="C10" i="43"/>
  <c r="C9" i="43"/>
  <c r="F4" i="43"/>
  <c r="E4" i="43"/>
  <c r="E34" i="11"/>
  <c r="N34" i="17"/>
  <c r="N33" i="43" s="1"/>
  <c r="S34" i="17"/>
  <c r="N21" i="14" l="1"/>
  <c r="U59" i="45"/>
  <c r="Z21" i="44"/>
  <c r="AB21" i="44" s="1"/>
  <c r="J21" i="44"/>
  <c r="N21" i="44" s="1"/>
  <c r="C72" i="45"/>
  <c r="E72" i="45"/>
  <c r="S33" i="43"/>
  <c r="I34" i="11"/>
  <c r="AD21" i="44" l="1"/>
  <c r="K21" i="44"/>
  <c r="O21" i="44" s="1"/>
  <c r="AA21" i="44"/>
  <c r="AS21" i="44" l="1"/>
  <c r="D32" i="43"/>
  <c r="G34" i="12"/>
  <c r="G34" i="11"/>
  <c r="AG21" i="44" l="1"/>
  <c r="BI21" i="44"/>
  <c r="G61" i="5"/>
  <c r="G34" i="25"/>
  <c r="AM19" i="43" l="1"/>
  <c r="AM9" i="43"/>
  <c r="AM25" i="43"/>
  <c r="AM29" i="43"/>
  <c r="AM15" i="43"/>
  <c r="AM28" i="43"/>
  <c r="AM20" i="43"/>
  <c r="AM12" i="43"/>
  <c r="AM17" i="43"/>
  <c r="AM11" i="43"/>
  <c r="AM21" i="43"/>
  <c r="AM7" i="43"/>
  <c r="AM26" i="43"/>
  <c r="AM18" i="43"/>
  <c r="AM10" i="43"/>
  <c r="AM13" i="43"/>
  <c r="AM31" i="43"/>
  <c r="AM32" i="43"/>
  <c r="AM24" i="43"/>
  <c r="AM16" i="43"/>
  <c r="AM8" i="43"/>
  <c r="AM4" i="43"/>
  <c r="AM27" i="43"/>
  <c r="AM5" i="43"/>
  <c r="AM23" i="43"/>
  <c r="AM30" i="43"/>
  <c r="AM22" i="43"/>
  <c r="AM14" i="43"/>
  <c r="AM6" i="43"/>
  <c r="H34" i="36"/>
  <c r="K34" i="31"/>
  <c r="K34" i="32"/>
  <c r="E5" i="12" l="1"/>
  <c r="E6" i="12"/>
  <c r="F44" i="45" s="1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7" i="10"/>
  <c r="E28" i="10"/>
  <c r="E29" i="10"/>
  <c r="E30" i="10"/>
  <c r="E4" i="10"/>
  <c r="D66" i="45" l="1"/>
  <c r="D61" i="45"/>
  <c r="D62" i="45"/>
  <c r="D65" i="45"/>
  <c r="D60" i="45"/>
  <c r="D67" i="45"/>
  <c r="D68" i="45"/>
  <c r="D63" i="45"/>
  <c r="D59" i="45"/>
  <c r="D58" i="45"/>
  <c r="D57" i="45"/>
  <c r="D56" i="45"/>
  <c r="D55" i="45"/>
  <c r="D54" i="45"/>
  <c r="D53" i="45"/>
  <c r="D52" i="45"/>
  <c r="D51" i="45"/>
  <c r="D50" i="45"/>
  <c r="D49" i="45"/>
  <c r="D48" i="45"/>
  <c r="D47" i="45"/>
  <c r="D46" i="45"/>
  <c r="D45" i="45"/>
  <c r="D44" i="45"/>
  <c r="F5" i="43"/>
  <c r="F43" i="45"/>
  <c r="D43" i="45"/>
  <c r="D42" i="45"/>
  <c r="D13" i="43"/>
  <c r="D12" i="43"/>
  <c r="D8" i="43"/>
  <c r="D7" i="43"/>
  <c r="D6" i="43"/>
  <c r="D5" i="43"/>
  <c r="D28" i="43"/>
  <c r="D24" i="43"/>
  <c r="D20" i="43"/>
  <c r="D16" i="43"/>
  <c r="F6" i="43"/>
  <c r="D29" i="43"/>
  <c r="D21" i="43"/>
  <c r="D31" i="43"/>
  <c r="D23" i="43"/>
  <c r="D15" i="43"/>
  <c r="D25" i="43"/>
  <c r="D17" i="43"/>
  <c r="D27" i="43"/>
  <c r="D19" i="43"/>
  <c r="D30" i="43"/>
  <c r="D26" i="43"/>
  <c r="D22" i="43"/>
  <c r="D18" i="43"/>
  <c r="D14" i="43"/>
  <c r="D11" i="43"/>
  <c r="D10" i="43"/>
  <c r="D9" i="43"/>
  <c r="D4" i="43"/>
  <c r="E36" i="10"/>
  <c r="E34" i="10"/>
  <c r="D72" i="45" l="1"/>
  <c r="J34" i="10"/>
  <c r="M48" i="26" l="1"/>
  <c r="A51" i="5" l="1"/>
  <c r="A52" i="5" s="1"/>
  <c r="A53" i="5" s="1"/>
  <c r="A54" i="5" s="1"/>
  <c r="E34" i="5" l="1"/>
  <c r="K34" i="12" l="1"/>
  <c r="K34" i="11" l="1"/>
  <c r="N34" i="9"/>
  <c r="AK34" i="17" l="1"/>
  <c r="AK33" i="43" l="1"/>
  <c r="Q4" i="17"/>
  <c r="Q4" i="43" s="1"/>
  <c r="P4" i="17"/>
  <c r="P4" i="43" s="1"/>
  <c r="P34" i="17" l="1"/>
  <c r="Q34" i="17"/>
  <c r="Q33" i="43" s="1"/>
  <c r="G40" i="5"/>
  <c r="P33" i="43" l="1"/>
  <c r="H34" i="32"/>
  <c r="G34" i="32"/>
  <c r="E34" i="32"/>
  <c r="B5" i="32"/>
  <c r="B6" i="32" s="1"/>
  <c r="B7" i="32" s="1"/>
  <c r="B8" i="32" s="1"/>
  <c r="B9" i="32" s="1"/>
  <c r="B10" i="32" s="1"/>
  <c r="B11" i="32" s="1"/>
  <c r="B12" i="32" s="1"/>
  <c r="B13" i="32" s="1"/>
  <c r="B14" i="32" s="1"/>
  <c r="B15" i="32" s="1"/>
  <c r="B16" i="32" s="1"/>
  <c r="B17" i="32" s="1"/>
  <c r="B18" i="32" s="1"/>
  <c r="B19" i="32" s="1"/>
  <c r="B20" i="32" s="1"/>
  <c r="B21" i="32" s="1"/>
  <c r="B22" i="32" s="1"/>
  <c r="B23" i="32" s="1"/>
  <c r="B24" i="32" s="1"/>
  <c r="B25" i="32" s="1"/>
  <c r="B26" i="32" s="1"/>
  <c r="B27" i="32" s="1"/>
  <c r="B28" i="32" s="1"/>
  <c r="B29" i="32" s="1"/>
  <c r="B30" i="32" s="1"/>
  <c r="H34" i="31"/>
  <c r="G34" i="31"/>
  <c r="E34" i="31"/>
  <c r="B5" i="31"/>
  <c r="B6" i="31" s="1"/>
  <c r="B7" i="31" s="1"/>
  <c r="B8" i="31" s="1"/>
  <c r="B9" i="31" s="1"/>
  <c r="B10" i="31" s="1"/>
  <c r="B11" i="31" s="1"/>
  <c r="B12" i="31" s="1"/>
  <c r="B13" i="31" s="1"/>
  <c r="B14" i="31" s="1"/>
  <c r="B15" i="31" s="1"/>
  <c r="B16" i="31" s="1"/>
  <c r="B17" i="31" s="1"/>
  <c r="B18" i="31" s="1"/>
  <c r="B19" i="31" s="1"/>
  <c r="B20" i="31" s="1"/>
  <c r="B21" i="31" s="1"/>
  <c r="B22" i="31" s="1"/>
  <c r="B23" i="31" s="1"/>
  <c r="B24" i="31" s="1"/>
  <c r="B25" i="31" s="1"/>
  <c r="B26" i="31" s="1"/>
  <c r="B27" i="31" s="1"/>
  <c r="B28" i="31" s="1"/>
  <c r="B29" i="31" s="1"/>
  <c r="B30" i="31" s="1"/>
  <c r="B31" i="32" l="1"/>
  <c r="B32" i="32" s="1"/>
  <c r="B33" i="32" s="1"/>
  <c r="B31" i="31"/>
  <c r="B32" i="31" s="1"/>
  <c r="B33" i="31" s="1"/>
  <c r="I34" i="32"/>
  <c r="I34" i="31"/>
  <c r="H34" i="25"/>
  <c r="E34" i="25"/>
  <c r="B5" i="25"/>
  <c r="B6" i="25" s="1"/>
  <c r="B7" i="25" s="1"/>
  <c r="B8" i="25" s="1"/>
  <c r="B9" i="25" s="1"/>
  <c r="B10" i="25" s="1"/>
  <c r="B11" i="25" s="1"/>
  <c r="B12" i="25" s="1"/>
  <c r="B13" i="25" s="1"/>
  <c r="B14" i="25" s="1"/>
  <c r="B15" i="25" s="1"/>
  <c r="B16" i="25" s="1"/>
  <c r="B17" i="25" s="1"/>
  <c r="B18" i="25" s="1"/>
  <c r="B19" i="25" s="1"/>
  <c r="B20" i="25" s="1"/>
  <c r="B21" i="25" s="1"/>
  <c r="B22" i="25" s="1"/>
  <c r="B23" i="25" s="1"/>
  <c r="B24" i="25" s="1"/>
  <c r="B25" i="25" s="1"/>
  <c r="B26" i="25" s="1"/>
  <c r="B27" i="25" s="1"/>
  <c r="B28" i="25" s="1"/>
  <c r="B29" i="25" s="1"/>
  <c r="B30" i="25" s="1"/>
  <c r="B31" i="25" l="1"/>
  <c r="B32" i="25" s="1"/>
  <c r="B33" i="25" s="1"/>
  <c r="A56" i="5"/>
  <c r="R4" i="17" l="1"/>
  <c r="R4" i="43" s="1"/>
  <c r="O4" i="17"/>
  <c r="M4" i="17"/>
  <c r="M4" i="43" s="1"/>
  <c r="O4" i="43" l="1"/>
  <c r="M34" i="17"/>
  <c r="M33" i="43" s="1"/>
  <c r="O34" i="17"/>
  <c r="R34" i="17"/>
  <c r="I34" i="28"/>
  <c r="G34" i="28"/>
  <c r="E34" i="28"/>
  <c r="B5" i="28"/>
  <c r="B6" i="28" s="1"/>
  <c r="B7" i="28" s="1"/>
  <c r="B8" i="28" s="1"/>
  <c r="B9" i="28" s="1"/>
  <c r="B10" i="28" s="1"/>
  <c r="B11" i="28" s="1"/>
  <c r="B12" i="28" s="1"/>
  <c r="B13" i="28" s="1"/>
  <c r="B14" i="28" s="1"/>
  <c r="B15" i="28" s="1"/>
  <c r="B16" i="28" s="1"/>
  <c r="B17" i="28" s="1"/>
  <c r="B18" i="28" s="1"/>
  <c r="B19" i="28" s="1"/>
  <c r="B20" i="28" s="1"/>
  <c r="B21" i="28" s="1"/>
  <c r="B22" i="28" s="1"/>
  <c r="B23" i="28" s="1"/>
  <c r="B24" i="28" s="1"/>
  <c r="B25" i="28" s="1"/>
  <c r="B26" i="28" s="1"/>
  <c r="B27" i="28" s="1"/>
  <c r="B28" i="28" s="1"/>
  <c r="B29" i="28" s="1"/>
  <c r="B30" i="28" s="1"/>
  <c r="B31" i="28" s="1"/>
  <c r="B32" i="28" s="1"/>
  <c r="B33" i="28" s="1"/>
  <c r="H34" i="27"/>
  <c r="G34" i="27"/>
  <c r="E34" i="27"/>
  <c r="B5" i="27"/>
  <c r="B6" i="27" s="1"/>
  <c r="B7" i="27" s="1"/>
  <c r="B8" i="27" s="1"/>
  <c r="B9" i="27" s="1"/>
  <c r="B10" i="27" s="1"/>
  <c r="B11" i="27" s="1"/>
  <c r="B12" i="27" s="1"/>
  <c r="B13" i="27" s="1"/>
  <c r="B14" i="27" s="1"/>
  <c r="B15" i="27" s="1"/>
  <c r="B16" i="27" s="1"/>
  <c r="B17" i="27" s="1"/>
  <c r="B18" i="27" s="1"/>
  <c r="B19" i="27" s="1"/>
  <c r="B20" i="27" s="1"/>
  <c r="B21" i="27" s="1"/>
  <c r="B22" i="27" s="1"/>
  <c r="B23" i="27" s="1"/>
  <c r="B24" i="27" s="1"/>
  <c r="B25" i="27" s="1"/>
  <c r="B26" i="27" s="1"/>
  <c r="B27" i="27" s="1"/>
  <c r="B28" i="27" s="1"/>
  <c r="B29" i="27" s="1"/>
  <c r="B30" i="27" s="1"/>
  <c r="I34" i="26"/>
  <c r="G34" i="26"/>
  <c r="B5" i="26"/>
  <c r="B6" i="26" s="1"/>
  <c r="B7" i="26" s="1"/>
  <c r="B8" i="26" s="1"/>
  <c r="B9" i="26" s="1"/>
  <c r="B10" i="26" s="1"/>
  <c r="B11" i="26" s="1"/>
  <c r="B12" i="26" s="1"/>
  <c r="B13" i="26" s="1"/>
  <c r="B14" i="26" s="1"/>
  <c r="B15" i="26" s="1"/>
  <c r="B16" i="26" s="1"/>
  <c r="B17" i="26" s="1"/>
  <c r="B18" i="26" s="1"/>
  <c r="B19" i="26" s="1"/>
  <c r="B20" i="26" s="1"/>
  <c r="B21" i="26" s="1"/>
  <c r="B22" i="26" s="1"/>
  <c r="B23" i="26" s="1"/>
  <c r="B24" i="26" s="1"/>
  <c r="B25" i="26" s="1"/>
  <c r="B26" i="26" s="1"/>
  <c r="B27" i="26" s="1"/>
  <c r="B28" i="26" s="1"/>
  <c r="B29" i="26" s="1"/>
  <c r="B30" i="26" s="1"/>
  <c r="B31" i="26" s="1"/>
  <c r="B32" i="26" s="1"/>
  <c r="B33" i="26" s="1"/>
  <c r="B31" i="27" l="1"/>
  <c r="B32" i="27" s="1"/>
  <c r="B33" i="27" s="1"/>
  <c r="O33" i="43"/>
  <c r="R33" i="43"/>
  <c r="L4" i="17"/>
  <c r="K4" i="17"/>
  <c r="K4" i="43" s="1"/>
  <c r="J4" i="17"/>
  <c r="J4" i="43" s="1"/>
  <c r="I4" i="17"/>
  <c r="I34" i="24"/>
  <c r="G34" i="24"/>
  <c r="B5" i="24"/>
  <c r="B6" i="24" s="1"/>
  <c r="B7" i="24" s="1"/>
  <c r="B8" i="24" s="1"/>
  <c r="B9" i="24" s="1"/>
  <c r="B10" i="24" s="1"/>
  <c r="B11" i="24" s="1"/>
  <c r="B12" i="24" s="1"/>
  <c r="B13" i="24" s="1"/>
  <c r="B14" i="24" s="1"/>
  <c r="B15" i="24" s="1"/>
  <c r="B16" i="24" s="1"/>
  <c r="B17" i="24" s="1"/>
  <c r="B18" i="24" s="1"/>
  <c r="B19" i="24" s="1"/>
  <c r="B20" i="24" s="1"/>
  <c r="B21" i="24" s="1"/>
  <c r="B22" i="24" s="1"/>
  <c r="B23" i="24" s="1"/>
  <c r="B24" i="24" s="1"/>
  <c r="B25" i="24" s="1"/>
  <c r="B26" i="24" s="1"/>
  <c r="B27" i="24" s="1"/>
  <c r="B28" i="24" s="1"/>
  <c r="B29" i="24" s="1"/>
  <c r="B30" i="24" s="1"/>
  <c r="B31" i="24" s="1"/>
  <c r="B32" i="24" s="1"/>
  <c r="B33" i="24" s="1"/>
  <c r="I34" i="23"/>
  <c r="G34" i="23"/>
  <c r="B5" i="23"/>
  <c r="B6" i="23" s="1"/>
  <c r="B7" i="23" s="1"/>
  <c r="B8" i="23" s="1"/>
  <c r="B9" i="23" s="1"/>
  <c r="B10" i="23" s="1"/>
  <c r="B11" i="23" s="1"/>
  <c r="B12" i="23" s="1"/>
  <c r="B13" i="23" s="1"/>
  <c r="B14" i="23" s="1"/>
  <c r="B15" i="23" s="1"/>
  <c r="B16" i="23" s="1"/>
  <c r="B17" i="23" s="1"/>
  <c r="B18" i="23" s="1"/>
  <c r="B19" i="23" s="1"/>
  <c r="B20" i="23" s="1"/>
  <c r="B21" i="23" s="1"/>
  <c r="B22" i="23" s="1"/>
  <c r="B23" i="23" s="1"/>
  <c r="B24" i="23" s="1"/>
  <c r="B25" i="23" s="1"/>
  <c r="B26" i="23" s="1"/>
  <c r="B27" i="23" s="1"/>
  <c r="B28" i="23" s="1"/>
  <c r="B29" i="23" s="1"/>
  <c r="B30" i="23" s="1"/>
  <c r="I34" i="22"/>
  <c r="G34" i="22"/>
  <c r="E34" i="22"/>
  <c r="B5" i="22"/>
  <c r="B6" i="22" s="1"/>
  <c r="B7" i="22" s="1"/>
  <c r="B8" i="22" s="1"/>
  <c r="B9" i="22" s="1"/>
  <c r="B10" i="22" s="1"/>
  <c r="B11" i="22" s="1"/>
  <c r="B12" i="22" s="1"/>
  <c r="B13" i="22" s="1"/>
  <c r="B14" i="22" s="1"/>
  <c r="B15" i="22" s="1"/>
  <c r="B16" i="22" s="1"/>
  <c r="B17" i="22" s="1"/>
  <c r="B18" i="22" s="1"/>
  <c r="B19" i="22" s="1"/>
  <c r="B20" i="22" s="1"/>
  <c r="B21" i="22" s="1"/>
  <c r="B22" i="22" s="1"/>
  <c r="B23" i="22" s="1"/>
  <c r="B24" i="22" s="1"/>
  <c r="B25" i="22" s="1"/>
  <c r="B26" i="22" s="1"/>
  <c r="B27" i="22" s="1"/>
  <c r="B28" i="22" s="1"/>
  <c r="B29" i="22" s="1"/>
  <c r="B30" i="22" s="1"/>
  <c r="B31" i="22" l="1"/>
  <c r="B32" i="22" s="1"/>
  <c r="B33" i="22" s="1"/>
  <c r="B31" i="23"/>
  <c r="B32" i="23" s="1"/>
  <c r="B33" i="23" s="1"/>
  <c r="I4" i="43"/>
  <c r="L4" i="43"/>
  <c r="L34" i="17"/>
  <c r="L33" i="43" s="1"/>
  <c r="I34" i="17"/>
  <c r="J34" i="17"/>
  <c r="K34" i="17"/>
  <c r="J34" i="26"/>
  <c r="J34" i="28"/>
  <c r="I34" i="27"/>
  <c r="J33" i="43" l="1"/>
  <c r="I33" i="43"/>
  <c r="K33" i="43"/>
  <c r="J34" i="24"/>
  <c r="J34" i="23"/>
  <c r="J34" i="22"/>
  <c r="B5" i="17" l="1"/>
  <c r="B6" i="17" s="1"/>
  <c r="B7" i="17" s="1"/>
  <c r="B8" i="17" s="1"/>
  <c r="B9" i="17" s="1"/>
  <c r="B10" i="17" s="1"/>
  <c r="B11" i="17" s="1"/>
  <c r="B12" i="17" s="1"/>
  <c r="B13" i="17" s="1"/>
  <c r="B14" i="17" s="1"/>
  <c r="B15" i="17" s="1"/>
  <c r="B16" i="17" s="1"/>
  <c r="B17" i="17" s="1"/>
  <c r="B18" i="17" s="1"/>
  <c r="B19" i="17" s="1"/>
  <c r="B20" i="17" s="1"/>
  <c r="B21" i="17" s="1"/>
  <c r="B22" i="17" s="1"/>
  <c r="B23" i="17" s="1"/>
  <c r="B24" i="17" s="1"/>
  <c r="B25" i="17" s="1"/>
  <c r="B26" i="17" s="1"/>
  <c r="B27" i="17" s="1"/>
  <c r="B28" i="17" s="1"/>
  <c r="B29" i="17" s="1"/>
  <c r="B30" i="17" s="1"/>
  <c r="B31" i="17" s="1"/>
  <c r="B32" i="17" s="1"/>
  <c r="B33" i="17" s="1"/>
  <c r="B5" i="14"/>
  <c r="B6" i="14" s="1"/>
  <c r="B7" i="14" s="1"/>
  <c r="B8" i="14" s="1"/>
  <c r="B9" i="14" s="1"/>
  <c r="B10" i="14" s="1"/>
  <c r="B11" i="14" s="1"/>
  <c r="B12" i="14" s="1"/>
  <c r="B13" i="14" s="1"/>
  <c r="B14" i="14" s="1"/>
  <c r="B15" i="14" s="1"/>
  <c r="B16" i="14" s="1"/>
  <c r="B17" i="14" s="1"/>
  <c r="B18" i="14" s="1"/>
  <c r="B19" i="14" s="1"/>
  <c r="B20" i="14" s="1"/>
  <c r="B21" i="14" s="1"/>
  <c r="B22" i="14" s="1"/>
  <c r="B23" i="14" s="1"/>
  <c r="B24" i="14" s="1"/>
  <c r="B25" i="14" s="1"/>
  <c r="B26" i="14" s="1"/>
  <c r="B27" i="14" s="1"/>
  <c r="B28" i="14" s="1"/>
  <c r="B29" i="14" s="1"/>
  <c r="B30" i="14" s="1"/>
  <c r="B5" i="20"/>
  <c r="B6" i="20" s="1"/>
  <c r="B7" i="20" s="1"/>
  <c r="B8" i="20" s="1"/>
  <c r="B9" i="20" s="1"/>
  <c r="B10" i="20" s="1"/>
  <c r="B11" i="20" s="1"/>
  <c r="B12" i="20" s="1"/>
  <c r="B13" i="20" s="1"/>
  <c r="B14" i="20" s="1"/>
  <c r="B15" i="20" s="1"/>
  <c r="B16" i="20" s="1"/>
  <c r="B17" i="20" s="1"/>
  <c r="B18" i="20" s="1"/>
  <c r="B19" i="20" s="1"/>
  <c r="B20" i="20" s="1"/>
  <c r="B21" i="20" s="1"/>
  <c r="B22" i="20" s="1"/>
  <c r="B23" i="20" s="1"/>
  <c r="B24" i="20" s="1"/>
  <c r="B25" i="20" s="1"/>
  <c r="B26" i="20" s="1"/>
  <c r="B27" i="20" s="1"/>
  <c r="B28" i="20" s="1"/>
  <c r="B29" i="20" s="1"/>
  <c r="B30" i="20" s="1"/>
  <c r="B31" i="20" s="1"/>
  <c r="B32" i="20" s="1"/>
  <c r="B33" i="20" s="1"/>
  <c r="B5" i="19"/>
  <c r="B6" i="19" s="1"/>
  <c r="B7" i="19" s="1"/>
  <c r="B8" i="19" s="1"/>
  <c r="B9" i="19" s="1"/>
  <c r="B10" i="19" s="1"/>
  <c r="B11" i="19" s="1"/>
  <c r="B12" i="19" s="1"/>
  <c r="B13" i="19" s="1"/>
  <c r="B14" i="19" s="1"/>
  <c r="B15" i="19" s="1"/>
  <c r="B16" i="19" s="1"/>
  <c r="B17" i="19" s="1"/>
  <c r="B18" i="19" s="1"/>
  <c r="B19" i="19" s="1"/>
  <c r="B20" i="19" s="1"/>
  <c r="B21" i="19" s="1"/>
  <c r="B22" i="19" s="1"/>
  <c r="B23" i="19" s="1"/>
  <c r="B24" i="19" s="1"/>
  <c r="B25" i="19" s="1"/>
  <c r="B26" i="19" s="1"/>
  <c r="B27" i="19" s="1"/>
  <c r="B28" i="19" s="1"/>
  <c r="B29" i="19" s="1"/>
  <c r="B30" i="19" s="1"/>
  <c r="B5" i="13"/>
  <c r="B6" i="13" s="1"/>
  <c r="B7" i="13" s="1"/>
  <c r="B8" i="13" s="1"/>
  <c r="B9" i="13" s="1"/>
  <c r="B10" i="13" s="1"/>
  <c r="B11" i="13" s="1"/>
  <c r="B12" i="13" s="1"/>
  <c r="B13" i="13" s="1"/>
  <c r="B14" i="13" s="1"/>
  <c r="B15" i="13" s="1"/>
  <c r="B16" i="13" s="1"/>
  <c r="B17" i="13" s="1"/>
  <c r="B18" i="13" s="1"/>
  <c r="B19" i="13" s="1"/>
  <c r="B20" i="13" s="1"/>
  <c r="B21" i="13" s="1"/>
  <c r="B22" i="13" s="1"/>
  <c r="B23" i="13" s="1"/>
  <c r="B24" i="13" s="1"/>
  <c r="B25" i="13" s="1"/>
  <c r="B26" i="13" s="1"/>
  <c r="B27" i="13" s="1"/>
  <c r="B28" i="13" s="1"/>
  <c r="B29" i="13" s="1"/>
  <c r="B30" i="13" s="1"/>
  <c r="B5" i="12"/>
  <c r="B6" i="12" s="1"/>
  <c r="B7" i="12" s="1"/>
  <c r="B8" i="12" s="1"/>
  <c r="B9" i="12" s="1"/>
  <c r="B10" i="12" s="1"/>
  <c r="B11" i="12" s="1"/>
  <c r="B12" i="12" s="1"/>
  <c r="B13" i="12" s="1"/>
  <c r="B14" i="12" s="1"/>
  <c r="B15" i="12" s="1"/>
  <c r="B16" i="12" s="1"/>
  <c r="B17" i="12" s="1"/>
  <c r="B18" i="12" s="1"/>
  <c r="B19" i="12" s="1"/>
  <c r="B20" i="12" s="1"/>
  <c r="B21" i="12" s="1"/>
  <c r="B22" i="12" s="1"/>
  <c r="B23" i="12" s="1"/>
  <c r="B24" i="12" s="1"/>
  <c r="B25" i="12" s="1"/>
  <c r="B26" i="12" s="1"/>
  <c r="B27" i="12" s="1"/>
  <c r="B28" i="12" s="1"/>
  <c r="B29" i="12" s="1"/>
  <c r="B30" i="12" s="1"/>
  <c r="B5" i="11"/>
  <c r="B6" i="11" s="1"/>
  <c r="B7" i="11" s="1"/>
  <c r="B8" i="11" s="1"/>
  <c r="B9" i="11" s="1"/>
  <c r="B10" i="11" s="1"/>
  <c r="B11" i="11" s="1"/>
  <c r="B12" i="11" s="1"/>
  <c r="B13" i="11" s="1"/>
  <c r="B14" i="11" s="1"/>
  <c r="B15" i="11" s="1"/>
  <c r="B16" i="11" s="1"/>
  <c r="B17" i="11" s="1"/>
  <c r="B18" i="11" s="1"/>
  <c r="B19" i="11" s="1"/>
  <c r="B20" i="11" s="1"/>
  <c r="B21" i="11" s="1"/>
  <c r="B22" i="11" s="1"/>
  <c r="B23" i="11" s="1"/>
  <c r="B24" i="11" s="1"/>
  <c r="B25" i="11" s="1"/>
  <c r="B26" i="11" s="1"/>
  <c r="B27" i="11" s="1"/>
  <c r="B28" i="11" s="1"/>
  <c r="B29" i="11" s="1"/>
  <c r="B30" i="11" s="1"/>
  <c r="B5" i="10"/>
  <c r="B6" i="10" s="1"/>
  <c r="B7" i="10" s="1"/>
  <c r="B8" i="10" s="1"/>
  <c r="B9" i="10" s="1"/>
  <c r="B10" i="10" s="1"/>
  <c r="B11" i="10" s="1"/>
  <c r="B12" i="10" s="1"/>
  <c r="B13" i="10" s="1"/>
  <c r="B14" i="10" s="1"/>
  <c r="B15" i="10" s="1"/>
  <c r="B16" i="10" s="1"/>
  <c r="B17" i="10" s="1"/>
  <c r="B18" i="10" s="1"/>
  <c r="B19" i="10" s="1"/>
  <c r="B20" i="10" s="1"/>
  <c r="B21" i="10" s="1"/>
  <c r="B22" i="10" s="1"/>
  <c r="B23" i="10" s="1"/>
  <c r="B24" i="10" s="1"/>
  <c r="B25" i="10" s="1"/>
  <c r="B26" i="10" s="1"/>
  <c r="B27" i="10" s="1"/>
  <c r="B28" i="10" s="1"/>
  <c r="B29" i="10" s="1"/>
  <c r="B30" i="10" s="1"/>
  <c r="B31" i="14" l="1"/>
  <c r="B32" i="14" s="1"/>
  <c r="B33" i="14" s="1"/>
  <c r="B31" i="19"/>
  <c r="B32" i="19" s="1"/>
  <c r="B33" i="19" s="1"/>
  <c r="B31" i="12"/>
  <c r="B32" i="12" s="1"/>
  <c r="B33" i="12" s="1"/>
  <c r="B31" i="11"/>
  <c r="B32" i="11" s="1"/>
  <c r="B33" i="11" s="1"/>
  <c r="B31" i="13"/>
  <c r="B32" i="13" s="1"/>
  <c r="B33" i="13" s="1"/>
  <c r="B31" i="10"/>
  <c r="B32" i="10" s="1"/>
  <c r="B33" i="10" s="1"/>
  <c r="Q10" i="13"/>
  <c r="Q9" i="13"/>
  <c r="M34" i="19" l="1"/>
  <c r="R34" i="9"/>
  <c r="Q34" i="9"/>
  <c r="N34" i="12"/>
  <c r="M34" i="13"/>
  <c r="N34" i="11"/>
  <c r="H4" i="17" l="1"/>
  <c r="G4" i="44" s="1"/>
  <c r="G4" i="17"/>
  <c r="S34" i="9" l="1"/>
  <c r="G4" i="43"/>
  <c r="F4" i="44"/>
  <c r="F34" i="44" s="1"/>
  <c r="F37" i="44" s="1"/>
  <c r="H34" i="17"/>
  <c r="H4" i="43"/>
  <c r="G34" i="17"/>
  <c r="G33" i="43" s="1"/>
  <c r="F39" i="44" l="1"/>
  <c r="F38" i="44"/>
  <c r="AQ4" i="44"/>
  <c r="G34" i="44"/>
  <c r="G37" i="44" s="1"/>
  <c r="H33" i="43"/>
  <c r="L34" i="13"/>
  <c r="I34" i="20"/>
  <c r="G34" i="20"/>
  <c r="G39" i="44" l="1"/>
  <c r="G38" i="44"/>
  <c r="J34" i="20"/>
  <c r="R9" i="13" l="1"/>
  <c r="D23" i="15" l="1"/>
  <c r="D41" i="15" s="1"/>
  <c r="D60" i="15" s="1"/>
  <c r="D78" i="15" s="1"/>
  <c r="H56" i="15" l="1"/>
  <c r="K34" i="19" l="1"/>
  <c r="I34" i="19"/>
  <c r="G34" i="19"/>
  <c r="D34" i="19"/>
  <c r="E20" i="19"/>
  <c r="I58" i="45" s="1"/>
  <c r="E19" i="19"/>
  <c r="I57" i="45" s="1"/>
  <c r="E18" i="19"/>
  <c r="I56" i="45" s="1"/>
  <c r="E17" i="19"/>
  <c r="I55" i="45" s="1"/>
  <c r="E16" i="19"/>
  <c r="I54" i="45" s="1"/>
  <c r="E15" i="19"/>
  <c r="I53" i="45" s="1"/>
  <c r="E14" i="19"/>
  <c r="I52" i="45" s="1"/>
  <c r="E13" i="19"/>
  <c r="I51" i="45" s="1"/>
  <c r="E12" i="19"/>
  <c r="I50" i="45" s="1"/>
  <c r="E11" i="19"/>
  <c r="I49" i="45" s="1"/>
  <c r="E10" i="19"/>
  <c r="I48" i="45" s="1"/>
  <c r="E9" i="19"/>
  <c r="I47" i="45" s="1"/>
  <c r="E8" i="19"/>
  <c r="I46" i="45" s="1"/>
  <c r="E6" i="19"/>
  <c r="I44" i="45" s="1"/>
  <c r="E5" i="19"/>
  <c r="I43" i="45" s="1"/>
  <c r="E4" i="19"/>
  <c r="I42" i="45" s="1"/>
  <c r="K43" i="45" l="1"/>
  <c r="N43" i="45"/>
  <c r="R43" i="45" s="1"/>
  <c r="K44" i="45"/>
  <c r="N44" i="45"/>
  <c r="R44" i="45" s="1"/>
  <c r="L34" i="19"/>
  <c r="Y43" i="45" l="1"/>
  <c r="Y44" i="45"/>
  <c r="I72" i="45"/>
  <c r="H292" i="15"/>
  <c r="H247" i="15" l="1"/>
  <c r="K34" i="13" l="1"/>
  <c r="K35" i="13" l="1"/>
  <c r="L34" i="12" l="1"/>
  <c r="L34" i="11"/>
  <c r="P34" i="9"/>
  <c r="AD3" i="17"/>
  <c r="D92" i="15"/>
  <c r="D110" i="15" s="1"/>
  <c r="D126" i="15" l="1"/>
  <c r="D139" i="15" s="1"/>
  <c r="D156" i="15" s="1"/>
  <c r="D174" i="15" s="1"/>
  <c r="D186" i="15" s="1"/>
  <c r="D202" i="15" s="1"/>
  <c r="D215" i="15" s="1"/>
  <c r="D233" i="15" s="1"/>
  <c r="D251" i="15" s="1"/>
  <c r="D265" i="15" l="1"/>
  <c r="D283" i="15" s="1"/>
  <c r="D296" i="15" s="1"/>
  <c r="D315" i="15" s="1"/>
  <c r="D331" i="15" s="1"/>
  <c r="D346" i="15" s="1"/>
  <c r="D361" i="15" s="1"/>
  <c r="D377" i="15" s="1"/>
  <c r="D391" i="15" s="1"/>
  <c r="D406" i="15" s="1"/>
  <c r="D418" i="15" s="1"/>
  <c r="D438" i="15" s="1"/>
  <c r="D455" i="15" s="1"/>
  <c r="D469" i="15" s="1"/>
  <c r="D34" i="13"/>
  <c r="D34" i="10"/>
  <c r="D34" i="9"/>
  <c r="F466" i="15" l="1"/>
  <c r="C32" i="14" s="1"/>
  <c r="AG32" i="17" s="1"/>
  <c r="AH32" i="17" s="1"/>
  <c r="H455" i="15"/>
  <c r="H454" i="15"/>
  <c r="H449" i="15"/>
  <c r="H437" i="15"/>
  <c r="Z30" i="43"/>
  <c r="H418" i="15"/>
  <c r="H417" i="15"/>
  <c r="H406" i="15"/>
  <c r="H405" i="15"/>
  <c r="F403" i="15"/>
  <c r="C28" i="14" s="1"/>
  <c r="AG28" i="17" s="1"/>
  <c r="AH28" i="17" s="1"/>
  <c r="H391" i="15"/>
  <c r="H390" i="15"/>
  <c r="F388" i="15"/>
  <c r="C27" i="14" s="1"/>
  <c r="AG27" i="17" s="1"/>
  <c r="AH27" i="17" s="1"/>
  <c r="H377" i="15"/>
  <c r="H376" i="15"/>
  <c r="F374" i="15"/>
  <c r="C26" i="14" s="1"/>
  <c r="AG26" i="17" s="1"/>
  <c r="AH26" i="17" s="1"/>
  <c r="H361" i="15"/>
  <c r="H360" i="15"/>
  <c r="F358" i="15"/>
  <c r="C25" i="14" s="1"/>
  <c r="AG25" i="17" s="1"/>
  <c r="AH25" i="17" s="1"/>
  <c r="H346" i="15"/>
  <c r="H345" i="15"/>
  <c r="H330" i="15"/>
  <c r="F328" i="15"/>
  <c r="C23" i="14" s="1"/>
  <c r="AG23" i="17" s="1"/>
  <c r="AH23" i="17" s="1"/>
  <c r="H315" i="15"/>
  <c r="H314" i="15"/>
  <c r="F312" i="15"/>
  <c r="C22" i="14" s="1"/>
  <c r="AG22" i="17" s="1"/>
  <c r="AH22" i="17" s="1"/>
  <c r="H296" i="15"/>
  <c r="H295" i="15"/>
  <c r="H283" i="15"/>
  <c r="H282" i="15"/>
  <c r="F280" i="15"/>
  <c r="C20" i="14" s="1"/>
  <c r="AG20" i="17" s="1"/>
  <c r="AH20" i="17" s="1"/>
  <c r="H251" i="15"/>
  <c r="H250" i="15"/>
  <c r="F248" i="15"/>
  <c r="C18" i="14" s="1"/>
  <c r="AG18" i="17" s="1"/>
  <c r="AH18" i="17" s="1"/>
  <c r="H233" i="15"/>
  <c r="H232" i="15"/>
  <c r="F230" i="15"/>
  <c r="C17" i="14" s="1"/>
  <c r="AG17" i="17" s="1"/>
  <c r="AH17" i="17" s="1"/>
  <c r="H215" i="15"/>
  <c r="H214" i="15"/>
  <c r="F212" i="15"/>
  <c r="C16" i="14" s="1"/>
  <c r="AG16" i="17" s="1"/>
  <c r="AH16" i="17" s="1"/>
  <c r="H202" i="15"/>
  <c r="H201" i="15"/>
  <c r="H186" i="15"/>
  <c r="H185" i="15"/>
  <c r="F183" i="15"/>
  <c r="C14" i="14" s="1"/>
  <c r="AG14" i="17" s="1"/>
  <c r="AH14" i="17" s="1"/>
  <c r="H174" i="15"/>
  <c r="H173" i="15"/>
  <c r="F171" i="15"/>
  <c r="C13" i="14" s="1"/>
  <c r="AG13" i="17" s="1"/>
  <c r="AH13" i="17" s="1"/>
  <c r="H156" i="15"/>
  <c r="H155" i="15"/>
  <c r="F153" i="15"/>
  <c r="C12" i="14" s="1"/>
  <c r="AG12" i="17" s="1"/>
  <c r="AH12" i="17" s="1"/>
  <c r="H139" i="15"/>
  <c r="H138" i="15"/>
  <c r="H126" i="15"/>
  <c r="H125" i="15"/>
  <c r="H109" i="15"/>
  <c r="F107" i="15"/>
  <c r="C9" i="14" s="1"/>
  <c r="AG9" i="17" s="1"/>
  <c r="AH9" i="17" s="1"/>
  <c r="H91" i="15"/>
  <c r="H78" i="15"/>
  <c r="H77" i="15"/>
  <c r="F75" i="15"/>
  <c r="C7" i="14" s="1"/>
  <c r="AG7" i="17" s="1"/>
  <c r="AH7" i="17" s="1"/>
  <c r="H60" i="15"/>
  <c r="H59" i="15"/>
  <c r="F57" i="15"/>
  <c r="C6" i="14" s="1"/>
  <c r="AG6" i="17" s="1"/>
  <c r="AH6" i="17" s="1"/>
  <c r="H41" i="15"/>
  <c r="H40" i="15"/>
  <c r="AA32" i="17" l="1"/>
  <c r="AB32" i="17"/>
  <c r="K32" i="14" s="1"/>
  <c r="AB28" i="17"/>
  <c r="K28" i="14" s="1"/>
  <c r="AA28" i="17"/>
  <c r="AB27" i="17"/>
  <c r="K27" i="14" s="1"/>
  <c r="AA27" i="17"/>
  <c r="AB26" i="17"/>
  <c r="K26" i="14" s="1"/>
  <c r="AA26" i="17"/>
  <c r="AB25" i="17"/>
  <c r="K25" i="14" s="1"/>
  <c r="AA25" i="17"/>
  <c r="AB23" i="17"/>
  <c r="K23" i="14" s="1"/>
  <c r="AA23" i="17"/>
  <c r="AA22" i="17"/>
  <c r="AB22" i="17"/>
  <c r="K22" i="14" s="1"/>
  <c r="AA20" i="17"/>
  <c r="AB20" i="17"/>
  <c r="K20" i="14" s="1"/>
  <c r="AB18" i="17"/>
  <c r="K18" i="14" s="1"/>
  <c r="AA18" i="17"/>
  <c r="AB17" i="17"/>
  <c r="K17" i="14" s="1"/>
  <c r="AA17" i="17"/>
  <c r="AB16" i="17"/>
  <c r="K16" i="14" s="1"/>
  <c r="AA16" i="17"/>
  <c r="AB14" i="17"/>
  <c r="K14" i="14" s="1"/>
  <c r="AA14" i="17"/>
  <c r="AB13" i="17"/>
  <c r="K13" i="14" s="1"/>
  <c r="AA13" i="17"/>
  <c r="AA12" i="17"/>
  <c r="AB12" i="17"/>
  <c r="K12" i="14" s="1"/>
  <c r="AB9" i="17"/>
  <c r="K9" i="14" s="1"/>
  <c r="AA9" i="17"/>
  <c r="AA7" i="17"/>
  <c r="AB7" i="17"/>
  <c r="K7" i="14" s="1"/>
  <c r="AB6" i="17"/>
  <c r="K6" i="14" s="1"/>
  <c r="AA6" i="17"/>
  <c r="X32" i="44"/>
  <c r="T70" i="45"/>
  <c r="X12" i="44"/>
  <c r="T50" i="45"/>
  <c r="Z50" i="45" s="1"/>
  <c r="AG12" i="43"/>
  <c r="X20" i="44"/>
  <c r="T58" i="45"/>
  <c r="Z58" i="45" s="1"/>
  <c r="X23" i="44"/>
  <c r="T61" i="45"/>
  <c r="Z61" i="45" s="1"/>
  <c r="X25" i="44"/>
  <c r="T63" i="45"/>
  <c r="Z63" i="45" s="1"/>
  <c r="X7" i="44"/>
  <c r="T45" i="45"/>
  <c r="Z45" i="45" s="1"/>
  <c r="X18" i="44"/>
  <c r="AG18" i="43"/>
  <c r="T56" i="45"/>
  <c r="Z56" i="45" s="1"/>
  <c r="X22" i="44"/>
  <c r="AG22" i="43"/>
  <c r="T60" i="45"/>
  <c r="Z60" i="45" s="1"/>
  <c r="X28" i="44"/>
  <c r="T66" i="45"/>
  <c r="Z66" i="45" s="1"/>
  <c r="X9" i="44"/>
  <c r="AG9" i="43"/>
  <c r="T47" i="45"/>
  <c r="Z47" i="45" s="1"/>
  <c r="X14" i="44"/>
  <c r="AG14" i="43"/>
  <c r="T52" i="45"/>
  <c r="Z52" i="45" s="1"/>
  <c r="X17" i="44"/>
  <c r="AG17" i="43"/>
  <c r="T55" i="45"/>
  <c r="Z55" i="45" s="1"/>
  <c r="X27" i="44"/>
  <c r="T65" i="45"/>
  <c r="Z65" i="45" s="1"/>
  <c r="X6" i="44"/>
  <c r="T44" i="45"/>
  <c r="Z44" i="45" s="1"/>
  <c r="X13" i="44"/>
  <c r="T51" i="45"/>
  <c r="Z51" i="45" s="1"/>
  <c r="X16" i="44"/>
  <c r="T54" i="45"/>
  <c r="Z54" i="45" s="1"/>
  <c r="X26" i="44"/>
  <c r="T64" i="45"/>
  <c r="Z64" i="45" s="1"/>
  <c r="Z22" i="43"/>
  <c r="Z18" i="43"/>
  <c r="H415" i="15"/>
  <c r="H452" i="15"/>
  <c r="E31" i="14" s="1"/>
  <c r="H435" i="15"/>
  <c r="H328" i="15"/>
  <c r="H136" i="15"/>
  <c r="E11" i="14" s="1"/>
  <c r="Y11" i="44" s="1"/>
  <c r="H248" i="15"/>
  <c r="E18" i="14" s="1"/>
  <c r="Y18" i="44" s="1"/>
  <c r="H262" i="15"/>
  <c r="J30" i="14"/>
  <c r="Z30" i="44"/>
  <c r="AB30" i="44" s="1"/>
  <c r="H343" i="15"/>
  <c r="E24" i="14" s="1"/>
  <c r="Y24" i="44" s="1"/>
  <c r="H123" i="15"/>
  <c r="E10" i="14" s="1"/>
  <c r="Y10" i="44" s="1"/>
  <c r="Z17" i="43"/>
  <c r="Z16" i="43"/>
  <c r="Z12" i="43"/>
  <c r="Z14" i="43"/>
  <c r="Z9" i="43"/>
  <c r="H57" i="15"/>
  <c r="E6" i="14" s="1"/>
  <c r="AY6" i="17" s="1"/>
  <c r="H212" i="15"/>
  <c r="E16" i="14" s="1"/>
  <c r="H358" i="15"/>
  <c r="E25" i="14" s="1"/>
  <c r="Y25" i="44" s="1"/>
  <c r="H280" i="15"/>
  <c r="E20" i="14" s="1"/>
  <c r="Y20" i="44" s="1"/>
  <c r="H199" i="15"/>
  <c r="E15" i="14" s="1"/>
  <c r="Y15" i="44" s="1"/>
  <c r="H230" i="15"/>
  <c r="E17" i="14" s="1"/>
  <c r="Y17" i="44" s="1"/>
  <c r="H183" i="15"/>
  <c r="H293" i="15"/>
  <c r="E21" i="14" s="1"/>
  <c r="H107" i="15"/>
  <c r="E9" i="14" s="1"/>
  <c r="Y9" i="44" s="1"/>
  <c r="H403" i="15"/>
  <c r="E28" i="14" s="1"/>
  <c r="Y28" i="44" s="1"/>
  <c r="H466" i="15"/>
  <c r="H388" i="15"/>
  <c r="E27" i="14" s="1"/>
  <c r="Y27" i="44" s="1"/>
  <c r="H374" i="15"/>
  <c r="E26" i="14" s="1"/>
  <c r="Y26" i="44" s="1"/>
  <c r="H312" i="15"/>
  <c r="E22" i="14" s="1"/>
  <c r="Y22" i="44" s="1"/>
  <c r="H171" i="15"/>
  <c r="E13" i="14" s="1"/>
  <c r="Y13" i="44" s="1"/>
  <c r="H153" i="15"/>
  <c r="E12" i="14" s="1"/>
  <c r="Y12" i="44" s="1"/>
  <c r="H89" i="15"/>
  <c r="E8" i="14" s="1"/>
  <c r="Y8" i="44" s="1"/>
  <c r="H75" i="15"/>
  <c r="E7" i="14" s="1"/>
  <c r="Y7" i="44" s="1"/>
  <c r="E14" i="14" l="1"/>
  <c r="Y14" i="44" s="1"/>
  <c r="AY14" i="44" s="1"/>
  <c r="Y16" i="44"/>
  <c r="J30" i="44"/>
  <c r="N30" i="44" s="1"/>
  <c r="U68" i="45"/>
  <c r="Z70" i="45"/>
  <c r="Z15" i="43"/>
  <c r="AH9" i="43"/>
  <c r="AH16" i="43"/>
  <c r="AH23" i="43"/>
  <c r="Z10" i="43"/>
  <c r="Y31" i="44"/>
  <c r="D31" i="14"/>
  <c r="AL31" i="17"/>
  <c r="AR31" i="17"/>
  <c r="BD31" i="44" s="1"/>
  <c r="BF31" i="44" s="1"/>
  <c r="Z11" i="43"/>
  <c r="Z19" i="43"/>
  <c r="J32" i="14"/>
  <c r="U70" i="45" s="1"/>
  <c r="V70" i="45" s="1"/>
  <c r="E32" i="14"/>
  <c r="Z8" i="43"/>
  <c r="Z24" i="43"/>
  <c r="Z29" i="43"/>
  <c r="AG23" i="43"/>
  <c r="AR21" i="17"/>
  <c r="BD21" i="44" s="1"/>
  <c r="BF21" i="44" s="1"/>
  <c r="AL21" i="17"/>
  <c r="AG16" i="43"/>
  <c r="O30" i="14"/>
  <c r="AA30" i="44" s="1"/>
  <c r="N30" i="14"/>
  <c r="Y21" i="44"/>
  <c r="AC21" i="44" s="1"/>
  <c r="Y6" i="44"/>
  <c r="D20" i="14"/>
  <c r="AY20" i="44"/>
  <c r="D18" i="14"/>
  <c r="AY18" i="44"/>
  <c r="D17" i="14"/>
  <c r="AY17" i="44"/>
  <c r="D16" i="14"/>
  <c r="AY16" i="44"/>
  <c r="D15" i="14"/>
  <c r="AY15" i="44"/>
  <c r="D14" i="14"/>
  <c r="D13" i="14"/>
  <c r="AY13" i="44"/>
  <c r="D12" i="14"/>
  <c r="AY12" i="44"/>
  <c r="D11" i="14"/>
  <c r="AY11" i="44"/>
  <c r="D10" i="14"/>
  <c r="AY10" i="44"/>
  <c r="D9" i="14"/>
  <c r="AY9" i="44"/>
  <c r="D8" i="14"/>
  <c r="AY8" i="44"/>
  <c r="D7" i="14"/>
  <c r="AY7" i="44"/>
  <c r="D6" i="14"/>
  <c r="D22" i="14"/>
  <c r="AY22" i="44"/>
  <c r="D24" i="14"/>
  <c r="AY24" i="44"/>
  <c r="D25" i="14"/>
  <c r="AY25" i="44"/>
  <c r="D26" i="14"/>
  <c r="AY26" i="44"/>
  <c r="D28" i="14"/>
  <c r="AY28" i="44"/>
  <c r="D27" i="14"/>
  <c r="AY27" i="44"/>
  <c r="D21" i="14"/>
  <c r="G415" i="15"/>
  <c r="E29" i="14"/>
  <c r="Y29" i="44" s="1"/>
  <c r="G452" i="15"/>
  <c r="E19" i="14"/>
  <c r="Y19" i="44" s="1"/>
  <c r="G262" i="15"/>
  <c r="G328" i="15"/>
  <c r="E23" i="14"/>
  <c r="Y23" i="44" s="1"/>
  <c r="G435" i="15"/>
  <c r="E30" i="14"/>
  <c r="O19" i="14"/>
  <c r="AG13" i="43"/>
  <c r="AG6" i="43"/>
  <c r="AG20" i="43"/>
  <c r="AG32" i="43"/>
  <c r="AG28" i="43"/>
  <c r="AG31" i="43"/>
  <c r="J33" i="14"/>
  <c r="Z31" i="43"/>
  <c r="AG25" i="43"/>
  <c r="AG27" i="43"/>
  <c r="AG26" i="43"/>
  <c r="G343" i="15"/>
  <c r="AB30" i="43"/>
  <c r="AA30" i="43"/>
  <c r="J8" i="14"/>
  <c r="O16" i="14"/>
  <c r="AW16" i="17" s="1"/>
  <c r="J16" i="14"/>
  <c r="O9" i="14"/>
  <c r="J9" i="14"/>
  <c r="O15" i="14"/>
  <c r="J15" i="14"/>
  <c r="J11" i="14"/>
  <c r="O10" i="14"/>
  <c r="J10" i="14"/>
  <c r="G293" i="15"/>
  <c r="G57" i="15"/>
  <c r="G466" i="15"/>
  <c r="G183" i="15"/>
  <c r="G171" i="15"/>
  <c r="G75" i="15"/>
  <c r="G89" i="15"/>
  <c r="G107" i="15"/>
  <c r="G123" i="15"/>
  <c r="G403" i="15"/>
  <c r="G358" i="15"/>
  <c r="G312" i="15"/>
  <c r="G280" i="15"/>
  <c r="G388" i="15"/>
  <c r="G374" i="15"/>
  <c r="G153" i="15"/>
  <c r="G212" i="15"/>
  <c r="G248" i="15"/>
  <c r="G230" i="15"/>
  <c r="G199" i="15"/>
  <c r="G136" i="15"/>
  <c r="AR16" i="17" l="1"/>
  <c r="AW15" i="17"/>
  <c r="AR15" i="17" s="1"/>
  <c r="AW10" i="17"/>
  <c r="AR10" i="17" s="1"/>
  <c r="N11" i="14"/>
  <c r="U49" i="45"/>
  <c r="N15" i="14"/>
  <c r="AJ15" i="17" s="1"/>
  <c r="AL15" i="17" s="1"/>
  <c r="U53" i="45"/>
  <c r="N16" i="14"/>
  <c r="U54" i="45"/>
  <c r="N10" i="14"/>
  <c r="AJ10" i="17" s="1"/>
  <c r="AL10" i="17" s="1"/>
  <c r="U48" i="45"/>
  <c r="J33" i="44"/>
  <c r="N33" i="44" s="1"/>
  <c r="U71" i="45"/>
  <c r="V71" i="45" s="1"/>
  <c r="N9" i="14"/>
  <c r="AJ9" i="17" s="1"/>
  <c r="AL9" i="17" s="1"/>
  <c r="U47" i="45"/>
  <c r="AW9" i="17"/>
  <c r="AR9" i="17" s="1"/>
  <c r="N8" i="14"/>
  <c r="U46" i="45"/>
  <c r="Z32" i="44"/>
  <c r="AB32" i="44" s="1"/>
  <c r="O32" i="14"/>
  <c r="AA32" i="44" s="1"/>
  <c r="AH22" i="43"/>
  <c r="Y32" i="44"/>
  <c r="AY32" i="44" s="1"/>
  <c r="D32" i="14"/>
  <c r="AH18" i="43"/>
  <c r="AY31" i="44"/>
  <c r="AC31" i="44"/>
  <c r="AH13" i="43"/>
  <c r="O18" i="14"/>
  <c r="AH14" i="43"/>
  <c r="AH6" i="43"/>
  <c r="Y30" i="44"/>
  <c r="AY30" i="44" s="1"/>
  <c r="AH17" i="43"/>
  <c r="AH12" i="43"/>
  <c r="AR19" i="17"/>
  <c r="J32" i="44"/>
  <c r="N32" i="44" s="1"/>
  <c r="N32" i="14"/>
  <c r="K30" i="44"/>
  <c r="O30" i="44" s="1"/>
  <c r="AG30" i="44" s="1"/>
  <c r="AL30" i="17"/>
  <c r="AR30" i="17"/>
  <c r="BD30" i="44" s="1"/>
  <c r="BF30" i="44" s="1"/>
  <c r="AS30" i="44"/>
  <c r="J22" i="14"/>
  <c r="O11" i="14"/>
  <c r="O8" i="14"/>
  <c r="J18" i="14"/>
  <c r="AB24" i="43"/>
  <c r="O24" i="14"/>
  <c r="AR24" i="17" s="1"/>
  <c r="J23" i="14"/>
  <c r="O29" i="14"/>
  <c r="AR29" i="17" s="1"/>
  <c r="AA24" i="43"/>
  <c r="J24" i="14"/>
  <c r="AD30" i="44"/>
  <c r="J19" i="14"/>
  <c r="J29" i="14"/>
  <c r="U67" i="45" s="1"/>
  <c r="AA12" i="43"/>
  <c r="AY6" i="44"/>
  <c r="AY21" i="44"/>
  <c r="AA19" i="43"/>
  <c r="BH21" i="44"/>
  <c r="D19" i="14"/>
  <c r="AY19" i="44"/>
  <c r="D23" i="14"/>
  <c r="AY23" i="44"/>
  <c r="D29" i="14"/>
  <c r="AY29" i="44"/>
  <c r="D30" i="14"/>
  <c r="AB29" i="43"/>
  <c r="AA29" i="43"/>
  <c r="AB19" i="43"/>
  <c r="Z19" i="44"/>
  <c r="AB19" i="44" s="1"/>
  <c r="AA18" i="43"/>
  <c r="Z23" i="43"/>
  <c r="Z27" i="43"/>
  <c r="Z26" i="43"/>
  <c r="Z28" i="43"/>
  <c r="Z7" i="43"/>
  <c r="Z25" i="43"/>
  <c r="Z20" i="43"/>
  <c r="Z6" i="43"/>
  <c r="Z32" i="43"/>
  <c r="Z13" i="43"/>
  <c r="AA23" i="43"/>
  <c r="AH20" i="43"/>
  <c r="AH32" i="43"/>
  <c r="AH28" i="43"/>
  <c r="AH31" i="43"/>
  <c r="Z33" i="44"/>
  <c r="AB33" i="44" s="1"/>
  <c r="AH25" i="43"/>
  <c r="AH27" i="43"/>
  <c r="AH26" i="43"/>
  <c r="Z15" i="44"/>
  <c r="AB15" i="44" s="1"/>
  <c r="AB15" i="43"/>
  <c r="Z16" i="44"/>
  <c r="AB16" i="44" s="1"/>
  <c r="AB16" i="43"/>
  <c r="J8" i="44"/>
  <c r="N8" i="44" s="1"/>
  <c r="AA8" i="43"/>
  <c r="J10" i="44"/>
  <c r="N10" i="44" s="1"/>
  <c r="AA10" i="43"/>
  <c r="AB11" i="43"/>
  <c r="J9" i="44"/>
  <c r="N9" i="44" s="1"/>
  <c r="AA9" i="43"/>
  <c r="Z10" i="44"/>
  <c r="AB10" i="44" s="1"/>
  <c r="AB10" i="43"/>
  <c r="J11" i="44"/>
  <c r="N11" i="44" s="1"/>
  <c r="AA11" i="43"/>
  <c r="Z9" i="44"/>
  <c r="AB9" i="44" s="1"/>
  <c r="AB9" i="43"/>
  <c r="AG7" i="43"/>
  <c r="J15" i="44"/>
  <c r="N15" i="44" s="1"/>
  <c r="AA15" i="43"/>
  <c r="J16" i="44"/>
  <c r="N16" i="44" s="1"/>
  <c r="AA16" i="43"/>
  <c r="Z8" i="44"/>
  <c r="AB8" i="44" s="1"/>
  <c r="AB8" i="43"/>
  <c r="Y4" i="17"/>
  <c r="AI4" i="44" s="1"/>
  <c r="AW18" i="17" l="1"/>
  <c r="AR18" i="17" s="1"/>
  <c r="BD18" i="44" s="1"/>
  <c r="BF18" i="44" s="1"/>
  <c r="AX16" i="17"/>
  <c r="AJ16" i="17"/>
  <c r="AJ8" i="17"/>
  <c r="AL8" i="17" s="1"/>
  <c r="AX15" i="17"/>
  <c r="AW11" i="17"/>
  <c r="AJ11" i="17"/>
  <c r="AL11" i="17" s="1"/>
  <c r="AX11" i="17"/>
  <c r="AX10" i="17"/>
  <c r="N23" i="14"/>
  <c r="U61" i="45"/>
  <c r="N24" i="14"/>
  <c r="U62" i="45"/>
  <c r="N22" i="14"/>
  <c r="U60" i="45"/>
  <c r="N19" i="14"/>
  <c r="U57" i="45"/>
  <c r="N18" i="14"/>
  <c r="U56" i="45"/>
  <c r="AX9" i="17"/>
  <c r="AW8" i="17"/>
  <c r="AR8" i="17" s="1"/>
  <c r="AX8" i="17"/>
  <c r="AR32" i="17"/>
  <c r="BD32" i="44" s="1"/>
  <c r="BF32" i="44" s="1"/>
  <c r="K32" i="44"/>
  <c r="AC30" i="44"/>
  <c r="AF30" i="44" s="1"/>
  <c r="AH30" i="44" s="1"/>
  <c r="AM30" i="44" s="1"/>
  <c r="AB18" i="43"/>
  <c r="AC32" i="44"/>
  <c r="AF31" i="44"/>
  <c r="AH31" i="44" s="1"/>
  <c r="AM31" i="44" s="1"/>
  <c r="BH31" i="44"/>
  <c r="BJ31" i="44" s="1"/>
  <c r="AL32" i="17"/>
  <c r="AD32" i="44"/>
  <c r="N29" i="14"/>
  <c r="J29" i="44"/>
  <c r="N29" i="44" s="1"/>
  <c r="AA22" i="43"/>
  <c r="AL19" i="17"/>
  <c r="Z11" i="44"/>
  <c r="AB11" i="44" s="1"/>
  <c r="AR11" i="17"/>
  <c r="J24" i="44"/>
  <c r="N24" i="44" s="1"/>
  <c r="O14" i="14"/>
  <c r="O33" i="14"/>
  <c r="O17" i="14"/>
  <c r="O22" i="14"/>
  <c r="AR22" i="17" s="1"/>
  <c r="BD22" i="44" s="1"/>
  <c r="BF22" i="44" s="1"/>
  <c r="Z29" i="44"/>
  <c r="AB29" i="44" s="1"/>
  <c r="N33" i="14"/>
  <c r="J17" i="14"/>
  <c r="J19" i="44"/>
  <c r="N19" i="44" s="1"/>
  <c r="AD19" i="44" s="1"/>
  <c r="O12" i="14"/>
  <c r="BI30" i="44"/>
  <c r="O23" i="14"/>
  <c r="AR23" i="17" s="1"/>
  <c r="Z24" i="44"/>
  <c r="AB24" i="44" s="1"/>
  <c r="J14" i="14"/>
  <c r="J12" i="14"/>
  <c r="Z18" i="44"/>
  <c r="AB18" i="44" s="1"/>
  <c r="J23" i="44"/>
  <c r="N23" i="44" s="1"/>
  <c r="J22" i="44"/>
  <c r="N22" i="44" s="1"/>
  <c r="J18" i="44"/>
  <c r="N18" i="44" s="1"/>
  <c r="AB12" i="43"/>
  <c r="AA14" i="43"/>
  <c r="K24" i="44"/>
  <c r="O24" i="44" s="1"/>
  <c r="AB14" i="43"/>
  <c r="K23" i="44"/>
  <c r="O23" i="44" s="1"/>
  <c r="K22" i="44"/>
  <c r="O22" i="44" s="1"/>
  <c r="AB22" i="43"/>
  <c r="K19" i="44"/>
  <c r="O19" i="44" s="1"/>
  <c r="AA18" i="44"/>
  <c r="K18" i="44"/>
  <c r="O18" i="44" s="1"/>
  <c r="AB17" i="43"/>
  <c r="AA17" i="43"/>
  <c r="BD29" i="44"/>
  <c r="BF29" i="44" s="1"/>
  <c r="AA29" i="44"/>
  <c r="AF21" i="44"/>
  <c r="AH21" i="44" s="1"/>
  <c r="AM21" i="44" s="1"/>
  <c r="BJ21" i="44"/>
  <c r="AD16" i="44"/>
  <c r="AD15" i="44"/>
  <c r="C4" i="44"/>
  <c r="C43" i="44" s="1"/>
  <c r="C45" i="44" s="1"/>
  <c r="D4" i="44"/>
  <c r="AI34" i="44"/>
  <c r="AI37" i="44" s="1"/>
  <c r="AD8" i="44"/>
  <c r="Y4" i="43"/>
  <c r="AB23" i="43"/>
  <c r="AA31" i="43"/>
  <c r="AB31" i="43"/>
  <c r="AH7" i="43"/>
  <c r="J7" i="14"/>
  <c r="O7" i="14"/>
  <c r="Y34" i="17"/>
  <c r="Y33" i="43" s="1"/>
  <c r="E34" i="17"/>
  <c r="E33" i="43" s="1"/>
  <c r="D34" i="17"/>
  <c r="D33" i="43" s="1"/>
  <c r="F38" i="15"/>
  <c r="C5" i="14" s="1"/>
  <c r="H25" i="15"/>
  <c r="M25" i="15" s="1"/>
  <c r="H24" i="15"/>
  <c r="H23" i="15"/>
  <c r="H22" i="15"/>
  <c r="F20" i="15"/>
  <c r="C4" i="14" s="1"/>
  <c r="H11" i="15"/>
  <c r="H10" i="15"/>
  <c r="H9" i="15"/>
  <c r="AX18" i="17" l="1"/>
  <c r="AJ18" i="17"/>
  <c r="AL18" i="17" s="1"/>
  <c r="AW17" i="17"/>
  <c r="AR17" i="17" s="1"/>
  <c r="BD17" i="44" s="1"/>
  <c r="AW14" i="17"/>
  <c r="AR14" i="17" s="1"/>
  <c r="BD14" i="44" s="1"/>
  <c r="BF14" i="44" s="1"/>
  <c r="AW12" i="17"/>
  <c r="AR12" i="17" s="1"/>
  <c r="BD12" i="44" s="1"/>
  <c r="BF12" i="44" s="1"/>
  <c r="N17" i="14"/>
  <c r="K17" i="44" s="1"/>
  <c r="O17" i="44" s="1"/>
  <c r="U55" i="45"/>
  <c r="N12" i="14"/>
  <c r="K12" i="44" s="1"/>
  <c r="O12" i="44" s="1"/>
  <c r="U50" i="45"/>
  <c r="N14" i="14"/>
  <c r="K14" i="44" s="1"/>
  <c r="O14" i="44" s="1"/>
  <c r="U52" i="45"/>
  <c r="N7" i="14"/>
  <c r="AJ7" i="17" s="1"/>
  <c r="AL7" i="17" s="1"/>
  <c r="U45" i="45"/>
  <c r="AW7" i="17"/>
  <c r="AR7" i="17" s="1"/>
  <c r="X5" i="44"/>
  <c r="AG5" i="17"/>
  <c r="AH5" i="17" s="1"/>
  <c r="BH30" i="44"/>
  <c r="K33" i="44"/>
  <c r="O33" i="44" s="1"/>
  <c r="AG33" i="44" s="1"/>
  <c r="AL33" i="17"/>
  <c r="AA33" i="44"/>
  <c r="AC33" i="44" s="1"/>
  <c r="AF33" i="44" s="1"/>
  <c r="AR33" i="17"/>
  <c r="BD33" i="44" s="1"/>
  <c r="BF33" i="44" s="1"/>
  <c r="AF32" i="44"/>
  <c r="BH32" i="44"/>
  <c r="O32" i="44"/>
  <c r="AS32" i="44"/>
  <c r="AL22" i="17"/>
  <c r="K29" i="44"/>
  <c r="O29" i="44" s="1"/>
  <c r="AL29" i="17"/>
  <c r="AL23" i="17"/>
  <c r="BJ30" i="44"/>
  <c r="AD24" i="44"/>
  <c r="AD29" i="44"/>
  <c r="AA12" i="44"/>
  <c r="AC12" i="44" s="1"/>
  <c r="AD33" i="44"/>
  <c r="J12" i="44"/>
  <c r="N12" i="44" s="1"/>
  <c r="J17" i="44"/>
  <c r="N17" i="44" s="1"/>
  <c r="O26" i="14"/>
  <c r="AR26" i="17" s="1"/>
  <c r="AB20" i="43"/>
  <c r="O20" i="14"/>
  <c r="AR20" i="17" s="1"/>
  <c r="J26" i="14"/>
  <c r="AA13" i="43"/>
  <c r="J13" i="14"/>
  <c r="Z23" i="44"/>
  <c r="AB23" i="44" s="1"/>
  <c r="AD23" i="44" s="1"/>
  <c r="Z12" i="44"/>
  <c r="AB12" i="44" s="1"/>
  <c r="Z22" i="44"/>
  <c r="AB22" i="44" s="1"/>
  <c r="AD22" i="44" s="1"/>
  <c r="O13" i="14"/>
  <c r="AB28" i="43"/>
  <c r="O28" i="14"/>
  <c r="AR28" i="17" s="1"/>
  <c r="O25" i="14"/>
  <c r="AR25" i="17" s="1"/>
  <c r="AD18" i="44"/>
  <c r="J14" i="44"/>
  <c r="N14" i="44" s="1"/>
  <c r="J20" i="14"/>
  <c r="AA28" i="43"/>
  <c r="J28" i="14"/>
  <c r="U66" i="45" s="1"/>
  <c r="AA25" i="43"/>
  <c r="J25" i="14"/>
  <c r="O27" i="14"/>
  <c r="AR27" i="17" s="1"/>
  <c r="AA27" i="43"/>
  <c r="J27" i="14"/>
  <c r="Z17" i="44"/>
  <c r="AB17" i="44" s="1"/>
  <c r="Z14" i="44"/>
  <c r="AB14" i="44" s="1"/>
  <c r="AB6" i="43"/>
  <c r="O6" i="14"/>
  <c r="AA6" i="43"/>
  <c r="J6" i="14"/>
  <c r="AN31" i="17"/>
  <c r="AC29" i="44"/>
  <c r="BH29" i="44" s="1"/>
  <c r="AC18" i="44"/>
  <c r="BH18" i="44" s="1"/>
  <c r="AB32" i="43"/>
  <c r="AS24" i="44"/>
  <c r="AL24" i="17"/>
  <c r="AS23" i="44"/>
  <c r="AS22" i="44"/>
  <c r="AA22" i="44"/>
  <c r="AS19" i="44"/>
  <c r="AA19" i="44"/>
  <c r="BD19" i="44"/>
  <c r="BF19" i="44" s="1"/>
  <c r="AS18" i="44"/>
  <c r="AA17" i="44"/>
  <c r="AA15" i="44"/>
  <c r="BD15" i="44"/>
  <c r="BF15" i="44" s="1"/>
  <c r="K15" i="44"/>
  <c r="O15" i="44" s="1"/>
  <c r="AA16" i="44"/>
  <c r="BD16" i="44"/>
  <c r="BF16" i="44" s="1"/>
  <c r="K16" i="44"/>
  <c r="O16" i="44" s="1"/>
  <c r="AL16" i="17"/>
  <c r="AA14" i="44"/>
  <c r="AI39" i="44"/>
  <c r="AI38" i="44"/>
  <c r="AA11" i="44"/>
  <c r="K11" i="44"/>
  <c r="O11" i="44" s="1"/>
  <c r="K10" i="44"/>
  <c r="O10" i="44" s="1"/>
  <c r="AA10" i="44"/>
  <c r="K9" i="44"/>
  <c r="O9" i="44" s="1"/>
  <c r="AA9" i="44"/>
  <c r="AA8" i="44"/>
  <c r="K8" i="44"/>
  <c r="O8" i="44" s="1"/>
  <c r="BD23" i="44"/>
  <c r="BF23" i="44" s="1"/>
  <c r="AA23" i="44"/>
  <c r="BD24" i="44"/>
  <c r="BF24" i="44" s="1"/>
  <c r="AA24" i="44"/>
  <c r="T43" i="45"/>
  <c r="Z43" i="45" s="1"/>
  <c r="X4" i="44"/>
  <c r="T42" i="45"/>
  <c r="Z42" i="45" s="1"/>
  <c r="AD10" i="44"/>
  <c r="AD9" i="44"/>
  <c r="AD11" i="44"/>
  <c r="AP4" i="44"/>
  <c r="D34" i="44"/>
  <c r="D37" i="44" s="1"/>
  <c r="AN19" i="17"/>
  <c r="AB25" i="43"/>
  <c r="C34" i="14"/>
  <c r="AA20" i="43"/>
  <c r="BI18" i="44"/>
  <c r="C34" i="44"/>
  <c r="C37" i="44" s="1"/>
  <c r="AA32" i="43"/>
  <c r="AA26" i="43"/>
  <c r="AB26" i="43"/>
  <c r="AB13" i="43"/>
  <c r="AB27" i="43"/>
  <c r="Z7" i="44"/>
  <c r="AB7" i="44" s="1"/>
  <c r="AB7" i="43"/>
  <c r="J7" i="44"/>
  <c r="N7" i="44" s="1"/>
  <c r="AA7" i="43"/>
  <c r="H38" i="15"/>
  <c r="E5" i="14" s="1"/>
  <c r="H20" i="15"/>
  <c r="E4" i="14" s="1"/>
  <c r="AJ17" i="17" l="1"/>
  <c r="AL17" i="17" s="1"/>
  <c r="AX17" i="17"/>
  <c r="AJ12" i="17"/>
  <c r="AL12" i="17" s="1"/>
  <c r="AJ14" i="17"/>
  <c r="AL14" i="17" s="1"/>
  <c r="AX14" i="17"/>
  <c r="AW13" i="17"/>
  <c r="AR13" i="17" s="1"/>
  <c r="BD13" i="44" s="1"/>
  <c r="BF13" i="44" s="1"/>
  <c r="AX12" i="17"/>
  <c r="N13" i="14"/>
  <c r="AJ13" i="17" s="1"/>
  <c r="AL13" i="17" s="1"/>
  <c r="U51" i="45"/>
  <c r="N25" i="14"/>
  <c r="U63" i="45"/>
  <c r="N20" i="14"/>
  <c r="K20" i="44" s="1"/>
  <c r="O20" i="44" s="1"/>
  <c r="U58" i="45"/>
  <c r="N26" i="14"/>
  <c r="U64" i="45"/>
  <c r="N27" i="14"/>
  <c r="U65" i="45"/>
  <c r="N6" i="14"/>
  <c r="U44" i="45"/>
  <c r="V44" i="45" s="1"/>
  <c r="AX7" i="17"/>
  <c r="AW6" i="17"/>
  <c r="AR6" i="17" s="1"/>
  <c r="AB5" i="17"/>
  <c r="K5" i="14" s="1"/>
  <c r="AA5" i="17"/>
  <c r="AL27" i="17"/>
  <c r="AS33" i="44"/>
  <c r="AH33" i="44"/>
  <c r="AM33" i="44" s="1"/>
  <c r="BH33" i="44"/>
  <c r="AG32" i="44"/>
  <c r="AH32" i="44" s="1"/>
  <c r="AM32" i="44" s="1"/>
  <c r="BI32" i="44"/>
  <c r="BJ32" i="44" s="1"/>
  <c r="AS29" i="44"/>
  <c r="N28" i="14"/>
  <c r="J28" i="44"/>
  <c r="N28" i="44" s="1"/>
  <c r="AL26" i="17"/>
  <c r="AL25" i="17"/>
  <c r="AL20" i="17"/>
  <c r="AD17" i="44"/>
  <c r="BH12" i="44"/>
  <c r="J27" i="44"/>
  <c r="N27" i="44" s="1"/>
  <c r="AD12" i="44"/>
  <c r="AD14" i="44"/>
  <c r="J25" i="44"/>
  <c r="N25" i="44" s="1"/>
  <c r="Z28" i="44"/>
  <c r="AB28" i="44" s="1"/>
  <c r="Z27" i="44"/>
  <c r="AB27" i="44" s="1"/>
  <c r="J20" i="44"/>
  <c r="N20" i="44" s="1"/>
  <c r="Z25" i="44"/>
  <c r="AB25" i="44" s="1"/>
  <c r="Z13" i="44"/>
  <c r="AB13" i="44" s="1"/>
  <c r="Z20" i="44"/>
  <c r="AB20" i="44" s="1"/>
  <c r="BI33" i="44"/>
  <c r="J26" i="44"/>
  <c r="N26" i="44" s="1"/>
  <c r="Z26" i="44"/>
  <c r="AB26" i="44" s="1"/>
  <c r="J6" i="44"/>
  <c r="N6" i="44" s="1"/>
  <c r="AF29" i="44"/>
  <c r="AY31" i="17"/>
  <c r="AT31" i="17"/>
  <c r="AC24" i="44"/>
  <c r="BH24" i="44" s="1"/>
  <c r="AC8" i="44"/>
  <c r="BH8" i="44" s="1"/>
  <c r="AC17" i="44"/>
  <c r="BH17" i="44" s="1"/>
  <c r="AC14" i="44"/>
  <c r="BH14" i="44" s="1"/>
  <c r="AC23" i="44"/>
  <c r="AF23" i="44" s="1"/>
  <c r="AC9" i="44"/>
  <c r="BH9" i="44" s="1"/>
  <c r="AC11" i="44"/>
  <c r="BH11" i="44" s="1"/>
  <c r="AC16" i="44"/>
  <c r="BH16" i="44" s="1"/>
  <c r="AC22" i="44"/>
  <c r="BH22" i="44" s="1"/>
  <c r="AC10" i="44"/>
  <c r="BH10" i="44" s="1"/>
  <c r="AC15" i="44"/>
  <c r="BH15" i="44" s="1"/>
  <c r="AC19" i="44"/>
  <c r="BH19" i="44" s="1"/>
  <c r="AS17" i="44"/>
  <c r="K26" i="44"/>
  <c r="O26" i="44" s="1"/>
  <c r="AS15" i="44"/>
  <c r="AS14" i="44"/>
  <c r="AS16" i="44"/>
  <c r="C39" i="44"/>
  <c r="C38" i="44"/>
  <c r="D39" i="44"/>
  <c r="D38" i="44"/>
  <c r="AA13" i="44"/>
  <c r="AS12" i="44"/>
  <c r="AS10" i="44"/>
  <c r="AS11" i="44"/>
  <c r="AS8" i="44"/>
  <c r="AS9" i="44"/>
  <c r="X34" i="44"/>
  <c r="X37" i="44" s="1"/>
  <c r="C46" i="44"/>
  <c r="Z6" i="44"/>
  <c r="BD25" i="44"/>
  <c r="BF25" i="44" s="1"/>
  <c r="AA25" i="44"/>
  <c r="BD26" i="44"/>
  <c r="BF26" i="44" s="1"/>
  <c r="AA26" i="44"/>
  <c r="BD27" i="44"/>
  <c r="BF27" i="44" s="1"/>
  <c r="AA27" i="44"/>
  <c r="Y5" i="44"/>
  <c r="J13" i="44"/>
  <c r="N13" i="44" s="1"/>
  <c r="T72" i="45"/>
  <c r="Z72" i="45"/>
  <c r="AG23" i="44"/>
  <c r="BI23" i="44"/>
  <c r="AG29" i="44"/>
  <c r="BI29" i="44"/>
  <c r="AG19" i="44"/>
  <c r="BI19" i="44"/>
  <c r="AG24" i="44"/>
  <c r="BI24" i="44"/>
  <c r="AG22" i="44"/>
  <c r="BI22" i="44"/>
  <c r="AF18" i="44"/>
  <c r="AG18" i="44"/>
  <c r="D4" i="14"/>
  <c r="Y4" i="44"/>
  <c r="AF12" i="44"/>
  <c r="D5" i="14"/>
  <c r="AY5" i="17"/>
  <c r="AD7" i="44"/>
  <c r="BI8" i="44"/>
  <c r="BI17" i="44"/>
  <c r="BI16" i="44"/>
  <c r="BI15" i="44"/>
  <c r="BI14" i="44"/>
  <c r="BD8" i="44"/>
  <c r="BF8" i="44" s="1"/>
  <c r="BI9" i="44"/>
  <c r="BI11" i="44"/>
  <c r="BI12" i="44"/>
  <c r="BI10" i="44"/>
  <c r="BD10" i="44"/>
  <c r="BF10" i="44" s="1"/>
  <c r="BD9" i="44"/>
  <c r="BF9" i="44" s="1"/>
  <c r="BD11" i="44"/>
  <c r="BF11" i="44" s="1"/>
  <c r="Z4" i="17"/>
  <c r="Z4" i="43" s="1"/>
  <c r="AG5" i="43"/>
  <c r="AG4" i="17"/>
  <c r="G20" i="15"/>
  <c r="G38" i="15"/>
  <c r="AX6" i="17" l="1"/>
  <c r="AX6" i="43" s="1"/>
  <c r="AJ6" i="17"/>
  <c r="AL6" i="17" s="1"/>
  <c r="AX13" i="17"/>
  <c r="BJ33" i="44"/>
  <c r="AH5" i="43"/>
  <c r="K28" i="44"/>
  <c r="O28" i="44" s="1"/>
  <c r="AL28" i="17"/>
  <c r="AD27" i="44"/>
  <c r="AD28" i="44"/>
  <c r="AF19" i="44"/>
  <c r="AH19" i="44" s="1"/>
  <c r="AM19" i="44" s="1"/>
  <c r="AD20" i="44"/>
  <c r="AD26" i="44"/>
  <c r="AH29" i="44"/>
  <c r="AM29" i="44" s="1"/>
  <c r="AN32" i="17"/>
  <c r="AF24" i="44"/>
  <c r="AH24" i="44" s="1"/>
  <c r="AM24" i="44" s="1"/>
  <c r="AS20" i="44"/>
  <c r="AC26" i="44"/>
  <c r="BH26" i="44" s="1"/>
  <c r="AF22" i="44"/>
  <c r="AH22" i="44" s="1"/>
  <c r="AM22" i="44" s="1"/>
  <c r="BH23" i="44"/>
  <c r="BJ23" i="44" s="1"/>
  <c r="AC27" i="44"/>
  <c r="BH27" i="44" s="1"/>
  <c r="AC25" i="44"/>
  <c r="BH25" i="44" s="1"/>
  <c r="AC13" i="44"/>
  <c r="BH13" i="44" s="1"/>
  <c r="AS26" i="44"/>
  <c r="AY5" i="44"/>
  <c r="AB6" i="44"/>
  <c r="AD6" i="44" s="1"/>
  <c r="K27" i="44"/>
  <c r="O27" i="44" s="1"/>
  <c r="K25" i="44"/>
  <c r="O25" i="44" s="1"/>
  <c r="AA20" i="44"/>
  <c r="BD20" i="44"/>
  <c r="BF20" i="44" s="1"/>
  <c r="X39" i="44"/>
  <c r="X38" i="44"/>
  <c r="K13" i="44"/>
  <c r="O13" i="44" s="1"/>
  <c r="K7" i="44"/>
  <c r="O7" i="44" s="1"/>
  <c r="AA7" i="44"/>
  <c r="BD28" i="44"/>
  <c r="BF28" i="44" s="1"/>
  <c r="AA28" i="44"/>
  <c r="AA6" i="44"/>
  <c r="BD6" i="44"/>
  <c r="BF6" i="44" s="1"/>
  <c r="K6" i="44"/>
  <c r="O6" i="44" s="1"/>
  <c r="BI6" i="44" s="1"/>
  <c r="AD25" i="44"/>
  <c r="AD13" i="44"/>
  <c r="AH18" i="44"/>
  <c r="AM18" i="44" s="1"/>
  <c r="AG17" i="44"/>
  <c r="AF17" i="44"/>
  <c r="AG16" i="44"/>
  <c r="AF16" i="44"/>
  <c r="AG15" i="44"/>
  <c r="AF15" i="44"/>
  <c r="AF14" i="44"/>
  <c r="AG14" i="44"/>
  <c r="AG12" i="44"/>
  <c r="AH12" i="44" s="1"/>
  <c r="AM12" i="44" s="1"/>
  <c r="BJ12" i="44"/>
  <c r="AG11" i="44"/>
  <c r="AF11" i="44"/>
  <c r="AG10" i="44"/>
  <c r="AF10" i="44"/>
  <c r="AF9" i="44"/>
  <c r="AG9" i="44"/>
  <c r="AG8" i="44"/>
  <c r="BJ8" i="44"/>
  <c r="AY4" i="44"/>
  <c r="Y34" i="44"/>
  <c r="Y37" i="44" s="1"/>
  <c r="AH23" i="44"/>
  <c r="AM23" i="44" s="1"/>
  <c r="BJ29" i="44"/>
  <c r="BJ24" i="44"/>
  <c r="BJ18" i="44"/>
  <c r="BJ22" i="44"/>
  <c r="BJ19" i="44"/>
  <c r="AF8" i="44"/>
  <c r="Z5" i="43"/>
  <c r="F34" i="14"/>
  <c r="E34" i="14"/>
  <c r="D34" i="14" s="1"/>
  <c r="AH4" i="17"/>
  <c r="AG4" i="43"/>
  <c r="I34" i="13"/>
  <c r="E4" i="13"/>
  <c r="B5" i="9"/>
  <c r="B6" i="9" s="1"/>
  <c r="B7" i="9" s="1"/>
  <c r="B8" i="9" s="1"/>
  <c r="B9" i="9" s="1"/>
  <c r="B10" i="9" s="1"/>
  <c r="B11" i="9" s="1"/>
  <c r="B12" i="9" s="1"/>
  <c r="B13" i="9" s="1"/>
  <c r="B14" i="9" s="1"/>
  <c r="B15" i="9" s="1"/>
  <c r="B16" i="9" s="1"/>
  <c r="B17" i="9" s="1"/>
  <c r="B18" i="9" s="1"/>
  <c r="B19" i="9" s="1"/>
  <c r="B20" i="9" s="1"/>
  <c r="B21" i="9" s="1"/>
  <c r="B22" i="9" s="1"/>
  <c r="B23" i="9" s="1"/>
  <c r="B24" i="9" s="1"/>
  <c r="B25" i="9" s="1"/>
  <c r="B26" i="9" s="1"/>
  <c r="B27" i="9" s="1"/>
  <c r="B28" i="9" s="1"/>
  <c r="B29" i="9" s="1"/>
  <c r="B30" i="9" s="1"/>
  <c r="AY32" i="17" l="1"/>
  <c r="AT32" i="17"/>
  <c r="AC28" i="44"/>
  <c r="BH28" i="44" s="1"/>
  <c r="AF27" i="44"/>
  <c r="AC20" i="44"/>
  <c r="BH20" i="44" s="1"/>
  <c r="AC7" i="44"/>
  <c r="BH7" i="44" s="1"/>
  <c r="AS25" i="44"/>
  <c r="AF25" i="44"/>
  <c r="AC6" i="44"/>
  <c r="BH6" i="44" s="1"/>
  <c r="B31" i="9"/>
  <c r="B32" i="9" s="1"/>
  <c r="B33" i="9" s="1"/>
  <c r="AS27" i="44"/>
  <c r="Y39" i="44"/>
  <c r="Y38" i="44"/>
  <c r="AS13" i="44"/>
  <c r="AH8" i="44"/>
  <c r="AM8" i="44" s="1"/>
  <c r="AS7" i="44"/>
  <c r="AS28" i="44"/>
  <c r="AW6" i="43"/>
  <c r="AS6" i="44"/>
  <c r="BI13" i="44"/>
  <c r="H42" i="45"/>
  <c r="N42" i="45"/>
  <c r="R42" i="45" s="1"/>
  <c r="AG20" i="44"/>
  <c r="BI20" i="44"/>
  <c r="AG28" i="44"/>
  <c r="BI28" i="44"/>
  <c r="AG26" i="44"/>
  <c r="BI26" i="44"/>
  <c r="BJ26" i="44" s="1"/>
  <c r="AH11" i="44"/>
  <c r="AM11" i="44" s="1"/>
  <c r="AH10" i="44"/>
  <c r="AM10" i="44" s="1"/>
  <c r="AH14" i="44"/>
  <c r="AM14" i="44" s="1"/>
  <c r="AH16" i="44"/>
  <c r="AM16" i="44" s="1"/>
  <c r="AH9" i="44"/>
  <c r="AM9" i="44" s="1"/>
  <c r="AH17" i="44"/>
  <c r="AM17" i="44" s="1"/>
  <c r="AH15" i="44"/>
  <c r="AM15" i="44" s="1"/>
  <c r="AF13" i="44"/>
  <c r="AG13" i="44"/>
  <c r="BI7" i="44"/>
  <c r="AG6" i="44"/>
  <c r="BJ17" i="44"/>
  <c r="BJ15" i="44"/>
  <c r="BJ14" i="44"/>
  <c r="BJ16" i="44"/>
  <c r="AF26" i="44"/>
  <c r="BJ10" i="44"/>
  <c r="BJ11" i="44"/>
  <c r="BJ9" i="44"/>
  <c r="BD7" i="44"/>
  <c r="BF7" i="44" s="1"/>
  <c r="AR6" i="43"/>
  <c r="AT6" i="17"/>
  <c r="AH4" i="43"/>
  <c r="AH34" i="17"/>
  <c r="AB4" i="17"/>
  <c r="AA4" i="17"/>
  <c r="AA4" i="43" s="1"/>
  <c r="E34" i="13"/>
  <c r="AG34" i="17"/>
  <c r="AG33" i="43" s="1"/>
  <c r="Z34" i="17"/>
  <c r="Z33" i="43" s="1"/>
  <c r="AF6" i="44" l="1"/>
  <c r="AH6" i="44" s="1"/>
  <c r="AM6" i="44" s="1"/>
  <c r="O5" i="14"/>
  <c r="AA5" i="43"/>
  <c r="J5" i="14"/>
  <c r="AF28" i="44"/>
  <c r="AH28" i="44" s="1"/>
  <c r="AM28" i="44" s="1"/>
  <c r="AF20" i="44"/>
  <c r="AH20" i="44" s="1"/>
  <c r="AM20" i="44" s="1"/>
  <c r="Y42" i="45"/>
  <c r="H72" i="45"/>
  <c r="K42" i="45"/>
  <c r="AH26" i="44"/>
  <c r="AM26" i="44" s="1"/>
  <c r="AG27" i="44"/>
  <c r="AH27" i="44" s="1"/>
  <c r="AM27" i="44" s="1"/>
  <c r="BI27" i="44"/>
  <c r="BJ27" i="44" s="1"/>
  <c r="AG25" i="44"/>
  <c r="AH25" i="44" s="1"/>
  <c r="AM25" i="44" s="1"/>
  <c r="BI25" i="44"/>
  <c r="BJ25" i="44" s="1"/>
  <c r="AH13" i="44"/>
  <c r="AM13" i="44" s="1"/>
  <c r="AG7" i="44"/>
  <c r="AF7" i="44"/>
  <c r="BJ13" i="44"/>
  <c r="BJ20" i="44"/>
  <c r="BJ6" i="44"/>
  <c r="BJ28" i="44"/>
  <c r="AB5" i="43"/>
  <c r="AB4" i="43"/>
  <c r="AB34" i="17"/>
  <c r="J4" i="14"/>
  <c r="N5" i="14" l="1"/>
  <c r="AJ5" i="17" s="1"/>
  <c r="AL5" i="17" s="1"/>
  <c r="U43" i="45"/>
  <c r="V43" i="45" s="1"/>
  <c r="AW5" i="17"/>
  <c r="AR5" i="17" s="1"/>
  <c r="J5" i="44"/>
  <c r="N5" i="44" s="1"/>
  <c r="Z5" i="44"/>
  <c r="AB5" i="44" s="1"/>
  <c r="AA5" i="44"/>
  <c r="BJ7" i="44"/>
  <c r="AH7" i="44"/>
  <c r="AM7" i="44" s="1"/>
  <c r="J4" i="44"/>
  <c r="N4" i="14"/>
  <c r="K4" i="14"/>
  <c r="U42" i="45" s="1"/>
  <c r="V42" i="45" s="1"/>
  <c r="AX5" i="17" l="1"/>
  <c r="AW5" i="43"/>
  <c r="AD5" i="44"/>
  <c r="AC5" i="44"/>
  <c r="BH5" i="44" s="1"/>
  <c r="BD5" i="44"/>
  <c r="BF5" i="44" s="1"/>
  <c r="K5" i="44"/>
  <c r="O5" i="44" s="1"/>
  <c r="AN5" i="17"/>
  <c r="K4" i="44"/>
  <c r="Z4" i="44"/>
  <c r="AB4" i="44" s="1"/>
  <c r="N4" i="44"/>
  <c r="O4" i="14"/>
  <c r="AA4" i="44" s="1"/>
  <c r="AC4" i="44" s="1"/>
  <c r="AX4" i="17"/>
  <c r="G46" i="5"/>
  <c r="E33" i="5"/>
  <c r="B4" i="5"/>
  <c r="B5" i="5" s="1"/>
  <c r="B6" i="5" s="1"/>
  <c r="B7" i="5" s="1"/>
  <c r="B8" i="5" s="1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G33" i="5" l="1"/>
  <c r="H33" i="5" s="1"/>
  <c r="AJ4" i="17"/>
  <c r="AT5" i="17"/>
  <c r="AR5" i="43"/>
  <c r="AD4" i="44"/>
  <c r="AS5" i="44"/>
  <c r="BI5" i="44"/>
  <c r="AF5" i="44"/>
  <c r="O4" i="44"/>
  <c r="AS4" i="44"/>
  <c r="Z34" i="44"/>
  <c r="Z37" i="44" s="1"/>
  <c r="Z39" i="44" s="1"/>
  <c r="AX5" i="43"/>
  <c r="AX4" i="43"/>
  <c r="AW4" i="17"/>
  <c r="D36" i="25"/>
  <c r="E35" i="25"/>
  <c r="E36" i="25" s="1"/>
  <c r="G35" i="13"/>
  <c r="G36" i="13" s="1"/>
  <c r="E55" i="5"/>
  <c r="R15" i="19"/>
  <c r="R18" i="19" s="1"/>
  <c r="G38" i="5" l="1"/>
  <c r="Z38" i="44"/>
  <c r="AB34" i="44"/>
  <c r="AB37" i="44" s="1"/>
  <c r="AG5" i="44"/>
  <c r="AH5" i="44" s="1"/>
  <c r="AM5" i="44" s="1"/>
  <c r="BJ5" i="44"/>
  <c r="AF4" i="44"/>
  <c r="BH4" i="44"/>
  <c r="AG4" i="44"/>
  <c r="BI4" i="44"/>
  <c r="AJ37" i="17"/>
  <c r="AL4" i="17"/>
  <c r="AA34" i="44"/>
  <c r="AA37" i="44" s="1"/>
  <c r="AA39" i="44" s="1"/>
  <c r="AJ4" i="43"/>
  <c r="AJ34" i="17"/>
  <c r="AL5" i="43"/>
  <c r="AJ5" i="43"/>
  <c r="AL6" i="43"/>
  <c r="AJ6" i="43"/>
  <c r="AY4" i="17"/>
  <c r="AW4" i="43"/>
  <c r="AR4" i="17"/>
  <c r="AD34" i="17"/>
  <c r="AD33" i="43" s="1"/>
  <c r="AA38" i="44" l="1"/>
  <c r="BD4" i="44"/>
  <c r="BF4" i="44" s="1"/>
  <c r="BJ4" i="44"/>
  <c r="AC34" i="44"/>
  <c r="AC37" i="44" s="1"/>
  <c r="E50" i="5"/>
  <c r="AT4" i="17"/>
  <c r="AR4" i="43"/>
  <c r="AH33" i="43"/>
  <c r="AN5" i="43"/>
  <c r="AN6" i="17"/>
  <c r="AN6" i="43" s="1"/>
  <c r="E37" i="5"/>
  <c r="G37" i="5" s="1"/>
  <c r="AC39" i="44" l="1"/>
  <c r="AC38" i="44"/>
  <c r="AB39" i="44"/>
  <c r="AB38" i="44"/>
  <c r="AF34" i="44"/>
  <c r="AF37" i="44" s="1"/>
  <c r="AH4" i="44"/>
  <c r="AF39" i="44" l="1"/>
  <c r="AF38" i="44"/>
  <c r="AM4" i="44"/>
  <c r="E54" i="5"/>
  <c r="E53" i="5" l="1"/>
  <c r="E52" i="5"/>
  <c r="E51" i="5"/>
  <c r="M34" i="9"/>
  <c r="H34" i="9"/>
  <c r="H35" i="9" s="1"/>
  <c r="H36" i="9" s="1"/>
  <c r="C34" i="17" l="1"/>
  <c r="C33" i="43" l="1"/>
  <c r="AL4" i="43"/>
  <c r="AN4" i="17"/>
  <c r="AN4" i="43" l="1"/>
  <c r="H34" i="14" l="1"/>
  <c r="E28" i="12" l="1"/>
  <c r="E20" i="12"/>
  <c r="E8" i="12"/>
  <c r="E27" i="12"/>
  <c r="E23" i="12"/>
  <c r="E19" i="12"/>
  <c r="E15" i="12"/>
  <c r="E11" i="12"/>
  <c r="H34" i="12"/>
  <c r="E7" i="12"/>
  <c r="E24" i="12"/>
  <c r="E12" i="12"/>
  <c r="E30" i="12"/>
  <c r="E26" i="12"/>
  <c r="E22" i="12"/>
  <c r="E18" i="12"/>
  <c r="E14" i="12"/>
  <c r="E10" i="12"/>
  <c r="E16" i="12"/>
  <c r="E29" i="12"/>
  <c r="E25" i="12"/>
  <c r="E21" i="12"/>
  <c r="E17" i="12"/>
  <c r="E13" i="12"/>
  <c r="E9" i="12"/>
  <c r="F25" i="43" l="1"/>
  <c r="F63" i="45"/>
  <c r="K63" i="45" s="1"/>
  <c r="N63" i="45"/>
  <c r="R63" i="45" s="1"/>
  <c r="F29" i="43"/>
  <c r="F67" i="45"/>
  <c r="K67" i="45" s="1"/>
  <c r="N67" i="45"/>
  <c r="R67" i="45" s="1"/>
  <c r="F30" i="43"/>
  <c r="F68" i="45"/>
  <c r="K68" i="45" s="1"/>
  <c r="N68" i="45"/>
  <c r="R68" i="45" s="1"/>
  <c r="F23" i="43"/>
  <c r="F61" i="45"/>
  <c r="K61" i="45" s="1"/>
  <c r="N61" i="45"/>
  <c r="R61" i="45" s="1"/>
  <c r="F26" i="43"/>
  <c r="F64" i="45"/>
  <c r="K64" i="45" s="1"/>
  <c r="N64" i="45"/>
  <c r="R64" i="45" s="1"/>
  <c r="F27" i="43"/>
  <c r="F65" i="45"/>
  <c r="K65" i="45" s="1"/>
  <c r="N65" i="45"/>
  <c r="R65" i="45" s="1"/>
  <c r="F28" i="43"/>
  <c r="F66" i="45"/>
  <c r="K66" i="45" s="1"/>
  <c r="N66" i="45"/>
  <c r="R66" i="45" s="1"/>
  <c r="F21" i="43"/>
  <c r="F59" i="45"/>
  <c r="K59" i="45" s="1"/>
  <c r="N59" i="45"/>
  <c r="R59" i="45" s="1"/>
  <c r="F32" i="43"/>
  <c r="F22" i="43"/>
  <c r="F60" i="45"/>
  <c r="K60" i="45" s="1"/>
  <c r="N60" i="45"/>
  <c r="R60" i="45" s="1"/>
  <c r="F24" i="43"/>
  <c r="F62" i="45"/>
  <c r="K62" i="45" s="1"/>
  <c r="N62" i="45"/>
  <c r="R62" i="45" s="1"/>
  <c r="F31" i="43"/>
  <c r="K69" i="45"/>
  <c r="V69" i="45" s="1"/>
  <c r="F20" i="43"/>
  <c r="F58" i="45"/>
  <c r="K58" i="45" s="1"/>
  <c r="N58" i="45"/>
  <c r="R58" i="45" s="1"/>
  <c r="F19" i="43"/>
  <c r="F57" i="45"/>
  <c r="K57" i="45" s="1"/>
  <c r="N57" i="45"/>
  <c r="R57" i="45" s="1"/>
  <c r="F18" i="43"/>
  <c r="F56" i="45"/>
  <c r="K56" i="45" s="1"/>
  <c r="N56" i="45"/>
  <c r="R56" i="45" s="1"/>
  <c r="F17" i="43"/>
  <c r="F55" i="45"/>
  <c r="K55" i="45" s="1"/>
  <c r="N55" i="45"/>
  <c r="R55" i="45" s="1"/>
  <c r="F16" i="43"/>
  <c r="F54" i="45"/>
  <c r="K54" i="45" s="1"/>
  <c r="N54" i="45"/>
  <c r="R54" i="45" s="1"/>
  <c r="F15" i="43"/>
  <c r="F53" i="45"/>
  <c r="K53" i="45" s="1"/>
  <c r="N53" i="45"/>
  <c r="R53" i="45" s="1"/>
  <c r="F14" i="43"/>
  <c r="F52" i="45"/>
  <c r="K52" i="45" s="1"/>
  <c r="N52" i="45"/>
  <c r="R52" i="45" s="1"/>
  <c r="F13" i="43"/>
  <c r="F51" i="45"/>
  <c r="K51" i="45" s="1"/>
  <c r="N51" i="45"/>
  <c r="R51" i="45" s="1"/>
  <c r="F12" i="43"/>
  <c r="F50" i="45"/>
  <c r="K50" i="45" s="1"/>
  <c r="N50" i="45"/>
  <c r="R50" i="45" s="1"/>
  <c r="F11" i="43"/>
  <c r="F49" i="45"/>
  <c r="K49" i="45" s="1"/>
  <c r="N49" i="45"/>
  <c r="R49" i="45" s="1"/>
  <c r="F10" i="43"/>
  <c r="F48" i="45"/>
  <c r="K48" i="45" s="1"/>
  <c r="N48" i="45"/>
  <c r="R48" i="45" s="1"/>
  <c r="F9" i="43"/>
  <c r="F47" i="45"/>
  <c r="K47" i="45" s="1"/>
  <c r="N47" i="45"/>
  <c r="R47" i="45" s="1"/>
  <c r="F8" i="43"/>
  <c r="F46" i="45"/>
  <c r="K46" i="45" s="1"/>
  <c r="N46" i="45"/>
  <c r="R46" i="45" s="1"/>
  <c r="F7" i="43"/>
  <c r="F45" i="45"/>
  <c r="N45" i="45"/>
  <c r="R45" i="45" s="1"/>
  <c r="H35" i="11"/>
  <c r="AJ32" i="43"/>
  <c r="AW32" i="43"/>
  <c r="AX31" i="43"/>
  <c r="AW31" i="43"/>
  <c r="AJ30" i="43"/>
  <c r="AW30" i="43"/>
  <c r="AW29" i="43"/>
  <c r="AJ29" i="43"/>
  <c r="AW28" i="43"/>
  <c r="AJ28" i="43"/>
  <c r="AJ27" i="43"/>
  <c r="AW27" i="43"/>
  <c r="AW26" i="43"/>
  <c r="AJ26" i="43"/>
  <c r="AW25" i="43"/>
  <c r="AJ25" i="43"/>
  <c r="AL17" i="43"/>
  <c r="AJ17" i="43"/>
  <c r="AL18" i="43"/>
  <c r="AJ18" i="43"/>
  <c r="AX11" i="43"/>
  <c r="AW17" i="43"/>
  <c r="AW16" i="43"/>
  <c r="AX10" i="43"/>
  <c r="AJ23" i="43"/>
  <c r="AL20" i="43"/>
  <c r="AX9" i="43"/>
  <c r="AL16" i="43"/>
  <c r="AJ16" i="43"/>
  <c r="AX15" i="43"/>
  <c r="AW23" i="43"/>
  <c r="AX12" i="43"/>
  <c r="AW19" i="43"/>
  <c r="AW18" i="43"/>
  <c r="AX7" i="43"/>
  <c r="AW24" i="43"/>
  <c r="AJ24" i="43"/>
  <c r="AW22" i="43"/>
  <c r="AJ22" i="43"/>
  <c r="AW20" i="43"/>
  <c r="AJ21" i="43"/>
  <c r="AW21" i="43"/>
  <c r="E34" i="12"/>
  <c r="AA34" i="17"/>
  <c r="J34" i="14" s="1"/>
  <c r="J34" i="44" l="1"/>
  <c r="J37" i="44" s="1"/>
  <c r="V59" i="45"/>
  <c r="Y59" i="45"/>
  <c r="V64" i="45"/>
  <c r="Y64" i="45"/>
  <c r="Y63" i="45"/>
  <c r="V63" i="45"/>
  <c r="V60" i="45"/>
  <c r="Y60" i="45"/>
  <c r="Y65" i="45"/>
  <c r="V65" i="45"/>
  <c r="V67" i="45"/>
  <c r="Y67" i="45"/>
  <c r="Y61" i="45"/>
  <c r="V61" i="45"/>
  <c r="V62" i="45"/>
  <c r="Y62" i="45"/>
  <c r="Y66" i="45"/>
  <c r="V66" i="45"/>
  <c r="V68" i="45"/>
  <c r="Y68" i="45"/>
  <c r="Y58" i="45"/>
  <c r="V58" i="45"/>
  <c r="V57" i="45"/>
  <c r="Y57" i="45"/>
  <c r="V56" i="45"/>
  <c r="Y56" i="45"/>
  <c r="V55" i="45"/>
  <c r="Y55" i="45"/>
  <c r="V54" i="45"/>
  <c r="Y54" i="45"/>
  <c r="Y53" i="45"/>
  <c r="V53" i="45"/>
  <c r="V52" i="45"/>
  <c r="Y52" i="45"/>
  <c r="Y51" i="45"/>
  <c r="V51" i="45"/>
  <c r="V50" i="45"/>
  <c r="Y50" i="45"/>
  <c r="V49" i="45"/>
  <c r="Y49" i="45"/>
  <c r="V48" i="45"/>
  <c r="Y48" i="45"/>
  <c r="Y47" i="45"/>
  <c r="V47" i="45"/>
  <c r="V46" i="45"/>
  <c r="Y46" i="45"/>
  <c r="F72" i="45"/>
  <c r="K45" i="45"/>
  <c r="Y45" i="45"/>
  <c r="N72" i="45"/>
  <c r="AR32" i="43"/>
  <c r="AX32" i="43"/>
  <c r="AY33" i="17"/>
  <c r="AT33" i="17"/>
  <c r="AR31" i="43"/>
  <c r="AR30" i="43"/>
  <c r="AT30" i="17"/>
  <c r="AX30" i="43"/>
  <c r="AY30" i="17"/>
  <c r="AX29" i="43"/>
  <c r="AY29" i="17"/>
  <c r="AT29" i="17"/>
  <c r="AR29" i="43"/>
  <c r="AX28" i="43"/>
  <c r="AY28" i="17"/>
  <c r="AR28" i="43"/>
  <c r="AT28" i="17"/>
  <c r="AJ20" i="43"/>
  <c r="AX27" i="43"/>
  <c r="AY27" i="17"/>
  <c r="AT27" i="17"/>
  <c r="AR27" i="43"/>
  <c r="AX26" i="43"/>
  <c r="AY26" i="17"/>
  <c r="AR26" i="43"/>
  <c r="AT26" i="17"/>
  <c r="AX25" i="43"/>
  <c r="AY25" i="17"/>
  <c r="AR25" i="43"/>
  <c r="AT25" i="17"/>
  <c r="AY14" i="17"/>
  <c r="AX14" i="43"/>
  <c r="AW7" i="43"/>
  <c r="AL19" i="43"/>
  <c r="AJ19" i="43"/>
  <c r="AJ10" i="43"/>
  <c r="AY13" i="17"/>
  <c r="AX13" i="43"/>
  <c r="AJ7" i="43"/>
  <c r="AT23" i="17"/>
  <c r="AR23" i="43"/>
  <c r="AR17" i="43"/>
  <c r="AY10" i="17"/>
  <c r="AW11" i="43"/>
  <c r="AW14" i="43"/>
  <c r="AW13" i="43"/>
  <c r="AY18" i="17"/>
  <c r="AX18" i="43"/>
  <c r="AT18" i="17"/>
  <c r="AR18" i="43"/>
  <c r="AT19" i="17"/>
  <c r="AR19" i="43"/>
  <c r="AL11" i="43"/>
  <c r="AJ11" i="43"/>
  <c r="AW15" i="43"/>
  <c r="AY16" i="17"/>
  <c r="AX16" i="43"/>
  <c r="AL13" i="43"/>
  <c r="AJ13" i="43"/>
  <c r="AY8" i="17"/>
  <c r="AX8" i="43"/>
  <c r="AW9" i="43"/>
  <c r="AY17" i="17"/>
  <c r="AX17" i="43"/>
  <c r="AW12" i="43"/>
  <c r="AW10" i="43"/>
  <c r="AW8" i="43"/>
  <c r="AY19" i="17"/>
  <c r="AX19" i="43"/>
  <c r="AL8" i="43"/>
  <c r="AJ8" i="43"/>
  <c r="AL14" i="43"/>
  <c r="AJ14" i="43"/>
  <c r="AL12" i="43"/>
  <c r="AJ12" i="43"/>
  <c r="AL15" i="43"/>
  <c r="AJ15" i="43"/>
  <c r="AJ9" i="43"/>
  <c r="AX23" i="43"/>
  <c r="AY23" i="17"/>
  <c r="AT16" i="17"/>
  <c r="AR16" i="43"/>
  <c r="AX24" i="43"/>
  <c r="AY24" i="17"/>
  <c r="AT24" i="17"/>
  <c r="AR24" i="43"/>
  <c r="AX22" i="43"/>
  <c r="AY22" i="17"/>
  <c r="AR22" i="43"/>
  <c r="AT22" i="17"/>
  <c r="AY20" i="17"/>
  <c r="AX20" i="43"/>
  <c r="AT20" i="17"/>
  <c r="AR20" i="43"/>
  <c r="AA33" i="43"/>
  <c r="AB33" i="43"/>
  <c r="AT21" i="17"/>
  <c r="AR21" i="43"/>
  <c r="AX21" i="43"/>
  <c r="AY21" i="17"/>
  <c r="AY9" i="17"/>
  <c r="AY7" i="17"/>
  <c r="AY11" i="17"/>
  <c r="AY12" i="17"/>
  <c r="AY15" i="17"/>
  <c r="K34" i="14"/>
  <c r="AL28" i="43"/>
  <c r="AL27" i="43"/>
  <c r="AL24" i="43"/>
  <c r="AL26" i="43"/>
  <c r="AL30" i="43"/>
  <c r="AL22" i="43"/>
  <c r="AL25" i="43"/>
  <c r="AL21" i="43"/>
  <c r="AL23" i="43"/>
  <c r="F34" i="17"/>
  <c r="I34" i="12"/>
  <c r="K34" i="44" l="1"/>
  <c r="K37" i="44" s="1"/>
  <c r="N34" i="44"/>
  <c r="N37" i="44" s="1"/>
  <c r="O34" i="44"/>
  <c r="O37" i="44" s="1"/>
  <c r="Y72" i="45"/>
  <c r="R72" i="45"/>
  <c r="U72" i="45" s="1"/>
  <c r="V45" i="45"/>
  <c r="V72" i="45" s="1"/>
  <c r="K72" i="45"/>
  <c r="F33" i="43"/>
  <c r="AL32" i="43"/>
  <c r="AL29" i="43"/>
  <c r="AL7" i="43"/>
  <c r="AN15" i="17"/>
  <c r="AN15" i="43" s="1"/>
  <c r="AL10" i="43"/>
  <c r="K34" i="5"/>
  <c r="O34" i="14"/>
  <c r="N34" i="14"/>
  <c r="AL9" i="43"/>
  <c r="AN9" i="17"/>
  <c r="AN9" i="43" s="1"/>
  <c r="AT8" i="17"/>
  <c r="AR8" i="43"/>
  <c r="AT14" i="17"/>
  <c r="AR14" i="43"/>
  <c r="AT7" i="17"/>
  <c r="AR7" i="43"/>
  <c r="AT10" i="17"/>
  <c r="AR10" i="43"/>
  <c r="AT13" i="17"/>
  <c r="AR13" i="43"/>
  <c r="AT11" i="17"/>
  <c r="AR11" i="43"/>
  <c r="AT12" i="17"/>
  <c r="AR12" i="43"/>
  <c r="AT9" i="17"/>
  <c r="AR9" i="43"/>
  <c r="AT15" i="17"/>
  <c r="AR15" i="43"/>
  <c r="AN12" i="17"/>
  <c r="AN12" i="43" s="1"/>
  <c r="AN25" i="17"/>
  <c r="AN25" i="43" s="1"/>
  <c r="AN20" i="17"/>
  <c r="AN20" i="43" s="1"/>
  <c r="AN11" i="17"/>
  <c r="AN11" i="43" s="1"/>
  <c r="AN23" i="17"/>
  <c r="AN23" i="43" s="1"/>
  <c r="AN22" i="17"/>
  <c r="AN22" i="43" s="1"/>
  <c r="AN24" i="17"/>
  <c r="AN24" i="43" s="1"/>
  <c r="AN16" i="17"/>
  <c r="AN16" i="43" s="1"/>
  <c r="AN21" i="17"/>
  <c r="AN21" i="43" s="1"/>
  <c r="AN32" i="43"/>
  <c r="AN30" i="17"/>
  <c r="AN30" i="43" s="1"/>
  <c r="AN27" i="17"/>
  <c r="AN27" i="43" s="1"/>
  <c r="AN8" i="17"/>
  <c r="AN8" i="43" s="1"/>
  <c r="AN18" i="17"/>
  <c r="AN18" i="43" s="1"/>
  <c r="AN13" i="17"/>
  <c r="AN13" i="43" s="1"/>
  <c r="AN28" i="17"/>
  <c r="AN28" i="43" s="1"/>
  <c r="AN14" i="17"/>
  <c r="AN14" i="43" s="1"/>
  <c r="AN17" i="17"/>
  <c r="AN17" i="43" s="1"/>
  <c r="AN26" i="17"/>
  <c r="AN26" i="43" s="1"/>
  <c r="AN10" i="17"/>
  <c r="AN10" i="43" s="1"/>
  <c r="AN19" i="43"/>
  <c r="AN29" i="17"/>
  <c r="AN29" i="43" s="1"/>
  <c r="AM34" i="17"/>
  <c r="AM33" i="43" s="1"/>
  <c r="AD34" i="44" l="1"/>
  <c r="AL34" i="17"/>
  <c r="AK36" i="17"/>
  <c r="AJ31" i="43"/>
  <c r="AG34" i="44"/>
  <c r="AG37" i="44" s="1"/>
  <c r="J39" i="44"/>
  <c r="J38" i="44"/>
  <c r="K39" i="44"/>
  <c r="K38" i="44"/>
  <c r="J35" i="14"/>
  <c r="M34" i="14"/>
  <c r="K35" i="14"/>
  <c r="AJ33" i="43"/>
  <c r="AN7" i="17"/>
  <c r="AL31" i="43" l="1"/>
  <c r="AN33" i="17"/>
  <c r="AN31" i="43" s="1"/>
  <c r="O39" i="44"/>
  <c r="O38" i="44"/>
  <c r="N39" i="44"/>
  <c r="N38" i="44"/>
  <c r="AH34" i="44"/>
  <c r="AH37" i="44" s="1"/>
  <c r="AL33" i="43"/>
  <c r="AN7" i="43"/>
  <c r="AN34" i="44" l="1"/>
  <c r="AN35" i="44" s="1"/>
  <c r="AG39" i="44"/>
  <c r="AG38" i="44"/>
  <c r="AN34" i="17"/>
  <c r="AN33" i="43" s="1"/>
  <c r="AM34" i="44" l="1"/>
  <c r="AM37" i="44" s="1"/>
  <c r="AH38" i="44"/>
  <c r="AH39" i="44"/>
  <c r="BO33" i="17"/>
  <c r="BO31" i="43" s="1"/>
  <c r="BH31" i="43"/>
  <c r="AM38" i="44" l="1"/>
  <c r="BS31" i="43"/>
  <c r="BZ33" i="17"/>
  <c r="BZ31" i="43" s="1"/>
  <c r="AM39" i="44" l="1"/>
</calcChain>
</file>

<file path=xl/sharedStrings.xml><?xml version="1.0" encoding="utf-8"?>
<sst xmlns="http://schemas.openxmlformats.org/spreadsheetml/2006/main" count="1258" uniqueCount="369">
  <si>
    <t>Общо</t>
  </si>
  <si>
    <t>лева/МВтч</t>
  </si>
  <si>
    <t>Брутен марж от продажба на Топлофикационни дружества</t>
  </si>
  <si>
    <t>Холдинг</t>
  </si>
  <si>
    <t>Марж</t>
  </si>
  <si>
    <t>Утвърдена цена на "Булгаргаз" за 1 МВтч природен  газ</t>
  </si>
  <si>
    <t>ТИБИЕЛ</t>
  </si>
  <si>
    <t>Цена на санкция за 1 МВтч (10% от утвърдената цена на "Булгаргаз")</t>
  </si>
  <si>
    <t>Дата</t>
  </si>
  <si>
    <t>общо</t>
  </si>
  <si>
    <t>Общо, МВтч</t>
  </si>
  <si>
    <t>Покупна цена, лв/МВтч</t>
  </si>
  <si>
    <t>Стойност общо, лева</t>
  </si>
  <si>
    <t>Покупна цена, евро/МВтч</t>
  </si>
  <si>
    <t>Плевен</t>
  </si>
  <si>
    <t>Бургас</t>
  </si>
  <si>
    <t>Враца 1</t>
  </si>
  <si>
    <t>Враца 2</t>
  </si>
  <si>
    <t>Булгаргаз</t>
  </si>
  <si>
    <t>Продажна цена при отрицателен дисбаланс по чл.12, ал.3 от Методиката (92% от утвърдената цена на "Булгаргаз", лв/МВтч</t>
  </si>
  <si>
    <t>Капацитет Булгаргаз</t>
  </si>
  <si>
    <t>ДДК</t>
  </si>
  <si>
    <t>Прогноза</t>
  </si>
  <si>
    <t xml:space="preserve">Общо доставено </t>
  </si>
  <si>
    <t>АЛУКОМ АД</t>
  </si>
  <si>
    <t>ИЛИНДЕН ЕООД</t>
  </si>
  <si>
    <t>ВАП ИНДЪСТРИ ЕООД</t>
  </si>
  <si>
    <t xml:space="preserve">Номинация </t>
  </si>
  <si>
    <t>Неустойка</t>
  </si>
  <si>
    <t>Капацитет на ТБЛ</t>
  </si>
  <si>
    <t>Овергаз</t>
  </si>
  <si>
    <t>Номинация</t>
  </si>
  <si>
    <t>ГАЗОВ ХЪБ БАЛКАН</t>
  </si>
  <si>
    <t>Обща 
стойност на сделките, лв</t>
  </si>
  <si>
    <t>Газов ден</t>
  </si>
  <si>
    <t>Тип на
сделката,
WD/DA</t>
  </si>
  <si>
    <t xml:space="preserve">Количество газ, MWh
</t>
  </si>
  <si>
    <t>Цена на 
сделката, 
BGN/MWh</t>
  </si>
  <si>
    <t>Перник</t>
  </si>
  <si>
    <t>ТИБИЕЛ балансиране</t>
  </si>
  <si>
    <t>MWh</t>
  </si>
  <si>
    <t>цена</t>
  </si>
  <si>
    <t>стойност</t>
  </si>
  <si>
    <t>излишък MWh</t>
  </si>
  <si>
    <t xml:space="preserve">цена излишък </t>
  </si>
  <si>
    <t>цена недостиг</t>
  </si>
  <si>
    <t>стойност излишък</t>
  </si>
  <si>
    <t>стойност недостиг</t>
  </si>
  <si>
    <t>ТИБИЕЛ купува борса</t>
  </si>
  <si>
    <t>ТИБИЕЛ продава борса</t>
  </si>
  <si>
    <t>Доставено на ТИБИЕЛ (MWh)</t>
  </si>
  <si>
    <t>Борса продажби</t>
  </si>
  <si>
    <t>Излишък</t>
  </si>
  <si>
    <t>Недостиг</t>
  </si>
  <si>
    <t>Борса покупки</t>
  </si>
  <si>
    <t>средно претеглена цена</t>
  </si>
  <si>
    <t>Неустойка, лева</t>
  </si>
  <si>
    <t>Брутен марж</t>
  </si>
  <si>
    <t>Финансов ефект, лева</t>
  </si>
  <si>
    <t>ГИС Чирен (добив), лв/МВтч/ден</t>
  </si>
  <si>
    <t>ВТП</t>
  </si>
  <si>
    <t>лева</t>
  </si>
  <si>
    <t>вид на сделката покупка/продажба</t>
  </si>
  <si>
    <t>доставчик/клиент</t>
  </si>
  <si>
    <t>сделки ТИБИЕЛ</t>
  </si>
  <si>
    <t>МВт/ден</t>
  </si>
  <si>
    <t>спестени разходи от по-ниска цена</t>
  </si>
  <si>
    <t>спестени разходи от дневен капацитет</t>
  </si>
  <si>
    <t>спестени разходи от превишен капацитет</t>
  </si>
  <si>
    <t>недостиг MWh</t>
  </si>
  <si>
    <t>Среднопретеглена покупна цена, лв/МВтч</t>
  </si>
  <si>
    <t>закупен допълнителен дневен капацитет</t>
  </si>
  <si>
    <t>Закупен от</t>
  </si>
  <si>
    <t>продажби ТфД, борса и балансиращ пазар</t>
  </si>
  <si>
    <t xml:space="preserve"> </t>
  </si>
  <si>
    <t>Русе</t>
  </si>
  <si>
    <t>ден на пред</t>
  </si>
  <si>
    <t>в рамките на деня</t>
  </si>
  <si>
    <t>ефект за ТфД от по-ниска покупна цена</t>
  </si>
  <si>
    <t>цена за пренос на вход</t>
  </si>
  <si>
    <t>Русе Кемикълс</t>
  </si>
  <si>
    <t>месечен</t>
  </si>
  <si>
    <t xml:space="preserve">   </t>
  </si>
  <si>
    <t>Стойност на входяща точка</t>
  </si>
  <si>
    <t>закупен допълнителен  капацитет</t>
  </si>
  <si>
    <t>входящ</t>
  </si>
  <si>
    <t>изходящ</t>
  </si>
  <si>
    <t xml:space="preserve">общо </t>
  </si>
  <si>
    <t>стари</t>
  </si>
  <si>
    <t>Годишен капацитет</t>
  </si>
  <si>
    <t>Тримесечен капацитет</t>
  </si>
  <si>
    <t>Месечен капацитет</t>
  </si>
  <si>
    <t>Общо пренос:</t>
  </si>
  <si>
    <t>старо</t>
  </si>
  <si>
    <t>Компонента пренос *</t>
  </si>
  <si>
    <t>Технологична компонента  **</t>
  </si>
  <si>
    <t>Компонента задължение към обществото ***</t>
  </si>
  <si>
    <t>Старо</t>
  </si>
  <si>
    <t>Превишен капацитет</t>
  </si>
  <si>
    <t>Дневен капацитет</t>
  </si>
  <si>
    <t>годишен</t>
  </si>
  <si>
    <t>стойност на изх.точка</t>
  </si>
  <si>
    <t>цена на дневен капацитет на изх. точка</t>
  </si>
  <si>
    <t>Стойност на изх. точка</t>
  </si>
  <si>
    <t>Обща стойност на капацитет</t>
  </si>
  <si>
    <t>стойност на изх. точка</t>
  </si>
  <si>
    <t>Обща цена на природния газ с разходи за пренос и капацитет</t>
  </si>
  <si>
    <t>Обща цена на природния газ с разходи за пренос и капацитет, лв/МВтч</t>
  </si>
  <si>
    <t>Топлофикация Велико Търново</t>
  </si>
  <si>
    <t>Ирис</t>
  </si>
  <si>
    <t>Доминекс про</t>
  </si>
  <si>
    <t>Труд</t>
  </si>
  <si>
    <t>тримесечен</t>
  </si>
  <si>
    <t>Берус</t>
  </si>
  <si>
    <t>РВД</t>
  </si>
  <si>
    <t>Брутен марж от продажба на РВД</t>
  </si>
  <si>
    <t>Велико Търново</t>
  </si>
  <si>
    <t>…......01.2021</t>
  </si>
  <si>
    <t>Административни и други разходи</t>
  </si>
  <si>
    <t>лв/ден</t>
  </si>
  <si>
    <t>други клиенти</t>
  </si>
  <si>
    <t>Враца</t>
  </si>
  <si>
    <t>превишен</t>
  </si>
  <si>
    <t>Индивидуална обща цена на природния газ с разходи за входящ пренос и входящ капацитет, лв/МВтч</t>
  </si>
  <si>
    <t>Странджа/Малкочлар</t>
  </si>
  <si>
    <t>Kапацитет в рамките на деня</t>
  </si>
  <si>
    <t>Брутен марж от продажба на БГК</t>
  </si>
  <si>
    <t>Брутен марж от продажба на Русенска група</t>
  </si>
  <si>
    <t>Брутен марж от продажба на Плевенска група</t>
  </si>
  <si>
    <t>БГК</t>
  </si>
  <si>
    <t>Бултекс 1</t>
  </si>
  <si>
    <t>Алуком</t>
  </si>
  <si>
    <t>Илинден</t>
  </si>
  <si>
    <t>Ваптех АМ</t>
  </si>
  <si>
    <t>Тенекс С</t>
  </si>
  <si>
    <t>Декотекс</t>
  </si>
  <si>
    <t>ТИБИЕЛ и БГК</t>
  </si>
  <si>
    <t>дневен капацитет</t>
  </si>
  <si>
    <t>капацитет в рамките на деня</t>
  </si>
  <si>
    <t>,</t>
  </si>
  <si>
    <t>I. (X - XII.2022)</t>
  </si>
  <si>
    <t>II. (I - III.2023)</t>
  </si>
  <si>
    <t>III. (IV - VI.2023)</t>
  </si>
  <si>
    <t>IV. (VII - IX.2023)</t>
  </si>
  <si>
    <t>Цена</t>
  </si>
  <si>
    <t>МЕСЕЧЕН</t>
  </si>
  <si>
    <t>разходи</t>
  </si>
  <si>
    <t>Чирен нагнетяване</t>
  </si>
  <si>
    <t xml:space="preserve">ДХТ </t>
  </si>
  <si>
    <t>ДХТ</t>
  </si>
  <si>
    <t xml:space="preserve">ЕНЕРГИКО </t>
  </si>
  <si>
    <t>ТБЛ</t>
  </si>
  <si>
    <t>Средно претеглена продажна цена</t>
  </si>
  <si>
    <t>Средно претеглена покупна цена</t>
  </si>
  <si>
    <t>Нагнетени количества в Чирен, МВтч</t>
  </si>
  <si>
    <t>Стойност, лева</t>
  </si>
  <si>
    <t>Средно претеглена  цена, лв/МВтч</t>
  </si>
  <si>
    <t xml:space="preserve">Враца </t>
  </si>
  <si>
    <t>ОБЩО</t>
  </si>
  <si>
    <t>ПГХ Чирен</t>
  </si>
  <si>
    <t>Цени, лв/МВтч</t>
  </si>
  <si>
    <t>Доставено от ТИБИЕЛ  (MWh)</t>
  </si>
  <si>
    <t>Разлика 3=1-2</t>
  </si>
  <si>
    <t>Положителен ефект за ТфД от по-ниска покупна цена и разходи за капацитети</t>
  </si>
  <si>
    <t>Цена на Булгаргаз</t>
  </si>
  <si>
    <t>TTF</t>
  </si>
  <si>
    <t>Текущи задължения към Булгаргаз и доставчици на газ, лева</t>
  </si>
  <si>
    <t>Просрочени задължения към Булгаргаз и доставчици на газ, лева</t>
  </si>
  <si>
    <t>Общо задължения към Булгаргаз и доставчици на газ, лева</t>
  </si>
  <si>
    <t>Адм. и други разходи</t>
  </si>
  <si>
    <t>ТФ Велико Търново</t>
  </si>
  <si>
    <t>Продажна цена на ТИБИЕЛ за Топлофикационни дружества (100% от цената на "Булгаргаз")</t>
  </si>
  <si>
    <t>Нова пауър</t>
  </si>
  <si>
    <t>чирен нагнетяване</t>
  </si>
  <si>
    <t>ТБЛ-ЧИРЕН добив</t>
  </si>
  <si>
    <t>ЦЕНИ ЗА ДОСТЪП И ПРЕНОС ЗА ГАЗОВАТА ГОДИНА 2023/2024</t>
  </si>
  <si>
    <t>октомври 2023</t>
  </si>
  <si>
    <t>ноември 2023</t>
  </si>
  <si>
    <t>декември 2023</t>
  </si>
  <si>
    <t>януари 2024</t>
  </si>
  <si>
    <t>февруари 2024</t>
  </si>
  <si>
    <t>март 2024</t>
  </si>
  <si>
    <t>април 2024</t>
  </si>
  <si>
    <t>май 2024</t>
  </si>
  <si>
    <t>юни  2024</t>
  </si>
  <si>
    <t>юли  2024</t>
  </si>
  <si>
    <t>август  2024</t>
  </si>
  <si>
    <t>септември  2024</t>
  </si>
  <si>
    <t>неустойка</t>
  </si>
  <si>
    <t>прев.капацитет</t>
  </si>
  <si>
    <t>Сделки покупка</t>
  </si>
  <si>
    <t>Сделки продажба</t>
  </si>
  <si>
    <t xml:space="preserve">Реализирано от ТИБИЕЛ/БГК </t>
  </si>
  <si>
    <t>Продажби на топлофикационни дружества, МВтч</t>
  </si>
  <si>
    <t>Продажби на крайни клиенти, МВтч</t>
  </si>
  <si>
    <t>Излишък, МВтч</t>
  </si>
  <si>
    <t>Общо продажби на природен газ, МВтч</t>
  </si>
  <si>
    <t>Природен газ за нагнетяване в ПГХ Чирен, МВтч</t>
  </si>
  <si>
    <t>Стойност на нагнетения природен газ в ПГХ Чирен, лева</t>
  </si>
  <si>
    <t>Стойност на продадения и нагнетен  природен газ, лева</t>
  </si>
  <si>
    <t>Стойност на продажбите за ТфД, лева</t>
  </si>
  <si>
    <t>Стойност на продажбите на кр.клиенти, лева</t>
  </si>
  <si>
    <t>Стойност на излишък, лева</t>
  </si>
  <si>
    <t>Приходи от капацитет и пренос на вх.точка, лева</t>
  </si>
  <si>
    <t xml:space="preserve">Доставено на ТИБИЕЛ/БГК </t>
  </si>
  <si>
    <t>Добит природен газ от ПГХ Чирен, МВтч</t>
  </si>
  <si>
    <t>Стойност на добития природен газ от ПГХ Чирен, лева</t>
  </si>
  <si>
    <t>Покупки от борса (без вътрешни сделки), МВтч</t>
  </si>
  <si>
    <t>Стойност на покупките от борса (без вътрешни сделки), лева</t>
  </si>
  <si>
    <t>Недостиг, МВтч</t>
  </si>
  <si>
    <t>Стойност на недостига, лева</t>
  </si>
  <si>
    <t>Общо покупки на природен газ, МВтч</t>
  </si>
  <si>
    <t>Стойност на закупения и добит природен газ, лева</t>
  </si>
  <si>
    <t>Административни разходи, лева</t>
  </si>
  <si>
    <t>Общ размер на разходите, лева</t>
  </si>
  <si>
    <t>Неустойки, лева</t>
  </si>
  <si>
    <t>Продажби на борса(без вътрешни сделки), МВтч</t>
  </si>
  <si>
    <t>Стойност на продажбите на борса(без вътрешни сделки), лв</t>
  </si>
  <si>
    <t>Продаждни цени, лв/МВтч</t>
  </si>
  <si>
    <t>Цена за крайни клиенти</t>
  </si>
  <si>
    <t>Цена на борса</t>
  </si>
  <si>
    <t>Цена за излишък</t>
  </si>
  <si>
    <t>Цена на газа в Чирен</t>
  </si>
  <si>
    <t>Покупни цени, лв/МВтч</t>
  </si>
  <si>
    <t>Цена на газа от Чирен</t>
  </si>
  <si>
    <t>Цена за недостиг</t>
  </si>
  <si>
    <t>Средна цена на ТфД</t>
  </si>
  <si>
    <t>Търговски резултат</t>
  </si>
  <si>
    <t>Разлика до пълна себестойност в Чирен</t>
  </si>
  <si>
    <t>ФИНАНСОВ РЕЗУЛТАТ</t>
  </si>
  <si>
    <t>Продажна цена на БГК за Топлофикация Плевен (цената на "Булгаргаз")</t>
  </si>
  <si>
    <t>Продажна цена на ТИБИЕЛ за РВД( цената на ГХБ)</t>
  </si>
  <si>
    <t>ЕМИ</t>
  </si>
  <si>
    <t>общ капацитет</t>
  </si>
  <si>
    <t xml:space="preserve">прев. Кап.вх. </t>
  </si>
  <si>
    <t>общо:</t>
  </si>
  <si>
    <t>Общ размер на приходитe от продажба на природен газ, лева</t>
  </si>
  <si>
    <t>СПЦ по договори</t>
  </si>
  <si>
    <t>ДОСТАВЕНО</t>
  </si>
  <si>
    <t>Разходи за годишен капацитет за IGB</t>
  </si>
  <si>
    <t>ТВТ</t>
  </si>
  <si>
    <t>Кр. Кл.</t>
  </si>
  <si>
    <t>ТИБИЕЛ Чирен</t>
  </si>
  <si>
    <t>регулирани количества</t>
  </si>
  <si>
    <t>свободно договорени количества</t>
  </si>
  <si>
    <t xml:space="preserve">  </t>
  </si>
  <si>
    <t>консумация, отчет</t>
  </si>
  <si>
    <t>доставки, отчет</t>
  </si>
  <si>
    <t>Борса</t>
  </si>
  <si>
    <t>балансиращ пазар</t>
  </si>
  <si>
    <t>продажби борса</t>
  </si>
  <si>
    <t>Доставчици</t>
  </si>
  <si>
    <t>Отклонение от прогнозата</t>
  </si>
  <si>
    <t>Чирен - нагнетяване</t>
  </si>
  <si>
    <t>Прогнозен баланс на групата (MWh/ден)</t>
  </si>
  <si>
    <t>месец</t>
  </si>
  <si>
    <t>Покупки</t>
  </si>
  <si>
    <t>Продажби</t>
  </si>
  <si>
    <t>КК</t>
  </si>
  <si>
    <t>Булгаргаз*</t>
  </si>
  <si>
    <t>Търговци</t>
  </si>
  <si>
    <t>Чирен - теглене</t>
  </si>
  <si>
    <t>Баланс - Ден напред</t>
  </si>
  <si>
    <t>ТфД</t>
  </si>
  <si>
    <t>*количествата са намалени с 10% и с 7%</t>
  </si>
  <si>
    <t>Продажна цена на ТИБИЕЛ за Илинден, Ваптех АМ, Нова пауър , Алуком, Берус, Бултекс 1, Доминекс про, Ирис, Кемикълс, Труд и ТЕНЕКС С (месечната  цената на ГХБ + 2 лв)</t>
  </si>
  <si>
    <t>Продажна цена на ТИБИЕЛ за   Декотекс (90% от месечната  цената на ГХБ)</t>
  </si>
  <si>
    <t>консумация, разчет</t>
  </si>
  <si>
    <t>доставки, разчет</t>
  </si>
  <si>
    <t>Александруполис</t>
  </si>
  <si>
    <t>Баланс</t>
  </si>
  <si>
    <t>% от доставките</t>
  </si>
  <si>
    <t>на ден</t>
  </si>
  <si>
    <t>петък</t>
  </si>
  <si>
    <t>Чирен</t>
  </si>
  <si>
    <t>към 31.01.2024</t>
  </si>
  <si>
    <t>събота</t>
  </si>
  <si>
    <t>февруари</t>
  </si>
  <si>
    <t>неделя</t>
  </si>
  <si>
    <t>март</t>
  </si>
  <si>
    <t>понеделник</t>
  </si>
  <si>
    <t>към 31.03.2024</t>
  </si>
  <si>
    <t>вторник</t>
  </si>
  <si>
    <t>сряда</t>
  </si>
  <si>
    <t>четвъртък</t>
  </si>
  <si>
    <t>доставчици</t>
  </si>
  <si>
    <t>Общо разчет април</t>
  </si>
  <si>
    <t>Очаквано изпълнение април</t>
  </si>
  <si>
    <t>Доставки от други доставчици, МВтч</t>
  </si>
  <si>
    <t>Стойност на доставения природен газ от други доставчици, лева</t>
  </si>
  <si>
    <t>Общо покупки</t>
  </si>
  <si>
    <t>Общо продажби</t>
  </si>
  <si>
    <t>дни в месеца</t>
  </si>
  <si>
    <t>Булгаргаз 90%</t>
  </si>
  <si>
    <t>Булгаргаз 10%</t>
  </si>
  <si>
    <t>Чирен - добив</t>
  </si>
  <si>
    <t>LNG</t>
  </si>
  <si>
    <t>средно</t>
  </si>
  <si>
    <t>Прогнозен баланс на групата (MWh/месец)</t>
  </si>
  <si>
    <t>Прогнозни цени (EUR/MWh)</t>
  </si>
  <si>
    <t>КЕВР - Булгаргаз</t>
  </si>
  <si>
    <t>TTF futures</t>
  </si>
  <si>
    <t>Газов хъб Балкан spot</t>
  </si>
  <si>
    <t>Постигнати цени от търговци</t>
  </si>
  <si>
    <t>Средни прогн. цени на покупки</t>
  </si>
  <si>
    <t>Q1-25</t>
  </si>
  <si>
    <t>Доставки от Булгаргаз, МВтч</t>
  </si>
  <si>
    <t>Цена от  Булгаргаз</t>
  </si>
  <si>
    <t>Цена от други доставчици</t>
  </si>
  <si>
    <t>купува</t>
  </si>
  <si>
    <t>ЕНЕРГИКО ЕООД</t>
  </si>
  <si>
    <t>АКТАЕЛ ЕООД</t>
  </si>
  <si>
    <t>SPECTRO ENERGY EOOD</t>
  </si>
  <si>
    <t>Състейнабъл Енерджи Съплай ООД</t>
  </si>
  <si>
    <t>BTGBalancingGas</t>
  </si>
  <si>
    <t>DA             148679</t>
  </si>
  <si>
    <t>DA             148685</t>
  </si>
  <si>
    <t>DA             148695</t>
  </si>
  <si>
    <t>WD            148728</t>
  </si>
  <si>
    <t>WD            148916</t>
  </si>
  <si>
    <t>Грей Стоун България ООД</t>
  </si>
  <si>
    <t>DA             148821</t>
  </si>
  <si>
    <t>DA             148824</t>
  </si>
  <si>
    <t>DA             148835</t>
  </si>
  <si>
    <t>OZBOR ENTERPRISES LIMITED</t>
  </si>
  <si>
    <t>МОСТ ЕНЕРДЖИ ГАЗ ООД</t>
  </si>
  <si>
    <t>DA             148950</t>
  </si>
  <si>
    <t>WD            148983</t>
  </si>
  <si>
    <t>WD            148990</t>
  </si>
  <si>
    <t>WD            149073</t>
  </si>
  <si>
    <t>WD            149075</t>
  </si>
  <si>
    <t>МЕТ ЕНЕРДЖИ ТРЕЙДИНГ Б-Я ЕАД</t>
  </si>
  <si>
    <t>DA             149006</t>
  </si>
  <si>
    <t>DA             149018</t>
  </si>
  <si>
    <t>DA             149026</t>
  </si>
  <si>
    <t>DA             149066</t>
  </si>
  <si>
    <t>WD            149084</t>
  </si>
  <si>
    <t>WD            149165</t>
  </si>
  <si>
    <t>WD            149166</t>
  </si>
  <si>
    <t>DA             149116</t>
  </si>
  <si>
    <t>DA             149117</t>
  </si>
  <si>
    <t>DA             149138</t>
  </si>
  <si>
    <t>DA             149140</t>
  </si>
  <si>
    <t>WD            149212</t>
  </si>
  <si>
    <t>WD            149213</t>
  </si>
  <si>
    <t>WD            149236</t>
  </si>
  <si>
    <t>Socar Trading Gas &amp; Power SARL</t>
  </si>
  <si>
    <t>WE             149181</t>
  </si>
  <si>
    <t>WE             149193</t>
  </si>
  <si>
    <t>WE             149203</t>
  </si>
  <si>
    <t>WD            149259</t>
  </si>
  <si>
    <t>WD            149260</t>
  </si>
  <si>
    <t>WD            149285</t>
  </si>
  <si>
    <t>Sustainable Energy Supply</t>
  </si>
  <si>
    <t>Socar</t>
  </si>
  <si>
    <t>Ozbor</t>
  </si>
  <si>
    <t>Gray Stone</t>
  </si>
  <si>
    <t>Глобъл Комерс 1</t>
  </si>
  <si>
    <t>Actael</t>
  </si>
  <si>
    <t>Spectro</t>
  </si>
  <si>
    <t>Rimini</t>
  </si>
  <si>
    <t>продава</t>
  </si>
  <si>
    <t>Energiko</t>
  </si>
  <si>
    <t xml:space="preserve">RON 129,50 </t>
  </si>
  <si>
    <t>RON 128</t>
  </si>
  <si>
    <t>ГЛОБЪЛ КОММЕРС - 1 ООД</t>
  </si>
  <si>
    <t>WE             149725</t>
  </si>
  <si>
    <t>WD            149820</t>
  </si>
  <si>
    <t>DA             149783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</si>
</sst>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1">
    <numFmt numFmtId="164" formatCode="_-* #,##0.00\ _л_в_._-;\-* #,##0.00\ _л_в_._-;_-* &quot;-&quot;??\ _л_в_._-;_-@_-"/>
    <numFmt numFmtId="165" formatCode="#,##0.000"/>
    <numFmt numFmtId="166" formatCode="0.000"/>
    <numFmt numFmtId="167" formatCode="#,##0.00000"/>
    <numFmt numFmtId="168" formatCode="[$-409]d\-mmm\-yyyy;@"/>
    <numFmt numFmtId="169" formatCode="0.00000"/>
    <numFmt numFmtId="170" formatCode="0.0000"/>
    <numFmt numFmtId="171" formatCode="#,##0.00;[Red]#,##0.00"/>
    <numFmt numFmtId="172" formatCode="#,##0.000;[Red]#,##0.000"/>
    <numFmt numFmtId="173" formatCode="0.000;[Red]0.000"/>
    <numFmt numFmtId="174" formatCode="0.0000000"/>
    <numFmt numFmtId="175" formatCode="0.00;[Red]0.00"/>
    <numFmt numFmtId="176" formatCode="0.00_ ;[Red]\-0.00\ "/>
    <numFmt numFmtId="177" formatCode="#,##0.0000;[Red]#,##0.0000"/>
    <numFmt numFmtId="178" formatCode="[$-409]d\-mmm\-yy;@"/>
    <numFmt numFmtId="179" formatCode="_-* #,##0_-;\-* #,##0_-;_-* &quot;-&quot;??_-;_-@_-"/>
    <numFmt numFmtId="180" formatCode="#,##0.0000"/>
    <numFmt numFmtId="181" formatCode="#,##0_ ;[Red]\-#,##0\ "/>
    <numFmt numFmtId="182" formatCode="#,##0_ ;\-#,##0\ "/>
    <numFmt numFmtId="183" formatCode="#,##0.00\ [$€-1]"/>
    <numFmt numFmtId="184" formatCode="#,##0.00\ &quot;лв.&quot;"/>
  </numFmts>
  <fonts count="5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</font>
    <font>
      <sz val="1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FF0000"/>
      <name val="Times New Roman"/>
      <family val="1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b/>
      <sz val="11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2"/>
      <color indexed="8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12"/>
      <name val="Calibri"/>
      <family val="2"/>
      <charset val="204"/>
    </font>
    <font>
      <sz val="11"/>
      <name val="Calibri"/>
      <family val="2"/>
      <charset val="204"/>
    </font>
    <font>
      <b/>
      <sz val="11"/>
      <name val="Calibri"/>
      <family val="2"/>
      <charset val="204"/>
    </font>
    <font>
      <sz val="11"/>
      <name val="Calibri"/>
      <family val="2"/>
    </font>
    <font>
      <sz val="9"/>
      <color indexed="8"/>
      <name val="Tahoma"/>
      <family val="2"/>
      <charset val="204"/>
    </font>
    <font>
      <b/>
      <sz val="11"/>
      <color indexed="10"/>
      <name val="Calibri"/>
      <family val="2"/>
      <charset val="204"/>
    </font>
    <font>
      <b/>
      <sz val="11"/>
      <color indexed="10"/>
      <name val="Calibri"/>
      <family val="2"/>
    </font>
    <font>
      <sz val="11"/>
      <color theme="1"/>
      <name val="Times New Roman"/>
      <family val="1"/>
      <charset val="204"/>
    </font>
    <font>
      <b/>
      <sz val="11"/>
      <name val="Times New Roman"/>
      <family val="1"/>
    </font>
    <font>
      <sz val="10"/>
      <name val="Times New Roman"/>
      <family val="1"/>
      <charset val="204"/>
    </font>
    <font>
      <b/>
      <u/>
      <sz val="11"/>
      <name val="Times New Roman"/>
      <family val="1"/>
    </font>
    <font>
      <sz val="11"/>
      <color theme="4"/>
      <name val="Calibri"/>
      <family val="2"/>
      <charset val="204"/>
      <scheme val="minor"/>
    </font>
    <font>
      <sz val="11"/>
      <color theme="4"/>
      <name val="Calibri"/>
      <family val="2"/>
      <charset val="204"/>
    </font>
    <font>
      <b/>
      <sz val="11"/>
      <color theme="4"/>
      <name val="Calibri"/>
      <family val="2"/>
      <charset val="204"/>
    </font>
    <font>
      <sz val="11"/>
      <color rgb="FF00B050"/>
      <name val="Calibri"/>
      <family val="2"/>
      <charset val="204"/>
      <scheme val="minor"/>
    </font>
    <font>
      <sz val="11"/>
      <color rgb="FF00B050"/>
      <name val="Calibri"/>
      <family val="2"/>
      <charset val="204"/>
    </font>
    <font>
      <b/>
      <sz val="11"/>
      <color rgb="FF00B050"/>
      <name val="Calibri"/>
      <family val="2"/>
      <charset val="204"/>
    </font>
    <font>
      <sz val="11"/>
      <name val="Calibri"/>
      <family val="2"/>
      <charset val="204"/>
      <scheme val="minor"/>
    </font>
    <font>
      <sz val="11"/>
      <color theme="4"/>
      <name val="Calibri"/>
      <family val="2"/>
    </font>
    <font>
      <b/>
      <sz val="11"/>
      <color theme="4"/>
      <name val="Calibri"/>
      <family val="2"/>
    </font>
    <font>
      <b/>
      <sz val="11"/>
      <name val="Calibri"/>
      <family val="2"/>
    </font>
    <font>
      <b/>
      <sz val="11"/>
      <name val="Calibri"/>
      <family val="2"/>
      <scheme val="minor"/>
    </font>
    <font>
      <b/>
      <sz val="11"/>
      <color rgb="FFFF0000"/>
      <name val="Times New Roman"/>
      <family val="1"/>
      <charset val="204"/>
    </font>
    <font>
      <b/>
      <sz val="11"/>
      <name val="Times New Roman"/>
      <family val="1"/>
      <charset val="204"/>
    </font>
    <font>
      <sz val="11"/>
      <color rgb="FFFF0000"/>
      <name val="Times New Roman"/>
      <family val="1"/>
      <charset val="204"/>
    </font>
    <font>
      <sz val="11"/>
      <name val="Times New Roman"/>
      <family val="1"/>
      <charset val="204"/>
    </font>
    <font>
      <sz val="8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color rgb="FF9C6500"/>
      <name val="Calibri"/>
      <family val="2"/>
      <charset val="204"/>
      <scheme val="minor"/>
    </font>
    <font>
      <sz val="11"/>
      <color rgb="FF333333"/>
      <name val="Calibri"/>
      <family val="2"/>
      <charset val="204"/>
    </font>
    <font>
      <b/>
      <i/>
      <sz val="11"/>
      <color theme="1"/>
      <name val="Times New Roman"/>
      <family val="1"/>
      <charset val="204"/>
    </font>
    <font>
      <b/>
      <i/>
      <u/>
      <sz val="11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i/>
      <sz val="10"/>
      <color theme="1"/>
      <name val="Calibri"/>
      <family val="2"/>
      <charset val="204"/>
      <scheme val="minor"/>
    </font>
    <font>
      <b/>
      <i/>
      <u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2"/>
      <color theme="1"/>
      <name val="Times New Roman"/>
      <family val="1"/>
    </font>
    <font>
      <b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sz val="12"/>
      <color theme="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EB9C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CC"/>
      </patternFill>
    </fill>
    <fill>
      <patternFill patternType="solid">
        <fgColor theme="7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C"/>
        <bgColor indexed="64"/>
      </patternFill>
    </fill>
  </fills>
  <borders count="7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 diagonalUp="1" diagonalDown="1">
      <left/>
      <right style="medium">
        <color auto="1"/>
      </right>
      <top style="thin">
        <color auto="1"/>
      </top>
      <bottom style="thin">
        <color auto="1"/>
      </bottom>
      <diagonal style="thin">
        <color auto="1"/>
      </diagonal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auto="1"/>
      </diagonal>
    </border>
    <border diagonalUp="1" diagonalDown="1">
      <left/>
      <right style="medium">
        <color auto="1"/>
      </right>
      <top/>
      <bottom style="thin">
        <color auto="1"/>
      </bottom>
      <diagonal style="thin">
        <color auto="1"/>
      </diagonal>
    </border>
    <border>
      <left/>
      <right style="thick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</borders>
  <cellStyleXfs count="17">
    <xf numFmtId="0" fontId="0" fillId="0" borderId="0"/>
    <xf numFmtId="0" fontId="9" fillId="0" borderId="0"/>
    <xf numFmtId="0" fontId="10" fillId="4" borderId="0" applyNumberFormat="0" applyBorder="0" applyAlignment="0" applyProtection="0"/>
    <xf numFmtId="0" fontId="13" fillId="0" borderId="0"/>
    <xf numFmtId="164" fontId="12" fillId="0" borderId="0" applyFont="0" applyFill="0" applyBorder="0" applyAlignment="0" applyProtection="0"/>
    <xf numFmtId="0" fontId="27" fillId="0" borderId="0"/>
    <xf numFmtId="9" fontId="12" fillId="0" borderId="0" applyFont="0" applyFill="0" applyBorder="0" applyAlignment="0" applyProtection="0"/>
    <xf numFmtId="0" fontId="5" fillId="0" borderId="0"/>
    <xf numFmtId="0" fontId="5" fillId="13" borderId="61" applyNumberFormat="0" applyFont="0" applyAlignment="0" applyProtection="0"/>
    <xf numFmtId="164" fontId="5" fillId="0" borderId="0" applyFont="0" applyFill="0" applyBorder="0" applyAlignment="0" applyProtection="0"/>
    <xf numFmtId="0" fontId="47" fillId="4" borderId="0" applyNumberFormat="0" applyBorder="0" applyAlignment="0" applyProtection="0"/>
    <xf numFmtId="0" fontId="48" fillId="0" borderId="0"/>
    <xf numFmtId="9" fontId="5" fillId="0" borderId="0" applyFont="0" applyFill="0" applyBorder="0" applyAlignment="0" applyProtection="0"/>
    <xf numFmtId="0" fontId="4" fillId="0" borderId="0"/>
    <xf numFmtId="0" fontId="3" fillId="0" borderId="0"/>
    <xf numFmtId="0" fontId="2" fillId="0" borderId="0"/>
    <xf numFmtId="0" fontId="1" fillId="0" borderId="0"/>
  </cellStyleXfs>
  <cellXfs count="760">
    <xf numFmtId="0" fontId="0" fillId="0" borderId="0" xfId="0"/>
    <xf numFmtId="0" fontId="6" fillId="0" borderId="0" xfId="0" applyFont="1"/>
    <xf numFmtId="0" fontId="6" fillId="0" borderId="1" xfId="0" applyFont="1" applyBorder="1"/>
    <xf numFmtId="2" fontId="6" fillId="0" borderId="0" xfId="0" applyNumberFormat="1" applyFont="1"/>
    <xf numFmtId="4" fontId="6" fillId="0" borderId="0" xfId="0" applyNumberFormat="1" applyFont="1"/>
    <xf numFmtId="165" fontId="6" fillId="0" borderId="1" xfId="0" applyNumberFormat="1" applyFont="1" applyBorder="1" applyAlignment="1">
      <alignment horizontal="center"/>
    </xf>
    <xf numFmtId="0" fontId="8" fillId="0" borderId="13" xfId="0" applyFont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0" fontId="6" fillId="7" borderId="11" xfId="0" applyFont="1" applyFill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9" borderId="1" xfId="0" applyFont="1" applyFill="1" applyBorder="1" applyAlignment="1">
      <alignment horizontal="center"/>
    </xf>
    <xf numFmtId="165" fontId="6" fillId="9" borderId="1" xfId="0" applyNumberFormat="1" applyFont="1" applyFill="1" applyBorder="1" applyAlignment="1">
      <alignment horizontal="center"/>
    </xf>
    <xf numFmtId="165" fontId="6" fillId="0" borderId="0" xfId="0" applyNumberFormat="1" applyFont="1"/>
    <xf numFmtId="10" fontId="6" fillId="0" borderId="0" xfId="0" applyNumberFormat="1" applyFont="1"/>
    <xf numFmtId="166" fontId="6" fillId="0" borderId="0" xfId="0" applyNumberFormat="1" applyFont="1"/>
    <xf numFmtId="0" fontId="6" fillId="7" borderId="9" xfId="0" applyFont="1" applyFill="1" applyBorder="1" applyAlignment="1">
      <alignment horizontal="center"/>
    </xf>
    <xf numFmtId="0" fontId="6" fillId="7" borderId="10" xfId="0" applyFont="1" applyFill="1" applyBorder="1" applyAlignment="1">
      <alignment horizontal="center"/>
    </xf>
    <xf numFmtId="3" fontId="6" fillId="7" borderId="1" xfId="0" applyNumberFormat="1" applyFont="1" applyFill="1" applyBorder="1" applyAlignment="1">
      <alignment horizontal="center"/>
    </xf>
    <xf numFmtId="165" fontId="6" fillId="7" borderId="1" xfId="0" applyNumberFormat="1" applyFont="1" applyFill="1" applyBorder="1" applyAlignment="1">
      <alignment horizontal="center"/>
    </xf>
    <xf numFmtId="3" fontId="6" fillId="0" borderId="0" xfId="0" applyNumberFormat="1" applyFont="1"/>
    <xf numFmtId="4" fontId="6" fillId="7" borderId="1" xfId="0" applyNumberFormat="1" applyFont="1" applyFill="1" applyBorder="1" applyAlignment="1">
      <alignment horizontal="center"/>
    </xf>
    <xf numFmtId="0" fontId="11" fillId="0" borderId="0" xfId="0" applyFont="1"/>
    <xf numFmtId="0" fontId="8" fillId="0" borderId="7" xfId="0" applyFont="1" applyBorder="1" applyAlignment="1">
      <alignment horizontal="center"/>
    </xf>
    <xf numFmtId="165" fontId="6" fillId="0" borderId="31" xfId="0" applyNumberFormat="1" applyFont="1" applyBorder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19" xfId="0" applyFont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 wrapText="1"/>
    </xf>
    <xf numFmtId="0" fontId="8" fillId="0" borderId="27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35" xfId="0" applyFont="1" applyBorder="1" applyAlignment="1">
      <alignment horizontal="center" vertical="center" wrapText="1"/>
    </xf>
    <xf numFmtId="4" fontId="6" fillId="0" borderId="8" xfId="0" applyNumberFormat="1" applyFont="1" applyBorder="1" applyAlignment="1">
      <alignment horizontal="right"/>
    </xf>
    <xf numFmtId="0" fontId="8" fillId="0" borderId="8" xfId="0" applyFont="1" applyBorder="1" applyAlignment="1">
      <alignment horizontal="center"/>
    </xf>
    <xf numFmtId="0" fontId="8" fillId="10" borderId="27" xfId="0" applyFont="1" applyFill="1" applyBorder="1" applyAlignment="1">
      <alignment horizontal="center" vertical="center" wrapText="1"/>
    </xf>
    <xf numFmtId="0" fontId="8" fillId="0" borderId="28" xfId="0" applyFont="1" applyBorder="1"/>
    <xf numFmtId="0" fontId="8" fillId="0" borderId="31" xfId="0" applyFont="1" applyBorder="1" applyAlignment="1">
      <alignment horizontal="center"/>
    </xf>
    <xf numFmtId="4" fontId="6" fillId="0" borderId="31" xfId="0" applyNumberFormat="1" applyFont="1" applyBorder="1" applyAlignment="1">
      <alignment horizontal="right"/>
    </xf>
    <xf numFmtId="0" fontId="6" fillId="2" borderId="1" xfId="0" applyFont="1" applyFill="1" applyBorder="1" applyAlignment="1">
      <alignment horizontal="center"/>
    </xf>
    <xf numFmtId="0" fontId="8" fillId="0" borderId="24" xfId="0" applyFont="1" applyBorder="1" applyAlignment="1">
      <alignment horizontal="center" vertical="center" wrapText="1"/>
    </xf>
    <xf numFmtId="0" fontId="8" fillId="0" borderId="25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10" borderId="6" xfId="0" applyFont="1" applyFill="1" applyBorder="1" applyAlignment="1">
      <alignment horizontal="center" vertical="center" wrapText="1"/>
    </xf>
    <xf numFmtId="0" fontId="8" fillId="0" borderId="1" xfId="0" applyFont="1" applyBorder="1"/>
    <xf numFmtId="168" fontId="6" fillId="0" borderId="31" xfId="0" applyNumberFormat="1" applyFont="1" applyBorder="1" applyAlignment="1">
      <alignment horizontal="center" vertical="center"/>
    </xf>
    <xf numFmtId="166" fontId="6" fillId="7" borderId="8" xfId="0" applyNumberFormat="1" applyFont="1" applyFill="1" applyBorder="1" applyAlignment="1">
      <alignment horizontal="center"/>
    </xf>
    <xf numFmtId="165" fontId="7" fillId="7" borderId="1" xfId="0" applyNumberFormat="1" applyFont="1" applyFill="1" applyBorder="1" applyAlignment="1">
      <alignment horizontal="center"/>
    </xf>
    <xf numFmtId="165" fontId="6" fillId="7" borderId="7" xfId="0" applyNumberFormat="1" applyFont="1" applyFill="1" applyBorder="1" applyAlignment="1">
      <alignment horizontal="center"/>
    </xf>
    <xf numFmtId="165" fontId="6" fillId="0" borderId="8" xfId="0" applyNumberFormat="1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166" fontId="11" fillId="7" borderId="8" xfId="0" applyNumberFormat="1" applyFont="1" applyFill="1" applyBorder="1" applyAlignment="1">
      <alignment horizontal="center"/>
    </xf>
    <xf numFmtId="0" fontId="6" fillId="7" borderId="8" xfId="0" applyFont="1" applyFill="1" applyBorder="1"/>
    <xf numFmtId="0" fontId="6" fillId="7" borderId="8" xfId="0" applyFont="1" applyFill="1" applyBorder="1" applyAlignment="1">
      <alignment horizontal="center"/>
    </xf>
    <xf numFmtId="165" fontId="6" fillId="7" borderId="8" xfId="0" applyNumberFormat="1" applyFont="1" applyFill="1" applyBorder="1"/>
    <xf numFmtId="165" fontId="6" fillId="0" borderId="7" xfId="0" applyNumberFormat="1" applyFont="1" applyBorder="1"/>
    <xf numFmtId="16" fontId="6" fillId="5" borderId="46" xfId="0" applyNumberFormat="1" applyFont="1" applyFill="1" applyBorder="1"/>
    <xf numFmtId="0" fontId="6" fillId="0" borderId="47" xfId="0" applyFont="1" applyBorder="1"/>
    <xf numFmtId="0" fontId="6" fillId="0" borderId="16" xfId="0" applyFont="1" applyBorder="1"/>
    <xf numFmtId="0" fontId="6" fillId="0" borderId="49" xfId="0" applyFont="1" applyBorder="1"/>
    <xf numFmtId="0" fontId="6" fillId="0" borderId="50" xfId="0" applyFont="1" applyBorder="1"/>
    <xf numFmtId="10" fontId="6" fillId="0" borderId="49" xfId="0" applyNumberFormat="1" applyFont="1" applyBorder="1"/>
    <xf numFmtId="0" fontId="6" fillId="0" borderId="51" xfId="0" applyFont="1" applyBorder="1"/>
    <xf numFmtId="0" fontId="6" fillId="0" borderId="52" xfId="0" applyFont="1" applyBorder="1" applyAlignment="1">
      <alignment horizontal="right"/>
    </xf>
    <xf numFmtId="4" fontId="6" fillId="0" borderId="52" xfId="0" applyNumberFormat="1" applyFont="1" applyBorder="1"/>
    <xf numFmtId="0" fontId="6" fillId="0" borderId="53" xfId="0" applyFont="1" applyBorder="1"/>
    <xf numFmtId="4" fontId="6" fillId="7" borderId="18" xfId="0" applyNumberFormat="1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165" fontId="6" fillId="2" borderId="1" xfId="0" applyNumberFormat="1" applyFont="1" applyFill="1" applyBorder="1" applyAlignment="1">
      <alignment horizontal="center"/>
    </xf>
    <xf numFmtId="0" fontId="8" fillId="0" borderId="12" xfId="0" applyFont="1" applyBorder="1"/>
    <xf numFmtId="0" fontId="8" fillId="0" borderId="36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/>
    </xf>
    <xf numFmtId="165" fontId="6" fillId="7" borderId="8" xfId="0" applyNumberFormat="1" applyFont="1" applyFill="1" applyBorder="1" applyAlignment="1">
      <alignment horizontal="center"/>
    </xf>
    <xf numFmtId="165" fontId="6" fillId="0" borderId="1" xfId="0" applyNumberFormat="1" applyFont="1" applyBorder="1"/>
    <xf numFmtId="4" fontId="6" fillId="0" borderId="1" xfId="0" applyNumberFormat="1" applyFont="1" applyBorder="1"/>
    <xf numFmtId="0" fontId="14" fillId="0" borderId="1" xfId="0" applyFont="1" applyBorder="1" applyAlignment="1">
      <alignment horizontal="center" wrapText="1"/>
    </xf>
    <xf numFmtId="0" fontId="14" fillId="0" borderId="1" xfId="0" applyFont="1" applyBorder="1"/>
    <xf numFmtId="0" fontId="6" fillId="0" borderId="17" xfId="0" applyFont="1" applyBorder="1" applyAlignment="1">
      <alignment horizontal="center"/>
    </xf>
    <xf numFmtId="165" fontId="6" fillId="7" borderId="17" xfId="0" applyNumberFormat="1" applyFont="1" applyFill="1" applyBorder="1" applyAlignment="1">
      <alignment horizontal="center"/>
    </xf>
    <xf numFmtId="0" fontId="14" fillId="0" borderId="4" xfId="0" applyFont="1" applyBorder="1" applyAlignment="1">
      <alignment horizontal="center" wrapText="1"/>
    </xf>
    <xf numFmtId="0" fontId="6" fillId="2" borderId="0" xfId="0" applyFont="1" applyFill="1"/>
    <xf numFmtId="0" fontId="8" fillId="0" borderId="4" xfId="0" applyFont="1" applyBorder="1" applyAlignment="1">
      <alignment horizontal="center"/>
    </xf>
    <xf numFmtId="165" fontId="6" fillId="7" borderId="20" xfId="0" applyNumberFormat="1" applyFont="1" applyFill="1" applyBorder="1" applyAlignment="1">
      <alignment horizontal="center"/>
    </xf>
    <xf numFmtId="4" fontId="6" fillId="7" borderId="3" xfId="0" applyNumberFormat="1" applyFont="1" applyFill="1" applyBorder="1" applyAlignment="1">
      <alignment horizontal="center"/>
    </xf>
    <xf numFmtId="0" fontId="17" fillId="0" borderId="0" xfId="0" applyFont="1" applyAlignment="1">
      <alignment horizontal="right"/>
    </xf>
    <xf numFmtId="0" fontId="17" fillId="0" borderId="57" xfId="0" applyFont="1" applyBorder="1" applyAlignment="1">
      <alignment horizontal="right"/>
    </xf>
    <xf numFmtId="0" fontId="0" fillId="0" borderId="0" xfId="0" applyAlignment="1">
      <alignment horizontal="right"/>
    </xf>
    <xf numFmtId="0" fontId="18" fillId="0" borderId="0" xfId="0" applyFont="1"/>
    <xf numFmtId="170" fontId="0" fillId="0" borderId="0" xfId="0" applyNumberFormat="1" applyAlignment="1">
      <alignment horizontal="right"/>
    </xf>
    <xf numFmtId="169" fontId="0" fillId="0" borderId="57" xfId="0" applyNumberFormat="1" applyBorder="1" applyAlignment="1">
      <alignment horizontal="right"/>
    </xf>
    <xf numFmtId="10" fontId="0" fillId="0" borderId="0" xfId="0" applyNumberFormat="1" applyAlignment="1">
      <alignment horizontal="right"/>
    </xf>
    <xf numFmtId="0" fontId="17" fillId="0" borderId="0" xfId="0" applyFont="1"/>
    <xf numFmtId="0" fontId="0" fillId="0" borderId="57" xfId="0" applyBorder="1" applyAlignment="1">
      <alignment horizontal="right"/>
    </xf>
    <xf numFmtId="0" fontId="19" fillId="0" borderId="0" xfId="0" applyFont="1"/>
    <xf numFmtId="0" fontId="19" fillId="0" borderId="0" xfId="0" applyFont="1" applyAlignment="1">
      <alignment horizontal="right"/>
    </xf>
    <xf numFmtId="0" fontId="21" fillId="0" borderId="0" xfId="0" applyFont="1" applyAlignment="1">
      <alignment horizontal="right"/>
    </xf>
    <xf numFmtId="49" fontId="19" fillId="0" borderId="0" xfId="0" applyNumberFormat="1" applyFont="1"/>
    <xf numFmtId="169" fontId="19" fillId="0" borderId="0" xfId="0" applyNumberFormat="1" applyFont="1" applyAlignment="1">
      <alignment horizontal="right"/>
    </xf>
    <xf numFmtId="49" fontId="0" fillId="0" borderId="0" xfId="0" applyNumberFormat="1"/>
    <xf numFmtId="169" fontId="0" fillId="0" borderId="0" xfId="0" applyNumberFormat="1" applyAlignment="1">
      <alignment horizontal="right"/>
    </xf>
    <xf numFmtId="169" fontId="17" fillId="0" borderId="57" xfId="0" applyNumberFormat="1" applyFont="1" applyBorder="1" applyAlignment="1">
      <alignment horizontal="right"/>
    </xf>
    <xf numFmtId="0" fontId="0" fillId="0" borderId="57" xfId="0" applyBorder="1"/>
    <xf numFmtId="169" fontId="0" fillId="0" borderId="0" xfId="0" applyNumberFormat="1"/>
    <xf numFmtId="10" fontId="0" fillId="0" borderId="0" xfId="0" applyNumberFormat="1"/>
    <xf numFmtId="0" fontId="22" fillId="0" borderId="0" xfId="0" applyFont="1" applyAlignment="1">
      <alignment horizontal="left" vertical="center" wrapText="1" readingOrder="1"/>
    </xf>
    <xf numFmtId="0" fontId="23" fillId="0" borderId="0" xfId="0" applyFont="1"/>
    <xf numFmtId="170" fontId="24" fillId="0" borderId="0" xfId="0" applyNumberFormat="1" applyFont="1"/>
    <xf numFmtId="169" fontId="19" fillId="0" borderId="0" xfId="0" applyNumberFormat="1" applyFont="1"/>
    <xf numFmtId="169" fontId="20" fillId="0" borderId="57" xfId="0" applyNumberFormat="1" applyFont="1" applyBorder="1"/>
    <xf numFmtId="4" fontId="25" fillId="9" borderId="1" xfId="0" applyNumberFormat="1" applyFont="1" applyFill="1" applyBorder="1" applyAlignment="1" applyProtection="1">
      <alignment horizontal="center"/>
      <protection locked="0"/>
    </xf>
    <xf numFmtId="4" fontId="14" fillId="0" borderId="1" xfId="0" applyNumberFormat="1" applyFont="1" applyBorder="1"/>
    <xf numFmtId="4" fontId="14" fillId="0" borderId="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4" fontId="6" fillId="2" borderId="1" xfId="0" applyNumberFormat="1" applyFont="1" applyFill="1" applyBorder="1" applyAlignment="1">
      <alignment horizontal="center"/>
    </xf>
    <xf numFmtId="166" fontId="7" fillId="0" borderId="0" xfId="0" applyNumberFormat="1" applyFont="1" applyProtection="1">
      <protection locked="0"/>
    </xf>
    <xf numFmtId="0" fontId="7" fillId="0" borderId="0" xfId="0" applyFont="1" applyProtection="1">
      <protection locked="0"/>
    </xf>
    <xf numFmtId="0" fontId="7" fillId="0" borderId="0" xfId="0" applyFont="1" applyAlignment="1" applyProtection="1">
      <alignment vertical="center" wrapText="1"/>
      <protection locked="0"/>
    </xf>
    <xf numFmtId="0" fontId="6" fillId="0" borderId="1" xfId="0" applyFont="1" applyBorder="1" applyAlignment="1">
      <alignment horizontal="center" wrapText="1"/>
    </xf>
    <xf numFmtId="4" fontId="6" fillId="0" borderId="8" xfId="0" applyNumberFormat="1" applyFont="1" applyBorder="1" applyAlignment="1">
      <alignment horizontal="center"/>
    </xf>
    <xf numFmtId="0" fontId="8" fillId="0" borderId="1" xfId="0" applyFont="1" applyBorder="1" applyAlignment="1">
      <alignment horizontal="center" wrapText="1"/>
    </xf>
    <xf numFmtId="165" fontId="25" fillId="9" borderId="1" xfId="0" applyNumberFormat="1" applyFont="1" applyFill="1" applyBorder="1" applyAlignment="1" applyProtection="1">
      <alignment horizontal="center"/>
      <protection locked="0"/>
    </xf>
    <xf numFmtId="171" fontId="6" fillId="0" borderId="0" xfId="0" applyNumberFormat="1" applyFont="1" applyAlignment="1">
      <alignment horizontal="center"/>
    </xf>
    <xf numFmtId="171" fontId="6" fillId="0" borderId="0" xfId="0" applyNumberFormat="1" applyFont="1"/>
    <xf numFmtId="172" fontId="6" fillId="0" borderId="0" xfId="0" applyNumberFormat="1" applyFont="1"/>
    <xf numFmtId="173" fontId="6" fillId="0" borderId="0" xfId="0" applyNumberFormat="1" applyFont="1"/>
    <xf numFmtId="166" fontId="6" fillId="7" borderId="0" xfId="0" applyNumberFormat="1" applyFont="1" applyFill="1"/>
    <xf numFmtId="2" fontId="26" fillId="5" borderId="4" xfId="0" applyNumberFormat="1" applyFont="1" applyFill="1" applyBorder="1" applyAlignment="1" applyProtection="1">
      <alignment horizontal="center"/>
      <protection locked="0"/>
    </xf>
    <xf numFmtId="0" fontId="26" fillId="5" borderId="6" xfId="0" applyFont="1" applyFill="1" applyBorder="1" applyAlignment="1" applyProtection="1">
      <alignment horizontal="center"/>
      <protection locked="0"/>
    </xf>
    <xf numFmtId="0" fontId="26" fillId="5" borderId="4" xfId="0" applyFont="1" applyFill="1" applyBorder="1" applyAlignment="1" applyProtection="1">
      <alignment horizontal="center" wrapText="1"/>
      <protection locked="0"/>
    </xf>
    <xf numFmtId="1" fontId="7" fillId="0" borderId="7" xfId="0" applyNumberFormat="1" applyFont="1" applyBorder="1" applyAlignment="1" applyProtection="1">
      <alignment horizontal="center"/>
      <protection locked="0"/>
    </xf>
    <xf numFmtId="2" fontId="7" fillId="0" borderId="12" xfId="0" applyNumberFormat="1" applyFont="1" applyBorder="1" applyAlignment="1" applyProtection="1">
      <alignment horizontal="left"/>
      <protection locked="0"/>
    </xf>
    <xf numFmtId="2" fontId="7" fillId="0" borderId="36" xfId="0" applyNumberFormat="1" applyFont="1" applyBorder="1" applyAlignment="1" applyProtection="1">
      <alignment horizontal="left"/>
      <protection locked="0"/>
    </xf>
    <xf numFmtId="4" fontId="26" fillId="0" borderId="56" xfId="0" applyNumberFormat="1" applyFont="1" applyBorder="1" applyAlignment="1" applyProtection="1">
      <alignment horizontal="center"/>
      <protection locked="0"/>
    </xf>
    <xf numFmtId="2" fontId="7" fillId="0" borderId="31" xfId="0" applyNumberFormat="1" applyFont="1" applyBorder="1" applyAlignment="1" applyProtection="1">
      <alignment horizontal="left"/>
      <protection locked="0"/>
    </xf>
    <xf numFmtId="4" fontId="26" fillId="0" borderId="54" xfId="0" applyNumberFormat="1" applyFont="1" applyBorder="1" applyAlignment="1" applyProtection="1">
      <alignment horizontal="center"/>
      <protection locked="0"/>
    </xf>
    <xf numFmtId="2" fontId="7" fillId="0" borderId="40" xfId="0" applyNumberFormat="1" applyFont="1" applyBorder="1" applyAlignment="1" applyProtection="1">
      <alignment horizontal="left"/>
      <protection locked="0"/>
    </xf>
    <xf numFmtId="4" fontId="26" fillId="0" borderId="55" xfId="0" applyNumberFormat="1" applyFont="1" applyBorder="1" applyAlignment="1" applyProtection="1">
      <alignment horizontal="center"/>
      <protection locked="0"/>
    </xf>
    <xf numFmtId="2" fontId="7" fillId="0" borderId="9" xfId="0" applyNumberFormat="1" applyFont="1" applyBorder="1" applyAlignment="1" applyProtection="1">
      <alignment horizontal="left"/>
      <protection locked="0"/>
    </xf>
    <xf numFmtId="4" fontId="26" fillId="0" borderId="10" xfId="0" applyNumberFormat="1" applyFont="1" applyBorder="1" applyAlignment="1" applyProtection="1">
      <alignment horizontal="center"/>
      <protection locked="0"/>
    </xf>
    <xf numFmtId="4" fontId="26" fillId="0" borderId="11" xfId="0" applyNumberFormat="1" applyFont="1" applyBorder="1" applyAlignment="1" applyProtection="1">
      <alignment horizontal="center"/>
      <protection locked="0"/>
    </xf>
    <xf numFmtId="4" fontId="7" fillId="0" borderId="0" xfId="0" applyNumberFormat="1" applyFont="1" applyProtection="1">
      <protection locked="0"/>
    </xf>
    <xf numFmtId="2" fontId="28" fillId="3" borderId="15" xfId="0" applyNumberFormat="1" applyFont="1" applyFill="1" applyBorder="1" applyAlignment="1" applyProtection="1">
      <alignment horizontal="center"/>
      <protection locked="0"/>
    </xf>
    <xf numFmtId="165" fontId="7" fillId="7" borderId="8" xfId="0" applyNumberFormat="1" applyFont="1" applyFill="1" applyBorder="1" applyAlignment="1">
      <alignment horizontal="center"/>
    </xf>
    <xf numFmtId="3" fontId="7" fillId="7" borderId="1" xfId="0" applyNumberFormat="1" applyFont="1" applyFill="1" applyBorder="1" applyAlignment="1">
      <alignment horizontal="center"/>
    </xf>
    <xf numFmtId="165" fontId="7" fillId="7" borderId="8" xfId="0" applyNumberFormat="1" applyFont="1" applyFill="1" applyBorder="1" applyAlignment="1" applyProtection="1">
      <alignment horizontal="center"/>
      <protection locked="0"/>
    </xf>
    <xf numFmtId="165" fontId="26" fillId="0" borderId="25" xfId="0" applyNumberFormat="1" applyFont="1" applyBorder="1" applyAlignment="1" applyProtection="1">
      <alignment horizontal="center"/>
      <protection locked="0"/>
    </xf>
    <xf numFmtId="165" fontId="26" fillId="0" borderId="14" xfId="0" applyNumberFormat="1" applyFont="1" applyBorder="1" applyAlignment="1" applyProtection="1">
      <alignment horizontal="center"/>
      <protection locked="0"/>
    </xf>
    <xf numFmtId="1" fontId="7" fillId="0" borderId="0" xfId="0" applyNumberFormat="1" applyFont="1" applyProtection="1">
      <protection locked="0"/>
    </xf>
    <xf numFmtId="1" fontId="7" fillId="0" borderId="0" xfId="0" applyNumberFormat="1" applyFont="1" applyProtection="1">
      <protection hidden="1"/>
    </xf>
    <xf numFmtId="0" fontId="7" fillId="0" borderId="0" xfId="0" applyFont="1" applyAlignment="1" applyProtection="1">
      <alignment vertical="center" wrapText="1"/>
      <protection hidden="1"/>
    </xf>
    <xf numFmtId="0" fontId="7" fillId="0" borderId="0" xfId="0" applyFont="1" applyProtection="1">
      <protection hidden="1"/>
    </xf>
    <xf numFmtId="0" fontId="8" fillId="0" borderId="15" xfId="0" applyFont="1" applyBorder="1" applyAlignment="1">
      <alignment horizontal="center" vertical="center" wrapText="1"/>
    </xf>
    <xf numFmtId="0" fontId="7" fillId="0" borderId="0" xfId="0" applyFont="1"/>
    <xf numFmtId="165" fontId="7" fillId="9" borderId="1" xfId="0" applyNumberFormat="1" applyFont="1" applyFill="1" applyBorder="1" applyAlignment="1">
      <alignment horizontal="center"/>
    </xf>
    <xf numFmtId="165" fontId="7" fillId="0" borderId="0" xfId="0" applyNumberFormat="1" applyFont="1"/>
    <xf numFmtId="165" fontId="6" fillId="2" borderId="0" xfId="0" applyNumberFormat="1" applyFont="1" applyFill="1"/>
    <xf numFmtId="4" fontId="6" fillId="2" borderId="0" xfId="0" applyNumberFormat="1" applyFont="1" applyFill="1"/>
    <xf numFmtId="2" fontId="6" fillId="0" borderId="0" xfId="0" applyNumberFormat="1" applyFont="1" applyAlignment="1">
      <alignment horizontal="center"/>
    </xf>
    <xf numFmtId="166" fontId="6" fillId="7" borderId="17" xfId="0" applyNumberFormat="1" applyFont="1" applyFill="1" applyBorder="1" applyAlignment="1">
      <alignment horizontal="center"/>
    </xf>
    <xf numFmtId="166" fontId="11" fillId="7" borderId="17" xfId="0" applyNumberFormat="1" applyFont="1" applyFill="1" applyBorder="1" applyAlignment="1">
      <alignment horizontal="center"/>
    </xf>
    <xf numFmtId="0" fontId="6" fillId="7" borderId="17" xfId="0" applyFont="1" applyFill="1" applyBorder="1"/>
    <xf numFmtId="0" fontId="6" fillId="7" borderId="17" xfId="0" applyFont="1" applyFill="1" applyBorder="1" applyAlignment="1">
      <alignment horizontal="center"/>
    </xf>
    <xf numFmtId="165" fontId="6" fillId="7" borderId="17" xfId="0" applyNumberFormat="1" applyFont="1" applyFill="1" applyBorder="1"/>
    <xf numFmtId="0" fontId="26" fillId="5" borderId="29" xfId="0" applyFont="1" applyFill="1" applyBorder="1" applyAlignment="1" applyProtection="1">
      <alignment horizontal="center" wrapText="1"/>
      <protection locked="0"/>
    </xf>
    <xf numFmtId="2" fontId="7" fillId="0" borderId="39" xfId="0" applyNumberFormat="1" applyFont="1" applyBorder="1" applyAlignment="1" applyProtection="1">
      <alignment horizontal="right"/>
      <protection locked="0"/>
    </xf>
    <xf numFmtId="2" fontId="7" fillId="0" borderId="14" xfId="0" applyNumberFormat="1" applyFont="1" applyBorder="1" applyAlignment="1" applyProtection="1">
      <alignment horizontal="right"/>
      <protection locked="0"/>
    </xf>
    <xf numFmtId="4" fontId="26" fillId="2" borderId="1" xfId="0" applyNumberFormat="1" applyFont="1" applyFill="1" applyBorder="1" applyAlignment="1" applyProtection="1">
      <alignment horizontal="center"/>
      <protection locked="0"/>
    </xf>
    <xf numFmtId="165" fontId="7" fillId="0" borderId="0" xfId="0" applyNumberFormat="1" applyFont="1" applyProtection="1">
      <protection locked="0"/>
    </xf>
    <xf numFmtId="2" fontId="7" fillId="0" borderId="0" xfId="0" applyNumberFormat="1" applyFont="1" applyProtection="1">
      <protection locked="0"/>
    </xf>
    <xf numFmtId="166" fontId="7" fillId="0" borderId="0" xfId="0" applyNumberFormat="1" applyFont="1" applyProtection="1">
      <protection hidden="1"/>
    </xf>
    <xf numFmtId="166" fontId="7" fillId="0" borderId="0" xfId="0" applyNumberFormat="1" applyFont="1" applyAlignment="1" applyProtection="1">
      <alignment wrapText="1"/>
      <protection hidden="1"/>
    </xf>
    <xf numFmtId="170" fontId="7" fillId="0" borderId="0" xfId="0" applyNumberFormat="1" applyFont="1" applyProtection="1">
      <protection hidden="1"/>
    </xf>
    <xf numFmtId="169" fontId="7" fillId="0" borderId="0" xfId="0" applyNumberFormat="1" applyFont="1" applyProtection="1">
      <protection hidden="1"/>
    </xf>
    <xf numFmtId="4" fontId="6" fillId="2" borderId="1" xfId="0" applyNumberFormat="1" applyFont="1" applyFill="1" applyBorder="1"/>
    <xf numFmtId="0" fontId="26" fillId="0" borderId="1" xfId="0" applyFont="1" applyBorder="1" applyAlignment="1">
      <alignment horizontal="center"/>
    </xf>
    <xf numFmtId="0" fontId="26" fillId="0" borderId="6" xfId="0" applyFont="1" applyBorder="1" applyAlignment="1">
      <alignment horizontal="center"/>
    </xf>
    <xf numFmtId="165" fontId="7" fillId="0" borderId="8" xfId="0" applyNumberFormat="1" applyFont="1" applyBorder="1" applyAlignment="1">
      <alignment horizontal="right"/>
    </xf>
    <xf numFmtId="0" fontId="26" fillId="0" borderId="4" xfId="0" applyFont="1" applyBorder="1" applyAlignment="1">
      <alignment horizontal="center"/>
    </xf>
    <xf numFmtId="167" fontId="26" fillId="7" borderId="8" xfId="0" applyNumberFormat="1" applyFont="1" applyFill="1" applyBorder="1" applyAlignment="1">
      <alignment horizontal="center"/>
    </xf>
    <xf numFmtId="167" fontId="26" fillId="7" borderId="31" xfId="0" applyNumberFormat="1" applyFont="1" applyFill="1" applyBorder="1" applyAlignment="1">
      <alignment horizontal="center"/>
    </xf>
    <xf numFmtId="4" fontId="6" fillId="9" borderId="1" xfId="0" applyNumberFormat="1" applyFont="1" applyFill="1" applyBorder="1" applyAlignment="1">
      <alignment horizontal="center"/>
    </xf>
    <xf numFmtId="166" fontId="6" fillId="9" borderId="1" xfId="0" applyNumberFormat="1" applyFont="1" applyFill="1" applyBorder="1" applyAlignment="1">
      <alignment horizontal="center"/>
    </xf>
    <xf numFmtId="167" fontId="7" fillId="0" borderId="0" xfId="0" applyNumberFormat="1" applyFont="1"/>
    <xf numFmtId="166" fontId="6" fillId="6" borderId="0" xfId="0" applyNumberFormat="1" applyFont="1" applyFill="1"/>
    <xf numFmtId="165" fontId="6" fillId="6" borderId="0" xfId="0" applyNumberFormat="1" applyFont="1" applyFill="1"/>
    <xf numFmtId="0" fontId="15" fillId="0" borderId="0" xfId="0" applyFont="1" applyAlignment="1">
      <alignment horizontal="center"/>
    </xf>
    <xf numFmtId="0" fontId="15" fillId="0" borderId="57" xfId="0" applyFont="1" applyBorder="1" applyAlignment="1">
      <alignment horizontal="center"/>
    </xf>
    <xf numFmtId="0" fontId="20" fillId="0" borderId="0" xfId="0" applyFont="1"/>
    <xf numFmtId="0" fontId="29" fillId="0" borderId="0" xfId="0" applyFont="1"/>
    <xf numFmtId="0" fontId="30" fillId="0" borderId="0" xfId="0" applyFont="1" applyAlignment="1">
      <alignment horizontal="right"/>
    </xf>
    <xf numFmtId="169" fontId="30" fillId="0" borderId="0" xfId="0" applyNumberFormat="1" applyFont="1" applyAlignment="1">
      <alignment horizontal="right"/>
    </xf>
    <xf numFmtId="169" fontId="31" fillId="0" borderId="57" xfId="0" applyNumberFormat="1" applyFont="1" applyBorder="1" applyAlignment="1">
      <alignment horizontal="right"/>
    </xf>
    <xf numFmtId="0" fontId="32" fillId="0" borderId="0" xfId="0" applyFont="1"/>
    <xf numFmtId="0" fontId="32" fillId="0" borderId="0" xfId="0" applyFont="1" applyAlignment="1">
      <alignment horizontal="right"/>
    </xf>
    <xf numFmtId="169" fontId="33" fillId="0" borderId="0" xfId="0" applyNumberFormat="1" applyFont="1" applyAlignment="1">
      <alignment horizontal="right"/>
    </xf>
    <xf numFmtId="169" fontId="34" fillId="0" borderId="57" xfId="0" applyNumberFormat="1" applyFont="1" applyBorder="1" applyAlignment="1">
      <alignment horizontal="right"/>
    </xf>
    <xf numFmtId="10" fontId="32" fillId="0" borderId="0" xfId="0" applyNumberFormat="1" applyFont="1" applyAlignment="1">
      <alignment horizontal="right"/>
    </xf>
    <xf numFmtId="170" fontId="30" fillId="0" borderId="0" xfId="0" applyNumberFormat="1" applyFont="1" applyAlignment="1">
      <alignment horizontal="right"/>
    </xf>
    <xf numFmtId="0" fontId="35" fillId="0" borderId="0" xfId="0" applyFont="1" applyAlignment="1">
      <alignment horizontal="right"/>
    </xf>
    <xf numFmtId="170" fontId="36" fillId="0" borderId="0" xfId="0" applyNumberFormat="1" applyFont="1" applyAlignment="1">
      <alignment horizontal="right"/>
    </xf>
    <xf numFmtId="0" fontId="36" fillId="0" borderId="0" xfId="0" applyFont="1" applyAlignment="1">
      <alignment horizontal="right"/>
    </xf>
    <xf numFmtId="169" fontId="37" fillId="0" borderId="57" xfId="0" applyNumberFormat="1" applyFont="1" applyBorder="1" applyAlignment="1">
      <alignment horizontal="right"/>
    </xf>
    <xf numFmtId="170" fontId="21" fillId="0" borderId="0" xfId="0" applyNumberFormat="1" applyFont="1" applyAlignment="1">
      <alignment horizontal="right"/>
    </xf>
    <xf numFmtId="169" fontId="38" fillId="0" borderId="57" xfId="0" applyNumberFormat="1" applyFont="1" applyBorder="1" applyAlignment="1">
      <alignment horizontal="right"/>
    </xf>
    <xf numFmtId="0" fontId="38" fillId="0" borderId="0" xfId="0" applyFont="1" applyAlignment="1">
      <alignment horizontal="right"/>
    </xf>
    <xf numFmtId="174" fontId="30" fillId="0" borderId="0" xfId="0" applyNumberFormat="1" applyFont="1" applyAlignment="1">
      <alignment horizontal="right"/>
    </xf>
    <xf numFmtId="170" fontId="29" fillId="0" borderId="0" xfId="0" applyNumberFormat="1" applyFont="1" applyAlignment="1">
      <alignment horizontal="right"/>
    </xf>
    <xf numFmtId="169" fontId="29" fillId="0" borderId="0" xfId="0" applyNumberFormat="1" applyFont="1" applyAlignment="1">
      <alignment horizontal="right"/>
    </xf>
    <xf numFmtId="0" fontId="29" fillId="0" borderId="0" xfId="0" applyFont="1" applyAlignment="1">
      <alignment horizontal="right"/>
    </xf>
    <xf numFmtId="174" fontId="19" fillId="0" borderId="0" xfId="0" applyNumberFormat="1" applyFont="1" applyAlignment="1">
      <alignment horizontal="right"/>
    </xf>
    <xf numFmtId="0" fontId="0" fillId="0" borderId="0" xfId="0" applyAlignment="1">
      <alignment horizontal="center" vertical="center"/>
    </xf>
    <xf numFmtId="169" fontId="31" fillId="0" borderId="0" xfId="0" applyNumberFormat="1" applyFont="1"/>
    <xf numFmtId="169" fontId="31" fillId="0" borderId="57" xfId="0" applyNumberFormat="1" applyFont="1" applyBorder="1"/>
    <xf numFmtId="169" fontId="29" fillId="0" borderId="0" xfId="0" applyNumberFormat="1" applyFont="1"/>
    <xf numFmtId="170" fontId="19" fillId="0" borderId="0" xfId="0" applyNumberFormat="1" applyFont="1"/>
    <xf numFmtId="170" fontId="21" fillId="0" borderId="57" xfId="0" applyNumberFormat="1" applyFont="1" applyBorder="1"/>
    <xf numFmtId="170" fontId="21" fillId="0" borderId="0" xfId="0" applyNumberFormat="1" applyFont="1"/>
    <xf numFmtId="169" fontId="30" fillId="0" borderId="0" xfId="0" applyNumberFormat="1" applyFont="1"/>
    <xf numFmtId="0" fontId="30" fillId="0" borderId="0" xfId="0" applyFont="1"/>
    <xf numFmtId="170" fontId="30" fillId="0" borderId="0" xfId="0" applyNumberFormat="1" applyFont="1"/>
    <xf numFmtId="0" fontId="35" fillId="0" borderId="0" xfId="0" applyFont="1"/>
    <xf numFmtId="0" fontId="8" fillId="0" borderId="23" xfId="0" applyFont="1" applyBorder="1" applyAlignment="1">
      <alignment horizontal="center" vertical="center" wrapText="1"/>
    </xf>
    <xf numFmtId="165" fontId="6" fillId="2" borderId="7" xfId="0" applyNumberFormat="1" applyFont="1" applyFill="1" applyBorder="1"/>
    <xf numFmtId="0" fontId="6" fillId="0" borderId="0" xfId="0" applyFont="1" applyAlignment="1">
      <alignment wrapText="1"/>
    </xf>
    <xf numFmtId="0" fontId="6" fillId="2" borderId="7" xfId="0" applyFont="1" applyFill="1" applyBorder="1" applyAlignment="1">
      <alignment horizontal="center" wrapText="1"/>
    </xf>
    <xf numFmtId="0" fontId="6" fillId="2" borderId="1" xfId="0" applyFont="1" applyFill="1" applyBorder="1" applyAlignment="1">
      <alignment wrapText="1"/>
    </xf>
    <xf numFmtId="0" fontId="6" fillId="2" borderId="1" xfId="0" applyFont="1" applyFill="1" applyBorder="1" applyAlignment="1">
      <alignment horizontal="center" wrapText="1"/>
    </xf>
    <xf numFmtId="0" fontId="7" fillId="2" borderId="1" xfId="0" applyFont="1" applyFill="1" applyBorder="1" applyAlignment="1">
      <alignment horizontal="center" wrapText="1"/>
    </xf>
    <xf numFmtId="0" fontId="6" fillId="2" borderId="8" xfId="0" applyFont="1" applyFill="1" applyBorder="1" applyAlignment="1">
      <alignment horizontal="center" wrapText="1"/>
    </xf>
    <xf numFmtId="171" fontId="6" fillId="0" borderId="0" xfId="0" applyNumberFormat="1" applyFont="1" applyAlignment="1">
      <alignment horizontal="center" wrapText="1"/>
    </xf>
    <xf numFmtId="175" fontId="6" fillId="0" borderId="0" xfId="0" applyNumberFormat="1" applyFont="1"/>
    <xf numFmtId="175" fontId="6" fillId="0" borderId="0" xfId="0" applyNumberFormat="1" applyFont="1" applyAlignment="1">
      <alignment wrapText="1"/>
    </xf>
    <xf numFmtId="166" fontId="6" fillId="6" borderId="0" xfId="0" applyNumberFormat="1" applyFont="1" applyFill="1" applyAlignment="1">
      <alignment horizontal="center"/>
    </xf>
    <xf numFmtId="0" fontId="7" fillId="2" borderId="0" xfId="0" applyFont="1" applyFill="1"/>
    <xf numFmtId="168" fontId="7" fillId="0" borderId="31" xfId="0" applyNumberFormat="1" applyFont="1" applyBorder="1" applyAlignment="1">
      <alignment horizontal="center" vertical="center"/>
    </xf>
    <xf numFmtId="164" fontId="40" fillId="0" borderId="0" xfId="4" applyFont="1" applyProtection="1">
      <protection locked="0"/>
    </xf>
    <xf numFmtId="165" fontId="40" fillId="0" borderId="0" xfId="0" applyNumberFormat="1" applyFont="1"/>
    <xf numFmtId="2" fontId="41" fillId="0" borderId="1" xfId="0" applyNumberFormat="1" applyFont="1" applyBorder="1"/>
    <xf numFmtId="0" fontId="14" fillId="0" borderId="35" xfId="0" applyFont="1" applyBorder="1" applyAlignment="1">
      <alignment horizontal="center"/>
    </xf>
    <xf numFmtId="0" fontId="6" fillId="0" borderId="17" xfId="0" applyFont="1" applyBorder="1" applyAlignment="1">
      <alignment horizontal="center" wrapText="1"/>
    </xf>
    <xf numFmtId="0" fontId="7" fillId="9" borderId="1" xfId="0" applyFont="1" applyFill="1" applyBorder="1" applyAlignment="1">
      <alignment horizontal="center"/>
    </xf>
    <xf numFmtId="4" fontId="7" fillId="9" borderId="1" xfId="0" applyNumberFormat="1" applyFont="1" applyFill="1" applyBorder="1" applyAlignment="1">
      <alignment horizontal="center"/>
    </xf>
    <xf numFmtId="165" fontId="7" fillId="0" borderId="1" xfId="0" applyNumberFormat="1" applyFont="1" applyBorder="1" applyAlignment="1">
      <alignment horizontal="center"/>
    </xf>
    <xf numFmtId="4" fontId="7" fillId="0" borderId="0" xfId="0" applyNumberFormat="1" applyFont="1"/>
    <xf numFmtId="10" fontId="7" fillId="0" borderId="0" xfId="0" applyNumberFormat="1" applyFont="1"/>
    <xf numFmtId="2" fontId="7" fillId="3" borderId="13" xfId="0" applyNumberFormat="1" applyFont="1" applyFill="1" applyBorder="1" applyAlignment="1" applyProtection="1">
      <alignment horizontal="center" wrapText="1"/>
      <protection locked="0"/>
    </xf>
    <xf numFmtId="0" fontId="14" fillId="0" borderId="18" xfId="0" applyFont="1" applyBorder="1" applyAlignment="1">
      <alignment horizontal="center"/>
    </xf>
    <xf numFmtId="4" fontId="42" fillId="9" borderId="1" xfId="0" applyNumberFormat="1" applyFont="1" applyFill="1" applyBorder="1" applyAlignment="1" applyProtection="1">
      <alignment horizontal="center"/>
      <protection locked="0"/>
    </xf>
    <xf numFmtId="4" fontId="6" fillId="0" borderId="17" xfId="0" applyNumberFormat="1" applyFont="1" applyBorder="1" applyAlignment="1">
      <alignment horizontal="center"/>
    </xf>
    <xf numFmtId="4" fontId="6" fillId="0" borderId="0" xfId="0" applyNumberFormat="1" applyFont="1" applyAlignment="1">
      <alignment horizontal="center"/>
    </xf>
    <xf numFmtId="0" fontId="8" fillId="0" borderId="2" xfId="0" applyFont="1" applyBorder="1" applyAlignment="1">
      <alignment horizontal="center"/>
    </xf>
    <xf numFmtId="0" fontId="7" fillId="7" borderId="10" xfId="0" applyFont="1" applyFill="1" applyBorder="1" applyAlignment="1">
      <alignment horizontal="center"/>
    </xf>
    <xf numFmtId="4" fontId="43" fillId="9" borderId="1" xfId="0" applyNumberFormat="1" applyFont="1" applyFill="1" applyBorder="1" applyAlignment="1" applyProtection="1">
      <alignment horizontal="center"/>
      <protection locked="0"/>
    </xf>
    <xf numFmtId="173" fontId="6" fillId="6" borderId="0" xfId="0" applyNumberFormat="1" applyFont="1" applyFill="1" applyAlignment="1">
      <alignment horizontal="center"/>
    </xf>
    <xf numFmtId="172" fontId="6" fillId="6" borderId="0" xfId="0" applyNumberFormat="1" applyFont="1" applyFill="1"/>
    <xf numFmtId="171" fontId="6" fillId="6" borderId="0" xfId="0" applyNumberFormat="1" applyFont="1" applyFill="1"/>
    <xf numFmtId="176" fontId="6" fillId="0" borderId="0" xfId="0" applyNumberFormat="1" applyFont="1"/>
    <xf numFmtId="176" fontId="6" fillId="0" borderId="0" xfId="0" applyNumberFormat="1" applyFont="1" applyAlignment="1">
      <alignment wrapText="1"/>
    </xf>
    <xf numFmtId="0" fontId="8" fillId="5" borderId="5" xfId="0" applyFont="1" applyFill="1" applyBorder="1" applyAlignment="1">
      <alignment horizontal="center" vertical="center" wrapText="1"/>
    </xf>
    <xf numFmtId="4" fontId="25" fillId="7" borderId="1" xfId="0" applyNumberFormat="1" applyFont="1" applyFill="1" applyBorder="1" applyAlignment="1" applyProtection="1">
      <alignment horizontal="center"/>
      <protection locked="0"/>
    </xf>
    <xf numFmtId="0" fontId="7" fillId="0" borderId="20" xfId="0" applyFont="1" applyBorder="1"/>
    <xf numFmtId="0" fontId="7" fillId="0" borderId="17" xfId="0" applyFont="1" applyBorder="1"/>
    <xf numFmtId="0" fontId="7" fillId="0" borderId="7" xfId="0" applyFont="1" applyBorder="1" applyAlignment="1">
      <alignment horizontal="center"/>
    </xf>
    <xf numFmtId="0" fontId="7" fillId="2" borderId="1" xfId="0" applyFont="1" applyFill="1" applyBorder="1" applyAlignment="1">
      <alignment horizontal="center" vertical="center"/>
    </xf>
    <xf numFmtId="4" fontId="7" fillId="2" borderId="8" xfId="0" applyNumberFormat="1" applyFont="1" applyFill="1" applyBorder="1" applyAlignment="1">
      <alignment horizontal="center"/>
    </xf>
    <xf numFmtId="4" fontId="7" fillId="0" borderId="38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/>
    </xf>
    <xf numFmtId="170" fontId="0" fillId="0" borderId="0" xfId="0" applyNumberFormat="1"/>
    <xf numFmtId="170" fontId="35" fillId="0" borderId="0" xfId="0" applyNumberFormat="1" applyFont="1"/>
    <xf numFmtId="168" fontId="7" fillId="0" borderId="0" xfId="0" applyNumberFormat="1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24" xfId="0" applyFont="1" applyBorder="1" applyAlignment="1">
      <alignment horizontal="center" vertical="center" wrapText="1"/>
    </xf>
    <xf numFmtId="0" fontId="26" fillId="2" borderId="25" xfId="0" applyFont="1" applyFill="1" applyBorder="1" applyAlignment="1">
      <alignment horizontal="center" vertical="center" wrapText="1"/>
    </xf>
    <xf numFmtId="0" fontId="7" fillId="0" borderId="35" xfId="0" applyFont="1" applyBorder="1"/>
    <xf numFmtId="168" fontId="7" fillId="0" borderId="28" xfId="0" applyNumberFormat="1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2" borderId="5" xfId="0" applyFont="1" applyFill="1" applyBorder="1" applyAlignment="1">
      <alignment horizontal="center" vertical="center"/>
    </xf>
    <xf numFmtId="4" fontId="7" fillId="0" borderId="6" xfId="0" applyNumberFormat="1" applyFont="1" applyBorder="1" applyAlignment="1">
      <alignment horizontal="center"/>
    </xf>
    <xf numFmtId="4" fontId="7" fillId="0" borderId="37" xfId="0" applyNumberFormat="1" applyFont="1" applyBorder="1" applyAlignment="1">
      <alignment horizontal="center" vertical="center"/>
    </xf>
    <xf numFmtId="168" fontId="7" fillId="2" borderId="40" xfId="0" applyNumberFormat="1" applyFont="1" applyFill="1" applyBorder="1" applyAlignment="1">
      <alignment horizontal="center"/>
    </xf>
    <xf numFmtId="0" fontId="7" fillId="2" borderId="21" xfId="0" applyFont="1" applyFill="1" applyBorder="1" applyAlignment="1">
      <alignment horizontal="center"/>
    </xf>
    <xf numFmtId="4" fontId="7" fillId="2" borderId="41" xfId="0" applyNumberFormat="1" applyFont="1" applyFill="1" applyBorder="1" applyAlignment="1">
      <alignment horizontal="center"/>
    </xf>
    <xf numFmtId="4" fontId="7" fillId="2" borderId="42" xfId="0" applyNumberFormat="1" applyFont="1" applyFill="1" applyBorder="1" applyAlignment="1">
      <alignment horizontal="center" vertical="center"/>
    </xf>
    <xf numFmtId="0" fontId="7" fillId="2" borderId="1" xfId="0" applyFont="1" applyFill="1" applyBorder="1"/>
    <xf numFmtId="0" fontId="7" fillId="2" borderId="17" xfId="0" applyFont="1" applyFill="1" applyBorder="1"/>
    <xf numFmtId="0" fontId="7" fillId="2" borderId="22" xfId="0" applyFont="1" applyFill="1" applyBorder="1" applyAlignment="1">
      <alignment horizontal="center" vertical="center"/>
    </xf>
    <xf numFmtId="0" fontId="7" fillId="0" borderId="1" xfId="0" applyFont="1" applyBorder="1"/>
    <xf numFmtId="168" fontId="7" fillId="0" borderId="32" xfId="0" applyNumberFormat="1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2" borderId="10" xfId="0" applyFont="1" applyFill="1" applyBorder="1" applyAlignment="1">
      <alignment horizontal="center" vertical="center"/>
    </xf>
    <xf numFmtId="4" fontId="7" fillId="0" borderId="11" xfId="0" applyNumberFormat="1" applyFont="1" applyBorder="1" applyAlignment="1">
      <alignment horizontal="center"/>
    </xf>
    <xf numFmtId="4" fontId="7" fillId="0" borderId="44" xfId="0" applyNumberFormat="1" applyFont="1" applyBorder="1" applyAlignment="1">
      <alignment horizontal="center" vertical="center"/>
    </xf>
    <xf numFmtId="168" fontId="26" fillId="0" borderId="12" xfId="0" applyNumberFormat="1" applyFont="1" applyBorder="1" applyAlignment="1">
      <alignment horizontal="center" vertical="center"/>
    </xf>
    <xf numFmtId="0" fontId="7" fillId="0" borderId="24" xfId="0" applyFont="1" applyBorder="1" applyAlignment="1">
      <alignment horizontal="center"/>
    </xf>
    <xf numFmtId="0" fontId="26" fillId="2" borderId="25" xfId="0" applyFont="1" applyFill="1" applyBorder="1" applyAlignment="1">
      <alignment horizontal="center" vertical="center"/>
    </xf>
    <xf numFmtId="4" fontId="26" fillId="0" borderId="15" xfId="0" applyNumberFormat="1" applyFont="1" applyBorder="1" applyAlignment="1">
      <alignment horizontal="center"/>
    </xf>
    <xf numFmtId="4" fontId="26" fillId="0" borderId="26" xfId="0" applyNumberFormat="1" applyFont="1" applyBorder="1"/>
    <xf numFmtId="0" fontId="7" fillId="8" borderId="36" xfId="0" applyFont="1" applyFill="1" applyBorder="1"/>
    <xf numFmtId="168" fontId="7" fillId="8" borderId="36" xfId="0" applyNumberFormat="1" applyFont="1" applyFill="1" applyBorder="1" applyAlignment="1">
      <alignment horizontal="center"/>
    </xf>
    <xf numFmtId="0" fontId="7" fillId="8" borderId="19" xfId="0" applyFont="1" applyFill="1" applyBorder="1" applyAlignment="1">
      <alignment horizontal="center"/>
    </xf>
    <xf numFmtId="3" fontId="7" fillId="8" borderId="27" xfId="0" applyNumberFormat="1" applyFont="1" applyFill="1" applyBorder="1" applyAlignment="1">
      <alignment horizontal="center"/>
    </xf>
    <xf numFmtId="4" fontId="7" fillId="8" borderId="45" xfId="0" applyNumberFormat="1" applyFont="1" applyFill="1" applyBorder="1"/>
    <xf numFmtId="0" fontId="7" fillId="2" borderId="35" xfId="0" applyFont="1" applyFill="1" applyBorder="1"/>
    <xf numFmtId="168" fontId="7" fillId="0" borderId="31" xfId="0" applyNumberFormat="1" applyFont="1" applyBorder="1" applyAlignment="1">
      <alignment horizontal="center"/>
    </xf>
    <xf numFmtId="168" fontId="7" fillId="0" borderId="40" xfId="0" applyNumberFormat="1" applyFont="1" applyBorder="1" applyAlignment="1">
      <alignment horizontal="center"/>
    </xf>
    <xf numFmtId="0" fontId="7" fillId="0" borderId="21" xfId="0" applyFont="1" applyBorder="1" applyAlignment="1">
      <alignment horizontal="center"/>
    </xf>
    <xf numFmtId="4" fontId="7" fillId="0" borderId="41" xfId="0" applyNumberFormat="1" applyFont="1" applyBorder="1" applyAlignment="1">
      <alignment horizontal="center"/>
    </xf>
    <xf numFmtId="4" fontId="7" fillId="0" borderId="42" xfId="0" applyNumberFormat="1" applyFont="1" applyBorder="1" applyAlignment="1">
      <alignment horizontal="center" vertical="center"/>
    </xf>
    <xf numFmtId="0" fontId="7" fillId="2" borderId="7" xfId="0" applyFont="1" applyFill="1" applyBorder="1" applyAlignment="1">
      <alignment horizontal="center"/>
    </xf>
    <xf numFmtId="4" fontId="7" fillId="2" borderId="11" xfId="0" applyNumberFormat="1" applyFont="1" applyFill="1" applyBorder="1" applyAlignment="1">
      <alignment horizontal="center"/>
    </xf>
    <xf numFmtId="168" fontId="41" fillId="2" borderId="31" xfId="0" applyNumberFormat="1" applyFont="1" applyFill="1" applyBorder="1" applyAlignment="1">
      <alignment horizontal="center" vertical="center"/>
    </xf>
    <xf numFmtId="0" fontId="43" fillId="2" borderId="7" xfId="0" applyFont="1" applyFill="1" applyBorder="1" applyAlignment="1">
      <alignment horizontal="center"/>
    </xf>
    <xf numFmtId="0" fontId="43" fillId="2" borderId="1" xfId="0" applyFont="1" applyFill="1" applyBorder="1" applyAlignment="1">
      <alignment horizontal="center" vertical="center"/>
    </xf>
    <xf numFmtId="4" fontId="43" fillId="2" borderId="8" xfId="0" applyNumberFormat="1" applyFont="1" applyFill="1" applyBorder="1" applyAlignment="1">
      <alignment horizontal="center"/>
    </xf>
    <xf numFmtId="0" fontId="41" fillId="2" borderId="0" xfId="0" applyFont="1" applyFill="1"/>
    <xf numFmtId="0" fontId="41" fillId="0" borderId="1" xfId="0" applyFont="1" applyBorder="1"/>
    <xf numFmtId="0" fontId="7" fillId="0" borderId="1" xfId="0" applyFont="1" applyBorder="1" applyAlignment="1">
      <alignment horizontal="center" vertical="center"/>
    </xf>
    <xf numFmtId="4" fontId="7" fillId="2" borderId="6" xfId="0" applyNumberFormat="1" applyFont="1" applyFill="1" applyBorder="1" applyAlignment="1">
      <alignment horizontal="center"/>
    </xf>
    <xf numFmtId="4" fontId="7" fillId="0" borderId="8" xfId="0" applyNumberFormat="1" applyFont="1" applyBorder="1" applyAlignment="1">
      <alignment horizontal="center"/>
    </xf>
    <xf numFmtId="0" fontId="7" fillId="0" borderId="22" xfId="0" applyFont="1" applyBorder="1" applyAlignment="1">
      <alignment horizontal="center" vertical="center"/>
    </xf>
    <xf numFmtId="0" fontId="43" fillId="0" borderId="7" xfId="0" applyFont="1" applyBorder="1" applyAlignment="1">
      <alignment horizontal="center"/>
    </xf>
    <xf numFmtId="0" fontId="43" fillId="0" borderId="1" xfId="0" applyFont="1" applyBorder="1" applyAlignment="1">
      <alignment horizontal="center" vertical="center"/>
    </xf>
    <xf numFmtId="4" fontId="43" fillId="0" borderId="8" xfId="0" applyNumberFormat="1" applyFont="1" applyBorder="1" applyAlignment="1">
      <alignment horizontal="center"/>
    </xf>
    <xf numFmtId="168" fontId="7" fillId="0" borderId="40" xfId="0" applyNumberFormat="1" applyFont="1" applyBorder="1" applyAlignment="1">
      <alignment horizontal="center" vertical="center"/>
    </xf>
    <xf numFmtId="4" fontId="7" fillId="2" borderId="43" xfId="0" applyNumberFormat="1" applyFont="1" applyFill="1" applyBorder="1" applyAlignment="1">
      <alignment horizontal="center"/>
    </xf>
    <xf numFmtId="0" fontId="7" fillId="6" borderId="0" xfId="0" applyFont="1" applyFill="1" applyProtection="1">
      <protection locked="0"/>
    </xf>
    <xf numFmtId="0" fontId="8" fillId="0" borderId="1" xfId="0" applyFont="1" applyBorder="1" applyAlignment="1">
      <alignment horizontal="center" vertical="center" wrapText="1"/>
    </xf>
    <xf numFmtId="168" fontId="6" fillId="0" borderId="1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 wrapText="1"/>
    </xf>
    <xf numFmtId="4" fontId="14" fillId="0" borderId="1" xfId="0" applyNumberFormat="1" applyFont="1" applyBorder="1" applyAlignment="1">
      <alignment horizontal="center" vertical="center" wrapText="1"/>
    </xf>
    <xf numFmtId="4" fontId="6" fillId="9" borderId="1" xfId="0" applyNumberFormat="1" applyFont="1" applyFill="1" applyBorder="1"/>
    <xf numFmtId="165" fontId="6" fillId="0" borderId="7" xfId="0" applyNumberFormat="1" applyFont="1" applyBorder="1" applyAlignment="1" applyProtection="1">
      <alignment horizontal="center"/>
      <protection hidden="1"/>
    </xf>
    <xf numFmtId="165" fontId="6" fillId="0" borderId="1" xfId="0" applyNumberFormat="1" applyFont="1" applyBorder="1" applyAlignment="1" applyProtection="1">
      <alignment horizontal="center"/>
      <protection hidden="1"/>
    </xf>
    <xf numFmtId="165" fontId="6" fillId="0" borderId="17" xfId="0" applyNumberFormat="1" applyFont="1" applyBorder="1" applyAlignment="1" applyProtection="1">
      <alignment horizontal="center"/>
      <protection hidden="1"/>
    </xf>
    <xf numFmtId="165" fontId="6" fillId="0" borderId="8" xfId="0" applyNumberFormat="1" applyFont="1" applyBorder="1" applyAlignment="1" applyProtection="1">
      <alignment horizontal="center"/>
      <protection hidden="1"/>
    </xf>
    <xf numFmtId="165" fontId="6" fillId="0" borderId="18" xfId="0" applyNumberFormat="1" applyFont="1" applyBorder="1" applyAlignment="1" applyProtection="1">
      <alignment horizontal="center"/>
      <protection hidden="1"/>
    </xf>
    <xf numFmtId="165" fontId="8" fillId="0" borderId="24" xfId="0" applyNumberFormat="1" applyFont="1" applyBorder="1" applyAlignment="1" applyProtection="1">
      <alignment horizontal="center"/>
      <protection hidden="1"/>
    </xf>
    <xf numFmtId="165" fontId="8" fillId="0" borderId="25" xfId="0" applyNumberFormat="1" applyFont="1" applyBorder="1" applyAlignment="1" applyProtection="1">
      <alignment horizontal="center"/>
      <protection hidden="1"/>
    </xf>
    <xf numFmtId="165" fontId="8" fillId="0" borderId="15" xfId="0" applyNumberFormat="1" applyFont="1" applyBorder="1" applyAlignment="1" applyProtection="1">
      <alignment horizontal="center"/>
      <protection hidden="1"/>
    </xf>
    <xf numFmtId="165" fontId="8" fillId="0" borderId="23" xfId="0" applyNumberFormat="1" applyFont="1" applyBorder="1" applyAlignment="1" applyProtection="1">
      <alignment horizontal="center"/>
      <protection hidden="1"/>
    </xf>
    <xf numFmtId="165" fontId="6" fillId="0" borderId="19" xfId="0" applyNumberFormat="1" applyFont="1" applyBorder="1" applyAlignment="1" applyProtection="1">
      <alignment horizontal="center"/>
      <protection hidden="1"/>
    </xf>
    <xf numFmtId="165" fontId="6" fillId="0" borderId="35" xfId="0" applyNumberFormat="1" applyFont="1" applyBorder="1" applyAlignment="1" applyProtection="1">
      <alignment horizontal="center"/>
      <protection hidden="1"/>
    </xf>
    <xf numFmtId="165" fontId="6" fillId="0" borderId="45" xfId="0" applyNumberFormat="1" applyFont="1" applyBorder="1" applyAlignment="1" applyProtection="1">
      <alignment horizontal="center"/>
      <protection hidden="1"/>
    </xf>
    <xf numFmtId="4" fontId="6" fillId="2" borderId="7" xfId="0" applyNumberFormat="1" applyFont="1" applyFill="1" applyBorder="1" applyAlignment="1" applyProtection="1">
      <alignment horizontal="center"/>
      <protection hidden="1"/>
    </xf>
    <xf numFmtId="4" fontId="6" fillId="2" borderId="1" xfId="0" applyNumberFormat="1" applyFont="1" applyFill="1" applyBorder="1" applyAlignment="1" applyProtection="1">
      <alignment horizontal="center"/>
      <protection hidden="1"/>
    </xf>
    <xf numFmtId="4" fontId="6" fillId="10" borderId="8" xfId="0" applyNumberFormat="1" applyFont="1" applyFill="1" applyBorder="1" applyAlignment="1" applyProtection="1">
      <alignment horizontal="center"/>
      <protection hidden="1"/>
    </xf>
    <xf numFmtId="4" fontId="6" fillId="2" borderId="17" xfId="0" applyNumberFormat="1" applyFont="1" applyFill="1" applyBorder="1" applyAlignment="1" applyProtection="1">
      <alignment horizontal="center"/>
      <protection hidden="1"/>
    </xf>
    <xf numFmtId="4" fontId="6" fillId="10" borderId="8" xfId="0" applyNumberFormat="1" applyFont="1" applyFill="1" applyBorder="1" applyProtection="1">
      <protection hidden="1"/>
    </xf>
    <xf numFmtId="4" fontId="14" fillId="0" borderId="24" xfId="0" applyNumberFormat="1" applyFont="1" applyBorder="1" applyAlignment="1" applyProtection="1">
      <alignment horizontal="center"/>
      <protection hidden="1"/>
    </xf>
    <xf numFmtId="4" fontId="14" fillId="10" borderId="15" xfId="0" applyNumberFormat="1" applyFont="1" applyFill="1" applyBorder="1" applyAlignment="1" applyProtection="1">
      <alignment horizontal="center"/>
      <protection hidden="1"/>
    </xf>
    <xf numFmtId="4" fontId="14" fillId="0" borderId="23" xfId="0" applyNumberFormat="1" applyFont="1" applyBorder="1" applyAlignment="1" applyProtection="1">
      <alignment horizontal="center"/>
      <protection hidden="1"/>
    </xf>
    <xf numFmtId="4" fontId="6" fillId="0" borderId="1" xfId="0" applyNumberFormat="1" applyFont="1" applyBorder="1" applyProtection="1">
      <protection hidden="1"/>
    </xf>
    <xf numFmtId="4" fontId="6" fillId="2" borderId="1" xfId="0" applyNumberFormat="1" applyFont="1" applyFill="1" applyBorder="1" applyProtection="1">
      <protection hidden="1"/>
    </xf>
    <xf numFmtId="165" fontId="6" fillId="0" borderId="1" xfId="0" applyNumberFormat="1" applyFont="1" applyBorder="1" applyProtection="1">
      <protection hidden="1"/>
    </xf>
    <xf numFmtId="165" fontId="7" fillId="7" borderId="8" xfId="0" applyNumberFormat="1" applyFont="1" applyFill="1" applyBorder="1" applyAlignment="1" applyProtection="1">
      <alignment horizontal="center"/>
      <protection locked="0" hidden="1"/>
    </xf>
    <xf numFmtId="3" fontId="6" fillId="9" borderId="1" xfId="0" applyNumberFormat="1" applyFont="1" applyFill="1" applyBorder="1"/>
    <xf numFmtId="3" fontId="14" fillId="0" borderId="1" xfId="0" applyNumberFormat="1" applyFont="1" applyBorder="1"/>
    <xf numFmtId="3" fontId="6" fillId="0" borderId="1" xfId="0" applyNumberFormat="1" applyFont="1" applyBorder="1" applyProtection="1">
      <protection hidden="1"/>
    </xf>
    <xf numFmtId="10" fontId="7" fillId="0" borderId="0" xfId="6" applyNumberFormat="1" applyFont="1" applyProtection="1">
      <protection locked="0"/>
    </xf>
    <xf numFmtId="177" fontId="6" fillId="0" borderId="0" xfId="0" applyNumberFormat="1" applyFont="1"/>
    <xf numFmtId="170" fontId="7" fillId="0" borderId="7" xfId="0" applyNumberFormat="1" applyFont="1" applyBorder="1" applyAlignment="1" applyProtection="1">
      <alignment horizontal="right"/>
      <protection locked="0" hidden="1"/>
    </xf>
    <xf numFmtId="170" fontId="28" fillId="3" borderId="15" xfId="0" applyNumberFormat="1" applyFont="1" applyFill="1" applyBorder="1" applyAlignment="1" applyProtection="1">
      <alignment horizontal="center"/>
      <protection locked="0"/>
    </xf>
    <xf numFmtId="170" fontId="28" fillId="6" borderId="15" xfId="0" applyNumberFormat="1" applyFont="1" applyFill="1" applyBorder="1" applyAlignment="1" applyProtection="1">
      <alignment horizontal="center"/>
      <protection locked="0"/>
    </xf>
    <xf numFmtId="0" fontId="8" fillId="0" borderId="6" xfId="0" applyFont="1" applyBorder="1" applyAlignment="1">
      <alignment horizontal="center"/>
    </xf>
    <xf numFmtId="0" fontId="14" fillId="0" borderId="0" xfId="0" applyFont="1"/>
    <xf numFmtId="4" fontId="14" fillId="0" borderId="0" xfId="0" applyNumberFormat="1" applyFont="1"/>
    <xf numFmtId="168" fontId="26" fillId="2" borderId="31" xfId="0" applyNumberFormat="1" applyFont="1" applyFill="1" applyBorder="1" applyAlignment="1">
      <alignment horizontal="center" vertical="center"/>
    </xf>
    <xf numFmtId="0" fontId="26" fillId="2" borderId="0" xfId="0" applyFont="1" applyFill="1"/>
    <xf numFmtId="0" fontId="26" fillId="0" borderId="1" xfId="0" applyFont="1" applyBorder="1"/>
    <xf numFmtId="0" fontId="46" fillId="2" borderId="22" xfId="0" applyFont="1" applyFill="1" applyBorder="1" applyAlignment="1">
      <alignment horizontal="center"/>
    </xf>
    <xf numFmtId="2" fontId="46" fillId="2" borderId="22" xfId="0" applyNumberFormat="1" applyFont="1" applyFill="1" applyBorder="1" applyAlignment="1">
      <alignment horizontal="center"/>
    </xf>
    <xf numFmtId="165" fontId="14" fillId="0" borderId="0" xfId="0" applyNumberFormat="1" applyFont="1"/>
    <xf numFmtId="4" fontId="26" fillId="6" borderId="1" xfId="0" applyNumberFormat="1" applyFont="1" applyFill="1" applyBorder="1" applyAlignment="1" applyProtection="1">
      <alignment horizontal="center"/>
      <protection locked="0"/>
    </xf>
    <xf numFmtId="2" fontId="28" fillId="6" borderId="15" xfId="0" applyNumberFormat="1" applyFont="1" applyFill="1" applyBorder="1" applyAlignment="1" applyProtection="1">
      <alignment horizontal="center"/>
      <protection locked="0"/>
    </xf>
    <xf numFmtId="0" fontId="11" fillId="7" borderId="10" xfId="0" applyFont="1" applyFill="1" applyBorder="1" applyAlignment="1">
      <alignment horizontal="center"/>
    </xf>
    <xf numFmtId="0" fontId="45" fillId="6" borderId="0" xfId="0" applyFont="1" applyFill="1"/>
    <xf numFmtId="0" fontId="6" fillId="6" borderId="0" xfId="0" applyFont="1" applyFill="1"/>
    <xf numFmtId="0" fontId="7" fillId="2" borderId="43" xfId="0" applyFont="1" applyFill="1" applyBorder="1" applyAlignment="1">
      <alignment horizontal="center" vertical="center"/>
    </xf>
    <xf numFmtId="4" fontId="6" fillId="0" borderId="1" xfId="0" applyNumberFormat="1" applyFon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4" fontId="7" fillId="9" borderId="1" xfId="0" applyNumberFormat="1" applyFont="1" applyFill="1" applyBorder="1" applyProtection="1">
      <protection locked="0"/>
    </xf>
    <xf numFmtId="4" fontId="41" fillId="0" borderId="1" xfId="0" applyNumberFormat="1" applyFont="1" applyBorder="1"/>
    <xf numFmtId="0" fontId="46" fillId="0" borderId="25" xfId="0" applyFont="1" applyBorder="1" applyAlignment="1">
      <alignment horizontal="center"/>
    </xf>
    <xf numFmtId="2" fontId="46" fillId="0" borderId="25" xfId="0" applyNumberFormat="1" applyFont="1" applyBorder="1" applyAlignment="1">
      <alignment horizontal="center"/>
    </xf>
    <xf numFmtId="0" fontId="26" fillId="0" borderId="12" xfId="0" applyFont="1" applyBorder="1" applyAlignment="1">
      <alignment horizontal="center" vertical="center" wrapText="1"/>
    </xf>
    <xf numFmtId="168" fontId="7" fillId="0" borderId="49" xfId="0" applyNumberFormat="1" applyFont="1" applyBorder="1" applyAlignment="1">
      <alignment horizontal="center"/>
    </xf>
    <xf numFmtId="168" fontId="26" fillId="0" borderId="26" xfId="0" applyNumberFormat="1" applyFont="1" applyBorder="1" applyAlignment="1">
      <alignment horizontal="center" vertical="center"/>
    </xf>
    <xf numFmtId="0" fontId="26" fillId="0" borderId="14" xfId="0" applyFont="1" applyBorder="1" applyAlignment="1">
      <alignment horizontal="center" vertical="center" wrapText="1"/>
    </xf>
    <xf numFmtId="0" fontId="14" fillId="0" borderId="35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168" fontId="6" fillId="0" borderId="7" xfId="0" applyNumberFormat="1" applyFont="1" applyBorder="1" applyAlignment="1">
      <alignment horizontal="center" vertical="center"/>
    </xf>
    <xf numFmtId="4" fontId="14" fillId="0" borderId="8" xfId="0" applyNumberFormat="1" applyFont="1" applyBorder="1" applyAlignment="1">
      <alignment horizontal="center" vertical="center" wrapText="1"/>
    </xf>
    <xf numFmtId="4" fontId="14" fillId="0" borderId="18" xfId="0" applyNumberFormat="1" applyFont="1" applyBorder="1" applyAlignment="1">
      <alignment horizontal="center" vertical="center" wrapText="1"/>
    </xf>
    <xf numFmtId="4" fontId="14" fillId="0" borderId="7" xfId="0" applyNumberFormat="1" applyFont="1" applyBorder="1" applyAlignment="1">
      <alignment horizontal="center" vertical="center" wrapText="1"/>
    </xf>
    <xf numFmtId="0" fontId="14" fillId="0" borderId="8" xfId="0" applyFont="1" applyBorder="1" applyAlignment="1">
      <alignment horizontal="center" vertical="center" wrapText="1"/>
    </xf>
    <xf numFmtId="0" fontId="14" fillId="0" borderId="27" xfId="0" applyFont="1" applyBorder="1" applyAlignment="1">
      <alignment horizontal="center" vertical="center" wrapText="1"/>
    </xf>
    <xf numFmtId="0" fontId="8" fillId="7" borderId="5" xfId="0" applyFont="1" applyFill="1" applyBorder="1" applyAlignment="1">
      <alignment horizontal="center" vertical="center" wrapText="1"/>
    </xf>
    <xf numFmtId="3" fontId="6" fillId="9" borderId="1" xfId="0" applyNumberFormat="1" applyFont="1" applyFill="1" applyBorder="1" applyProtection="1">
      <protection locked="0"/>
    </xf>
    <xf numFmtId="164" fontId="7" fillId="0" borderId="0" xfId="0" applyNumberFormat="1" applyFont="1" applyProtection="1">
      <protection locked="0"/>
    </xf>
    <xf numFmtId="2" fontId="46" fillId="0" borderId="36" xfId="0" applyNumberFormat="1" applyFont="1" applyBorder="1" applyAlignment="1">
      <alignment horizontal="left" wrapText="1"/>
    </xf>
    <xf numFmtId="0" fontId="8" fillId="10" borderId="33" xfId="0" applyFont="1" applyFill="1" applyBorder="1" applyAlignment="1">
      <alignment horizontal="center" vertical="center" wrapText="1"/>
    </xf>
    <xf numFmtId="0" fontId="8" fillId="11" borderId="1" xfId="0" applyFont="1" applyFill="1" applyBorder="1" applyAlignment="1">
      <alignment horizontal="center" vertical="center" wrapText="1"/>
    </xf>
    <xf numFmtId="0" fontId="8" fillId="12" borderId="1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9" xfId="0" applyBorder="1"/>
    <xf numFmtId="2" fontId="0" fillId="0" borderId="10" xfId="0" applyNumberFormat="1" applyBorder="1"/>
    <xf numFmtId="9" fontId="0" fillId="0" borderId="10" xfId="0" applyNumberFormat="1" applyBorder="1" applyAlignment="1">
      <alignment horizontal="center"/>
    </xf>
    <xf numFmtId="0" fontId="0" fillId="0" borderId="10" xfId="0" applyBorder="1"/>
    <xf numFmtId="0" fontId="0" fillId="0" borderId="11" xfId="0" applyBorder="1"/>
    <xf numFmtId="166" fontId="0" fillId="0" borderId="20" xfId="0" applyNumberFormat="1" applyBorder="1"/>
    <xf numFmtId="2" fontId="0" fillId="0" borderId="1" xfId="0" applyNumberFormat="1" applyBorder="1"/>
    <xf numFmtId="2" fontId="45" fillId="0" borderId="8" xfId="0" applyNumberFormat="1" applyFont="1" applyBorder="1"/>
    <xf numFmtId="0" fontId="0" fillId="0" borderId="7" xfId="0" applyBorder="1"/>
    <xf numFmtId="165" fontId="0" fillId="0" borderId="7" xfId="0" applyNumberFormat="1" applyBorder="1"/>
    <xf numFmtId="166" fontId="0" fillId="0" borderId="1" xfId="0" applyNumberFormat="1" applyBorder="1"/>
    <xf numFmtId="166" fontId="0" fillId="0" borderId="10" xfId="0" applyNumberFormat="1" applyBorder="1"/>
    <xf numFmtId="2" fontId="0" fillId="0" borderId="0" xfId="0" applyNumberFormat="1"/>
    <xf numFmtId="2" fontId="45" fillId="0" borderId="0" xfId="0" applyNumberFormat="1" applyFont="1"/>
    <xf numFmtId="0" fontId="41" fillId="6" borderId="0" xfId="0" applyFont="1" applyFill="1" applyProtection="1">
      <protection locked="0"/>
    </xf>
    <xf numFmtId="170" fontId="7" fillId="0" borderId="0" xfId="0" applyNumberFormat="1" applyFont="1" applyProtection="1">
      <protection locked="0"/>
    </xf>
    <xf numFmtId="9" fontId="0" fillId="0" borderId="0" xfId="6" applyFont="1"/>
    <xf numFmtId="0" fontId="49" fillId="15" borderId="58" xfId="0" applyFont="1" applyFill="1" applyBorder="1" applyAlignment="1">
      <alignment horizontal="center" vertical="center" wrapText="1"/>
    </xf>
    <xf numFmtId="0" fontId="49" fillId="15" borderId="60" xfId="0" applyFont="1" applyFill="1" applyBorder="1" applyAlignment="1">
      <alignment horizontal="center" vertical="center" wrapText="1"/>
    </xf>
    <xf numFmtId="0" fontId="49" fillId="15" borderId="62" xfId="0" applyFont="1" applyFill="1" applyBorder="1" applyAlignment="1">
      <alignment horizontal="center" vertical="center" wrapText="1"/>
    </xf>
    <xf numFmtId="0" fontId="49" fillId="15" borderId="25" xfId="0" applyFont="1" applyFill="1" applyBorder="1" applyAlignment="1">
      <alignment horizontal="center" vertical="center" wrapText="1"/>
    </xf>
    <xf numFmtId="179" fontId="0" fillId="0" borderId="0" xfId="0" applyNumberFormat="1"/>
    <xf numFmtId="178" fontId="6" fillId="16" borderId="38" xfId="0" applyNumberFormat="1" applyFont="1" applyFill="1" applyBorder="1"/>
    <xf numFmtId="179" fontId="14" fillId="16" borderId="18" xfId="4" applyNumberFormat="1" applyFont="1" applyFill="1" applyBorder="1" applyAlignment="1" applyProtection="1">
      <alignment horizontal="center"/>
      <protection hidden="1"/>
    </xf>
    <xf numFmtId="179" fontId="6" fillId="16" borderId="1" xfId="4" applyNumberFormat="1" applyFont="1" applyFill="1" applyBorder="1" applyAlignment="1" applyProtection="1">
      <alignment horizontal="center"/>
      <protection hidden="1"/>
    </xf>
    <xf numFmtId="179" fontId="6" fillId="16" borderId="38" xfId="4" applyNumberFormat="1" applyFont="1" applyFill="1" applyBorder="1"/>
    <xf numFmtId="17" fontId="49" fillId="17" borderId="26" xfId="0" applyNumberFormat="1" applyFont="1" applyFill="1" applyBorder="1"/>
    <xf numFmtId="179" fontId="49" fillId="17" borderId="23" xfId="4" applyNumberFormat="1" applyFont="1" applyFill="1" applyBorder="1" applyAlignment="1" applyProtection="1">
      <alignment horizontal="center"/>
      <protection hidden="1"/>
    </xf>
    <xf numFmtId="179" fontId="49" fillId="17" borderId="25" xfId="4" applyNumberFormat="1" applyFont="1" applyFill="1" applyBorder="1" applyAlignment="1" applyProtection="1">
      <alignment horizontal="center"/>
      <protection hidden="1"/>
    </xf>
    <xf numFmtId="179" fontId="49" fillId="17" borderId="26" xfId="4" applyNumberFormat="1" applyFont="1" applyFill="1" applyBorder="1" applyAlignment="1" applyProtection="1">
      <alignment horizontal="center"/>
      <protection hidden="1"/>
    </xf>
    <xf numFmtId="179" fontId="14" fillId="16" borderId="1" xfId="4" applyNumberFormat="1" applyFont="1" applyFill="1" applyBorder="1" applyAlignment="1" applyProtection="1">
      <alignment horizontal="center"/>
      <protection hidden="1"/>
    </xf>
    <xf numFmtId="178" fontId="6" fillId="2" borderId="38" xfId="0" applyNumberFormat="1" applyFont="1" applyFill="1" applyBorder="1"/>
    <xf numFmtId="179" fontId="14" fillId="2" borderId="18" xfId="4" applyNumberFormat="1" applyFont="1" applyFill="1" applyBorder="1" applyAlignment="1" applyProtection="1">
      <alignment horizontal="center"/>
      <protection hidden="1"/>
    </xf>
    <xf numFmtId="179" fontId="14" fillId="2" borderId="1" xfId="4" applyNumberFormat="1" applyFont="1" applyFill="1" applyBorder="1" applyAlignment="1" applyProtection="1">
      <alignment horizontal="center"/>
      <protection hidden="1"/>
    </xf>
    <xf numFmtId="179" fontId="6" fillId="2" borderId="1" xfId="4" applyNumberFormat="1" applyFont="1" applyFill="1" applyBorder="1" applyAlignment="1" applyProtection="1">
      <alignment horizontal="center"/>
      <protection hidden="1"/>
    </xf>
    <xf numFmtId="179" fontId="6" fillId="2" borderId="38" xfId="4" applyNumberFormat="1" applyFont="1" applyFill="1" applyBorder="1"/>
    <xf numFmtId="0" fontId="0" fillId="2" borderId="0" xfId="0" applyFill="1"/>
    <xf numFmtId="0" fontId="0" fillId="16" borderId="0" xfId="0" applyFill="1"/>
    <xf numFmtId="10" fontId="7" fillId="2" borderId="0" xfId="6" applyNumberFormat="1" applyFont="1" applyFill="1"/>
    <xf numFmtId="0" fontId="8" fillId="0" borderId="12" xfId="0" applyFont="1" applyBorder="1" applyAlignment="1">
      <alignment vertical="center"/>
    </xf>
    <xf numFmtId="0" fontId="6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6" fillId="0" borderId="46" xfId="0" applyFont="1" applyBorder="1" applyAlignment="1">
      <alignment vertical="center"/>
    </xf>
    <xf numFmtId="0" fontId="8" fillId="0" borderId="47" xfId="0" applyFont="1" applyBorder="1" applyAlignment="1">
      <alignment horizontal="center" vertical="center"/>
    </xf>
    <xf numFmtId="0" fontId="8" fillId="0" borderId="16" xfId="0" applyFont="1" applyBorder="1" applyAlignment="1">
      <alignment vertical="center"/>
    </xf>
    <xf numFmtId="0" fontId="8" fillId="0" borderId="59" xfId="0" applyFont="1" applyBorder="1" applyAlignment="1">
      <alignment vertical="center"/>
    </xf>
    <xf numFmtId="0" fontId="8" fillId="0" borderId="14" xfId="0" applyFont="1" applyBorder="1" applyAlignment="1">
      <alignment vertical="center"/>
    </xf>
    <xf numFmtId="0" fontId="14" fillId="0" borderId="18" xfId="0" applyFont="1" applyBorder="1" applyAlignment="1">
      <alignment vertical="center"/>
    </xf>
    <xf numFmtId="3" fontId="6" fillId="0" borderId="7" xfId="0" applyNumberFormat="1" applyFont="1" applyBorder="1" applyAlignment="1" applyProtection="1">
      <alignment horizontal="center" vertical="center"/>
      <protection hidden="1"/>
    </xf>
    <xf numFmtId="3" fontId="6" fillId="0" borderId="18" xfId="0" applyNumberFormat="1" applyFont="1" applyBorder="1" applyAlignment="1" applyProtection="1">
      <alignment horizontal="center" vertical="center"/>
      <protection hidden="1"/>
    </xf>
    <xf numFmtId="3" fontId="6" fillId="0" borderId="1" xfId="0" applyNumberFormat="1" applyFont="1" applyBorder="1" applyAlignment="1" applyProtection="1">
      <alignment horizontal="center" vertical="center"/>
      <protection hidden="1"/>
    </xf>
    <xf numFmtId="3" fontId="6" fillId="0" borderId="17" xfId="0" applyNumberFormat="1" applyFont="1" applyBorder="1" applyAlignment="1" applyProtection="1">
      <alignment horizontal="center" vertical="center"/>
      <protection hidden="1"/>
    </xf>
    <xf numFmtId="3" fontId="14" fillId="0" borderId="17" xfId="0" applyNumberFormat="1" applyFont="1" applyBorder="1" applyAlignment="1" applyProtection="1">
      <alignment horizontal="center" vertical="center"/>
      <protection hidden="1"/>
    </xf>
    <xf numFmtId="3" fontId="14" fillId="0" borderId="8" xfId="0" applyNumberFormat="1" applyFont="1" applyBorder="1" applyAlignment="1" applyProtection="1">
      <alignment horizontal="center" vertical="center"/>
      <protection hidden="1"/>
    </xf>
    <xf numFmtId="3" fontId="6" fillId="0" borderId="8" xfId="0" applyNumberFormat="1" applyFont="1" applyBorder="1" applyAlignment="1" applyProtection="1">
      <alignment horizontal="center" vertical="center"/>
      <protection hidden="1"/>
    </xf>
    <xf numFmtId="165" fontId="6" fillId="0" borderId="0" xfId="0" applyNumberFormat="1" applyFont="1" applyAlignment="1" applyProtection="1">
      <alignment horizontal="center" vertical="center"/>
      <protection hidden="1"/>
    </xf>
    <xf numFmtId="3" fontId="6" fillId="7" borderId="1" xfId="0" applyNumberFormat="1" applyFont="1" applyFill="1" applyBorder="1" applyAlignment="1" applyProtection="1">
      <alignment horizontal="center" vertical="center"/>
      <protection hidden="1"/>
    </xf>
    <xf numFmtId="3" fontId="6" fillId="10" borderId="17" xfId="0" applyNumberFormat="1" applyFont="1" applyFill="1" applyBorder="1" applyAlignment="1" applyProtection="1">
      <alignment horizontal="center" vertical="center"/>
      <protection hidden="1"/>
    </xf>
    <xf numFmtId="3" fontId="6" fillId="11" borderId="1" xfId="0" applyNumberFormat="1" applyFont="1" applyFill="1" applyBorder="1" applyAlignment="1" applyProtection="1">
      <alignment horizontal="center" vertical="center"/>
      <protection hidden="1"/>
    </xf>
    <xf numFmtId="3" fontId="6" fillId="12" borderId="1" xfId="0" applyNumberFormat="1" applyFont="1" applyFill="1" applyBorder="1" applyAlignment="1" applyProtection="1">
      <alignment horizontal="center" vertical="center"/>
      <protection hidden="1"/>
    </xf>
    <xf numFmtId="165" fontId="6" fillId="0" borderId="0" xfId="0" applyNumberFormat="1" applyFont="1" applyAlignment="1">
      <alignment vertical="center"/>
    </xf>
    <xf numFmtId="4" fontId="6" fillId="0" borderId="1" xfId="0" applyNumberFormat="1" applyFont="1" applyBorder="1" applyAlignment="1">
      <alignment vertical="center"/>
    </xf>
    <xf numFmtId="4" fontId="6" fillId="0" borderId="8" xfId="0" applyNumberFormat="1" applyFont="1" applyBorder="1" applyAlignment="1">
      <alignment vertical="center"/>
    </xf>
    <xf numFmtId="4" fontId="6" fillId="0" borderId="7" xfId="0" applyNumberFormat="1" applyFont="1" applyBorder="1" applyAlignment="1">
      <alignment vertical="center"/>
    </xf>
    <xf numFmtId="4" fontId="6" fillId="0" borderId="18" xfId="0" applyNumberFormat="1" applyFont="1" applyBorder="1" applyAlignment="1">
      <alignment vertical="center"/>
    </xf>
    <xf numFmtId="4" fontId="6" fillId="2" borderId="7" xfId="0" applyNumberFormat="1" applyFont="1" applyFill="1" applyBorder="1" applyAlignment="1" applyProtection="1">
      <alignment vertical="center"/>
      <protection hidden="1"/>
    </xf>
    <xf numFmtId="4" fontId="6" fillId="0" borderId="1" xfId="0" applyNumberFormat="1" applyFont="1" applyBorder="1" applyAlignment="1" applyProtection="1">
      <alignment vertical="center"/>
      <protection hidden="1"/>
    </xf>
    <xf numFmtId="4" fontId="6" fillId="9" borderId="8" xfId="0" applyNumberFormat="1" applyFont="1" applyFill="1" applyBorder="1" applyAlignment="1">
      <alignment vertical="center"/>
    </xf>
    <xf numFmtId="4" fontId="6" fillId="0" borderId="18" xfId="0" applyNumberFormat="1" applyFont="1" applyBorder="1" applyAlignment="1" applyProtection="1">
      <alignment vertical="center"/>
      <protection hidden="1"/>
    </xf>
    <xf numFmtId="4" fontId="6" fillId="2" borderId="8" xfId="0" applyNumberFormat="1" applyFont="1" applyFill="1" applyBorder="1" applyAlignment="1" applyProtection="1">
      <alignment vertical="center"/>
      <protection hidden="1"/>
    </xf>
    <xf numFmtId="4" fontId="6" fillId="0" borderId="0" xfId="0" applyNumberFormat="1" applyFont="1" applyAlignment="1">
      <alignment vertical="center"/>
    </xf>
    <xf numFmtId="165" fontId="6" fillId="0" borderId="1" xfId="0" applyNumberFormat="1" applyFont="1" applyBorder="1" applyAlignment="1" applyProtection="1">
      <alignment vertical="center"/>
      <protection hidden="1"/>
    </xf>
    <xf numFmtId="4" fontId="6" fillId="0" borderId="8" xfId="0" applyNumberFormat="1" applyFont="1" applyBorder="1" applyAlignment="1" applyProtection="1">
      <alignment vertical="center"/>
      <protection hidden="1"/>
    </xf>
    <xf numFmtId="3" fontId="6" fillId="9" borderId="1" xfId="0" applyNumberFormat="1" applyFont="1" applyFill="1" applyBorder="1" applyAlignment="1" applyProtection="1">
      <alignment vertical="center"/>
      <protection locked="0"/>
    </xf>
    <xf numFmtId="3" fontId="14" fillId="0" borderId="1" xfId="0" applyNumberFormat="1" applyFont="1" applyBorder="1" applyAlignment="1">
      <alignment vertical="center"/>
    </xf>
    <xf numFmtId="3" fontId="6" fillId="9" borderId="1" xfId="0" applyNumberFormat="1" applyFont="1" applyFill="1" applyBorder="1" applyAlignment="1">
      <alignment vertical="center"/>
    </xf>
    <xf numFmtId="4" fontId="6" fillId="9" borderId="1" xfId="0" applyNumberFormat="1" applyFont="1" applyFill="1" applyBorder="1" applyAlignment="1" applyProtection="1">
      <alignment vertical="center"/>
      <protection locked="0"/>
    </xf>
    <xf numFmtId="4" fontId="14" fillId="0" borderId="1" xfId="0" applyNumberFormat="1" applyFont="1" applyBorder="1" applyAlignment="1">
      <alignment vertical="center"/>
    </xf>
    <xf numFmtId="3" fontId="6" fillId="0" borderId="0" xfId="0" applyNumberFormat="1" applyFont="1" applyAlignment="1">
      <alignment vertical="center"/>
    </xf>
    <xf numFmtId="4" fontId="6" fillId="9" borderId="18" xfId="0" applyNumberFormat="1" applyFont="1" applyFill="1" applyBorder="1" applyAlignment="1">
      <alignment vertical="center"/>
    </xf>
    <xf numFmtId="3" fontId="8" fillId="0" borderId="24" xfId="0" applyNumberFormat="1" applyFont="1" applyBorder="1" applyAlignment="1" applyProtection="1">
      <alignment horizontal="center" vertical="center"/>
      <protection hidden="1"/>
    </xf>
    <xf numFmtId="3" fontId="8" fillId="0" borderId="25" xfId="0" applyNumberFormat="1" applyFont="1" applyBorder="1" applyAlignment="1" applyProtection="1">
      <alignment horizontal="center" vertical="center"/>
      <protection hidden="1"/>
    </xf>
    <xf numFmtId="3" fontId="8" fillId="0" borderId="15" xfId="0" applyNumberFormat="1" applyFont="1" applyBorder="1" applyAlignment="1" applyProtection="1">
      <alignment horizontal="center" vertical="center"/>
      <protection hidden="1"/>
    </xf>
    <xf numFmtId="3" fontId="14" fillId="0" borderId="15" xfId="0" applyNumberFormat="1" applyFont="1" applyBorder="1" applyAlignment="1" applyProtection="1">
      <alignment horizontal="center" vertical="center"/>
      <protection hidden="1"/>
    </xf>
    <xf numFmtId="0" fontId="6" fillId="0" borderId="51" xfId="0" applyFont="1" applyBorder="1" applyAlignment="1">
      <alignment vertical="center"/>
    </xf>
    <xf numFmtId="3" fontId="8" fillId="7" borderId="60" xfId="0" applyNumberFormat="1" applyFont="1" applyFill="1" applyBorder="1" applyAlignment="1" applyProtection="1">
      <alignment horizontal="center" vertical="center"/>
      <protection hidden="1"/>
    </xf>
    <xf numFmtId="3" fontId="8" fillId="10" borderId="52" xfId="0" applyNumberFormat="1" applyFont="1" applyFill="1" applyBorder="1" applyAlignment="1" applyProtection="1">
      <alignment horizontal="center" vertical="center"/>
      <protection hidden="1"/>
    </xf>
    <xf numFmtId="3" fontId="8" fillId="10" borderId="12" xfId="0" applyNumberFormat="1" applyFont="1" applyFill="1" applyBorder="1" applyAlignment="1" applyProtection="1">
      <alignment horizontal="center" vertical="center"/>
      <protection hidden="1"/>
    </xf>
    <xf numFmtId="3" fontId="8" fillId="10" borderId="14" xfId="0" applyNumberFormat="1" applyFont="1" applyFill="1" applyBorder="1" applyAlignment="1" applyProtection="1">
      <alignment horizontal="center" vertical="center"/>
      <protection hidden="1"/>
    </xf>
    <xf numFmtId="0" fontId="14" fillId="0" borderId="0" xfId="0" applyFont="1" applyAlignment="1">
      <alignment vertical="center"/>
    </xf>
    <xf numFmtId="165" fontId="6" fillId="0" borderId="0" xfId="0" applyNumberFormat="1" applyFont="1" applyAlignment="1">
      <alignment horizontal="center" vertical="center"/>
    </xf>
    <xf numFmtId="180" fontId="6" fillId="0" borderId="0" xfId="0" applyNumberFormat="1" applyFont="1" applyAlignment="1">
      <alignment vertical="center"/>
    </xf>
    <xf numFmtId="165" fontId="6" fillId="0" borderId="63" xfId="0" applyNumberFormat="1" applyFont="1" applyBorder="1" applyAlignment="1">
      <alignment horizontal="center" vertical="center"/>
    </xf>
    <xf numFmtId="10" fontId="14" fillId="0" borderId="1" xfId="6" applyNumberFormat="1" applyFont="1" applyBorder="1" applyAlignment="1">
      <alignment horizontal="center" vertical="center"/>
    </xf>
    <xf numFmtId="10" fontId="14" fillId="0" borderId="1" xfId="4" applyNumberFormat="1" applyFont="1" applyBorder="1" applyAlignment="1">
      <alignment horizontal="center" vertical="center"/>
    </xf>
    <xf numFmtId="3" fontId="8" fillId="0" borderId="1" xfId="0" applyNumberFormat="1" applyFont="1" applyBorder="1" applyAlignment="1" applyProtection="1">
      <alignment horizontal="center" vertical="center"/>
      <protection hidden="1"/>
    </xf>
    <xf numFmtId="3" fontId="14" fillId="0" borderId="1" xfId="0" applyNumberFormat="1" applyFont="1" applyBorder="1" applyAlignment="1" applyProtection="1">
      <alignment horizontal="center" vertical="center"/>
      <protection hidden="1"/>
    </xf>
    <xf numFmtId="3" fontId="8" fillId="7" borderId="1" xfId="0" applyNumberFormat="1" applyFont="1" applyFill="1" applyBorder="1" applyAlignment="1" applyProtection="1">
      <alignment horizontal="center" vertical="center"/>
      <protection hidden="1"/>
    </xf>
    <xf numFmtId="3" fontId="8" fillId="10" borderId="1" xfId="0" applyNumberFormat="1" applyFont="1" applyFill="1" applyBorder="1" applyAlignment="1" applyProtection="1">
      <alignment horizontal="center" vertical="center"/>
      <protection hidden="1"/>
    </xf>
    <xf numFmtId="10" fontId="8" fillId="7" borderId="1" xfId="6" applyNumberFormat="1" applyFont="1" applyFill="1" applyBorder="1" applyAlignment="1" applyProtection="1">
      <alignment horizontal="center" vertical="center"/>
      <protection hidden="1"/>
    </xf>
    <xf numFmtId="10" fontId="8" fillId="10" borderId="1" xfId="6" applyNumberFormat="1" applyFont="1" applyFill="1" applyBorder="1" applyAlignment="1" applyProtection="1">
      <alignment horizontal="center" vertical="center"/>
      <protection hidden="1"/>
    </xf>
    <xf numFmtId="10" fontId="14" fillId="0" borderId="1" xfId="6" applyNumberFormat="1" applyFont="1" applyBorder="1" applyAlignment="1" applyProtection="1">
      <alignment horizontal="center" vertical="center"/>
      <protection hidden="1"/>
    </xf>
    <xf numFmtId="10" fontId="8" fillId="0" borderId="1" xfId="6" applyNumberFormat="1" applyFont="1" applyBorder="1" applyAlignment="1" applyProtection="1">
      <alignment horizontal="center" vertical="center"/>
      <protection hidden="1"/>
    </xf>
    <xf numFmtId="0" fontId="4" fillId="0" borderId="0" xfId="13" applyAlignment="1">
      <alignment vertical="center"/>
    </xf>
    <xf numFmtId="0" fontId="50" fillId="0" borderId="0" xfId="13" applyFont="1" applyAlignment="1">
      <alignment vertical="center"/>
    </xf>
    <xf numFmtId="0" fontId="45" fillId="0" borderId="23" xfId="13" applyFont="1" applyBorder="1" applyAlignment="1">
      <alignment horizontal="center" vertical="center"/>
    </xf>
    <xf numFmtId="0" fontId="45" fillId="0" borderId="25" xfId="13" applyFont="1" applyBorder="1" applyAlignment="1">
      <alignment horizontal="center" vertical="center"/>
    </xf>
    <xf numFmtId="0" fontId="45" fillId="0" borderId="64" xfId="13" applyFont="1" applyBorder="1" applyAlignment="1">
      <alignment horizontal="center" vertical="center" wrapText="1"/>
    </xf>
    <xf numFmtId="0" fontId="51" fillId="0" borderId="26" xfId="13" applyFont="1" applyBorder="1" applyAlignment="1">
      <alignment horizontal="center" vertical="center" wrapText="1"/>
    </xf>
    <xf numFmtId="0" fontId="45" fillId="0" borderId="15" xfId="13" applyFont="1" applyBorder="1" applyAlignment="1">
      <alignment horizontal="center" vertical="center" wrapText="1"/>
    </xf>
    <xf numFmtId="17" fontId="4" fillId="0" borderId="45" xfId="13" applyNumberFormat="1" applyBorder="1" applyAlignment="1">
      <alignment vertical="center"/>
    </xf>
    <xf numFmtId="3" fontId="4" fillId="0" borderId="4" xfId="13" applyNumberFormat="1" applyBorder="1" applyAlignment="1">
      <alignment vertical="center"/>
    </xf>
    <xf numFmtId="3" fontId="4" fillId="0" borderId="5" xfId="13" applyNumberFormat="1" applyBorder="1" applyAlignment="1">
      <alignment vertical="center"/>
    </xf>
    <xf numFmtId="3" fontId="4" fillId="0" borderId="6" xfId="13" applyNumberFormat="1" applyBorder="1" applyAlignment="1">
      <alignment vertical="center"/>
    </xf>
    <xf numFmtId="3" fontId="51" fillId="0" borderId="45" xfId="13" applyNumberFormat="1" applyFont="1" applyBorder="1" applyAlignment="1">
      <alignment horizontal="center" vertical="center"/>
    </xf>
    <xf numFmtId="0" fontId="4" fillId="0" borderId="4" xfId="13" applyBorder="1" applyAlignment="1">
      <alignment vertical="center"/>
    </xf>
    <xf numFmtId="0" fontId="4" fillId="0" borderId="5" xfId="13" applyBorder="1" applyAlignment="1">
      <alignment vertical="center"/>
    </xf>
    <xf numFmtId="0" fontId="4" fillId="0" borderId="6" xfId="13" applyBorder="1" applyAlignment="1">
      <alignment vertical="center"/>
    </xf>
    <xf numFmtId="17" fontId="4" fillId="0" borderId="38" xfId="13" applyNumberFormat="1" applyBorder="1" applyAlignment="1">
      <alignment vertical="center"/>
    </xf>
    <xf numFmtId="3" fontId="4" fillId="0" borderId="7" xfId="13" applyNumberFormat="1" applyBorder="1" applyAlignment="1">
      <alignment vertical="center"/>
    </xf>
    <xf numFmtId="3" fontId="4" fillId="0" borderId="1" xfId="13" applyNumberFormat="1" applyBorder="1" applyAlignment="1">
      <alignment vertical="center"/>
    </xf>
    <xf numFmtId="3" fontId="4" fillId="0" borderId="8" xfId="13" applyNumberFormat="1" applyBorder="1" applyAlignment="1">
      <alignment vertical="center"/>
    </xf>
    <xf numFmtId="3" fontId="51" fillId="0" borderId="38" xfId="13" applyNumberFormat="1" applyFont="1" applyBorder="1" applyAlignment="1">
      <alignment horizontal="center" vertical="center"/>
    </xf>
    <xf numFmtId="0" fontId="4" fillId="0" borderId="1" xfId="13" applyBorder="1" applyAlignment="1">
      <alignment vertical="center"/>
    </xf>
    <xf numFmtId="17" fontId="4" fillId="0" borderId="44" xfId="13" applyNumberFormat="1" applyBorder="1" applyAlignment="1">
      <alignment vertical="center"/>
    </xf>
    <xf numFmtId="3" fontId="4" fillId="0" borderId="9" xfId="13" applyNumberFormat="1" applyBorder="1" applyAlignment="1">
      <alignment vertical="center"/>
    </xf>
    <xf numFmtId="3" fontId="4" fillId="0" borderId="10" xfId="13" applyNumberFormat="1" applyBorder="1" applyAlignment="1">
      <alignment vertical="center"/>
    </xf>
    <xf numFmtId="3" fontId="4" fillId="0" borderId="11" xfId="13" applyNumberFormat="1" applyBorder="1" applyAlignment="1">
      <alignment vertical="center"/>
    </xf>
    <xf numFmtId="3" fontId="51" fillId="0" borderId="44" xfId="13" applyNumberFormat="1" applyFont="1" applyBorder="1" applyAlignment="1">
      <alignment horizontal="center" vertical="center"/>
    </xf>
    <xf numFmtId="0" fontId="4" fillId="0" borderId="10" xfId="13" applyBorder="1" applyAlignment="1">
      <alignment vertical="center"/>
    </xf>
    <xf numFmtId="0" fontId="52" fillId="0" borderId="0" xfId="13" quotePrefix="1" applyFont="1" applyAlignment="1">
      <alignment vertical="center"/>
    </xf>
    <xf numFmtId="181" fontId="8" fillId="0" borderId="1" xfId="0" applyNumberFormat="1" applyFont="1" applyBorder="1" applyAlignment="1" applyProtection="1">
      <alignment horizontal="center" vertical="center"/>
      <protection hidden="1"/>
    </xf>
    <xf numFmtId="181" fontId="14" fillId="0" borderId="1" xfId="0" applyNumberFormat="1" applyFont="1" applyBorder="1" applyAlignment="1" applyProtection="1">
      <alignment horizontal="center" vertical="center"/>
      <protection hidden="1"/>
    </xf>
    <xf numFmtId="181" fontId="8" fillId="7" borderId="1" xfId="0" applyNumberFormat="1" applyFont="1" applyFill="1" applyBorder="1" applyAlignment="1" applyProtection="1">
      <alignment horizontal="center" vertical="center"/>
      <protection hidden="1"/>
    </xf>
    <xf numFmtId="181" fontId="8" fillId="10" borderId="1" xfId="0" applyNumberFormat="1" applyFont="1" applyFill="1" applyBorder="1" applyAlignment="1" applyProtection="1">
      <alignment horizontal="center" vertical="center"/>
      <protection hidden="1"/>
    </xf>
    <xf numFmtId="9" fontId="49" fillId="15" borderId="25" xfId="6" applyFont="1" applyFill="1" applyBorder="1" applyAlignment="1">
      <alignment horizontal="center" vertical="center" wrapText="1"/>
    </xf>
    <xf numFmtId="0" fontId="6" fillId="6" borderId="1" xfId="0" applyFont="1" applyFill="1" applyBorder="1"/>
    <xf numFmtId="179" fontId="0" fillId="2" borderId="0" xfId="0" applyNumberFormat="1" applyFill="1"/>
    <xf numFmtId="182" fontId="6" fillId="2" borderId="1" xfId="4" applyNumberFormat="1" applyFont="1" applyFill="1" applyBorder="1" applyAlignment="1" applyProtection="1">
      <alignment horizontal="center"/>
      <protection hidden="1"/>
    </xf>
    <xf numFmtId="9" fontId="6" fillId="2" borderId="1" xfId="6" applyFont="1" applyFill="1" applyBorder="1" applyAlignment="1" applyProtection="1">
      <alignment horizontal="center"/>
      <protection hidden="1"/>
    </xf>
    <xf numFmtId="0" fontId="6" fillId="6" borderId="1" xfId="0" applyFont="1" applyFill="1" applyBorder="1" applyAlignment="1">
      <alignment horizontal="center" vertical="center" wrapText="1"/>
    </xf>
    <xf numFmtId="179" fontId="0" fillId="16" borderId="0" xfId="0" applyNumberFormat="1" applyFill="1"/>
    <xf numFmtId="182" fontId="6" fillId="16" borderId="1" xfId="4" applyNumberFormat="1" applyFont="1" applyFill="1" applyBorder="1" applyAlignment="1" applyProtection="1">
      <alignment horizontal="center"/>
      <protection hidden="1"/>
    </xf>
    <xf numFmtId="9" fontId="6" fillId="16" borderId="1" xfId="6" applyFont="1" applyFill="1" applyBorder="1" applyAlignment="1" applyProtection="1">
      <alignment horizontal="center"/>
      <protection hidden="1"/>
    </xf>
    <xf numFmtId="9" fontId="0" fillId="16" borderId="0" xfId="6" applyFont="1" applyFill="1"/>
    <xf numFmtId="179" fontId="6" fillId="2" borderId="0" xfId="0" applyNumberFormat="1" applyFont="1" applyFill="1"/>
    <xf numFmtId="9" fontId="0" fillId="2" borderId="0" xfId="6" applyFont="1" applyFill="1"/>
    <xf numFmtId="178" fontId="6" fillId="0" borderId="38" xfId="0" applyNumberFormat="1" applyFont="1" applyBorder="1"/>
    <xf numFmtId="179" fontId="14" fillId="0" borderId="18" xfId="4" applyNumberFormat="1" applyFont="1" applyFill="1" applyBorder="1" applyAlignment="1" applyProtection="1">
      <alignment horizontal="center"/>
      <protection hidden="1"/>
    </xf>
    <xf numFmtId="179" fontId="14" fillId="0" borderId="1" xfId="4" applyNumberFormat="1" applyFont="1" applyFill="1" applyBorder="1" applyAlignment="1" applyProtection="1">
      <alignment horizontal="center"/>
      <protection hidden="1"/>
    </xf>
    <xf numFmtId="179" fontId="6" fillId="0" borderId="1" xfId="4" applyNumberFormat="1" applyFont="1" applyFill="1" applyBorder="1" applyAlignment="1" applyProtection="1">
      <alignment horizontal="center"/>
      <protection hidden="1"/>
    </xf>
    <xf numFmtId="182" fontId="6" fillId="0" borderId="1" xfId="4" applyNumberFormat="1" applyFont="1" applyFill="1" applyBorder="1" applyAlignment="1" applyProtection="1">
      <alignment horizontal="center"/>
      <protection hidden="1"/>
    </xf>
    <xf numFmtId="9" fontId="6" fillId="0" borderId="1" xfId="6" applyFont="1" applyFill="1" applyBorder="1" applyAlignment="1" applyProtection="1">
      <alignment horizontal="center"/>
      <protection hidden="1"/>
    </xf>
    <xf numFmtId="182" fontId="49" fillId="17" borderId="25" xfId="4" applyNumberFormat="1" applyFont="1" applyFill="1" applyBorder="1" applyAlignment="1" applyProtection="1">
      <alignment horizontal="center"/>
      <protection hidden="1"/>
    </xf>
    <xf numFmtId="9" fontId="49" fillId="17" borderId="25" xfId="6" applyFont="1" applyFill="1" applyBorder="1" applyAlignment="1" applyProtection="1">
      <alignment horizontal="center"/>
      <protection hidden="1"/>
    </xf>
    <xf numFmtId="3" fontId="0" fillId="0" borderId="19" xfId="0" applyNumberFormat="1" applyBorder="1"/>
    <xf numFmtId="3" fontId="0" fillId="0" borderId="7" xfId="0" applyNumberFormat="1" applyBorder="1"/>
    <xf numFmtId="0" fontId="6" fillId="2" borderId="1" xfId="0" applyFont="1" applyFill="1" applyBorder="1"/>
    <xf numFmtId="0" fontId="6" fillId="16" borderId="0" xfId="0" applyFont="1" applyFill="1"/>
    <xf numFmtId="0" fontId="53" fillId="0" borderId="0" xfId="13" applyFont="1" applyAlignment="1">
      <alignment vertical="center"/>
    </xf>
    <xf numFmtId="0" fontId="54" fillId="0" borderId="0" xfId="13" applyFont="1" applyAlignment="1">
      <alignment vertical="center"/>
    </xf>
    <xf numFmtId="0" fontId="55" fillId="0" borderId="0" xfId="0" applyFont="1" applyAlignment="1">
      <alignment vertical="center"/>
    </xf>
    <xf numFmtId="0" fontId="55" fillId="0" borderId="0" xfId="0" applyFont="1" applyAlignment="1">
      <alignment horizontal="center" vertical="center" wrapText="1"/>
    </xf>
    <xf numFmtId="0" fontId="56" fillId="18" borderId="66" xfId="13" applyFont="1" applyFill="1" applyBorder="1" applyAlignment="1">
      <alignment horizontal="center" vertical="center" wrapText="1"/>
    </xf>
    <xf numFmtId="0" fontId="56" fillId="18" borderId="62" xfId="13" applyFont="1" applyFill="1" applyBorder="1" applyAlignment="1">
      <alignment horizontal="center" vertical="center" wrapText="1"/>
    </xf>
    <xf numFmtId="0" fontId="56" fillId="18" borderId="67" xfId="13" applyFont="1" applyFill="1" applyBorder="1" applyAlignment="1">
      <alignment horizontal="center" vertical="center" wrapText="1"/>
    </xf>
    <xf numFmtId="0" fontId="57" fillId="18" borderId="58" xfId="13" applyFont="1" applyFill="1" applyBorder="1" applyAlignment="1">
      <alignment horizontal="center" vertical="center" wrapText="1"/>
    </xf>
    <xf numFmtId="0" fontId="56" fillId="18" borderId="66" xfId="13" applyFont="1" applyFill="1" applyBorder="1" applyAlignment="1">
      <alignment horizontal="center" vertical="center"/>
    </xf>
    <xf numFmtId="0" fontId="56" fillId="18" borderId="62" xfId="13" applyFont="1" applyFill="1" applyBorder="1" applyAlignment="1">
      <alignment horizontal="center" vertical="center"/>
    </xf>
    <xf numFmtId="0" fontId="56" fillId="18" borderId="68" xfId="13" applyFont="1" applyFill="1" applyBorder="1" applyAlignment="1">
      <alignment horizontal="center" vertical="center"/>
    </xf>
    <xf numFmtId="17" fontId="54" fillId="0" borderId="45" xfId="13" applyNumberFormat="1" applyFont="1" applyBorder="1" applyAlignment="1">
      <alignment vertical="center"/>
    </xf>
    <xf numFmtId="3" fontId="54" fillId="0" borderId="19" xfId="13" applyNumberFormat="1" applyFont="1" applyBorder="1" applyAlignment="1">
      <alignment vertical="center"/>
    </xf>
    <xf numFmtId="3" fontId="54" fillId="0" borderId="20" xfId="13" applyNumberFormat="1" applyFont="1" applyBorder="1" applyAlignment="1">
      <alignment vertical="center"/>
    </xf>
    <xf numFmtId="3" fontId="54" fillId="0" borderId="35" xfId="13" applyNumberFormat="1" applyFont="1" applyBorder="1" applyAlignment="1">
      <alignment vertical="center"/>
    </xf>
    <xf numFmtId="3" fontId="57" fillId="11" borderId="45" xfId="13" applyNumberFormat="1" applyFont="1" applyFill="1" applyBorder="1" applyAlignment="1">
      <alignment horizontal="center" vertical="center"/>
    </xf>
    <xf numFmtId="3" fontId="54" fillId="0" borderId="27" xfId="13" applyNumberFormat="1" applyFont="1" applyBorder="1" applyAlignment="1">
      <alignment vertical="center"/>
    </xf>
    <xf numFmtId="3" fontId="54" fillId="0" borderId="45" xfId="13" applyNumberFormat="1" applyFont="1" applyBorder="1" applyAlignment="1">
      <alignment vertical="center"/>
    </xf>
    <xf numFmtId="3" fontId="54" fillId="0" borderId="4" xfId="13" applyNumberFormat="1" applyFont="1" applyBorder="1" applyAlignment="1">
      <alignment vertical="center"/>
    </xf>
    <xf numFmtId="3" fontId="54" fillId="0" borderId="33" xfId="13" applyNumberFormat="1" applyFont="1" applyBorder="1" applyAlignment="1">
      <alignment vertical="center"/>
    </xf>
    <xf numFmtId="0" fontId="55" fillId="0" borderId="1" xfId="0" applyFont="1" applyBorder="1" applyAlignment="1">
      <alignment vertical="center"/>
    </xf>
    <xf numFmtId="17" fontId="54" fillId="0" borderId="38" xfId="13" applyNumberFormat="1" applyFont="1" applyBorder="1" applyAlignment="1">
      <alignment vertical="center"/>
    </xf>
    <xf numFmtId="3" fontId="54" fillId="0" borderId="7" xfId="13" applyNumberFormat="1" applyFont="1" applyBorder="1" applyAlignment="1">
      <alignment vertical="center"/>
    </xf>
    <xf numFmtId="3" fontId="54" fillId="0" borderId="1" xfId="13" applyNumberFormat="1" applyFont="1" applyBorder="1" applyAlignment="1">
      <alignment vertical="center"/>
    </xf>
    <xf numFmtId="3" fontId="54" fillId="0" borderId="17" xfId="13" applyNumberFormat="1" applyFont="1" applyBorder="1" applyAlignment="1">
      <alignment vertical="center"/>
    </xf>
    <xf numFmtId="3" fontId="57" fillId="11" borderId="38" xfId="13" applyNumberFormat="1" applyFont="1" applyFill="1" applyBorder="1" applyAlignment="1">
      <alignment horizontal="center" vertical="center"/>
    </xf>
    <xf numFmtId="3" fontId="54" fillId="0" borderId="8" xfId="13" applyNumberFormat="1" applyFont="1" applyBorder="1" applyAlignment="1">
      <alignment vertical="center"/>
    </xf>
    <xf numFmtId="3" fontId="54" fillId="0" borderId="38" xfId="13" applyNumberFormat="1" applyFont="1" applyBorder="1" applyAlignment="1">
      <alignment vertical="center"/>
    </xf>
    <xf numFmtId="17" fontId="54" fillId="0" borderId="42" xfId="13" applyNumberFormat="1" applyFont="1" applyBorder="1" applyAlignment="1">
      <alignment vertical="center"/>
    </xf>
    <xf numFmtId="3" fontId="54" fillId="0" borderId="21" xfId="13" applyNumberFormat="1" applyFont="1" applyBorder="1" applyAlignment="1">
      <alignment vertical="center"/>
    </xf>
    <xf numFmtId="3" fontId="54" fillId="0" borderId="22" xfId="13" applyNumberFormat="1" applyFont="1" applyBorder="1" applyAlignment="1">
      <alignment vertical="center"/>
    </xf>
    <xf numFmtId="3" fontId="54" fillId="0" borderId="43" xfId="13" applyNumberFormat="1" applyFont="1" applyBorder="1" applyAlignment="1">
      <alignment vertical="center"/>
    </xf>
    <xf numFmtId="3" fontId="57" fillId="11" borderId="42" xfId="13" applyNumberFormat="1" applyFont="1" applyFill="1" applyBorder="1" applyAlignment="1">
      <alignment horizontal="center" vertical="center"/>
    </xf>
    <xf numFmtId="3" fontId="54" fillId="0" borderId="41" xfId="13" applyNumberFormat="1" applyFont="1" applyBorder="1" applyAlignment="1">
      <alignment vertical="center"/>
    </xf>
    <xf numFmtId="3" fontId="54" fillId="0" borderId="42" xfId="13" applyNumberFormat="1" applyFont="1" applyBorder="1" applyAlignment="1">
      <alignment vertical="center"/>
    </xf>
    <xf numFmtId="3" fontId="54" fillId="0" borderId="9" xfId="13" applyNumberFormat="1" applyFont="1" applyBorder="1" applyAlignment="1">
      <alignment vertical="center"/>
    </xf>
    <xf numFmtId="3" fontId="54" fillId="0" borderId="69" xfId="13" applyNumberFormat="1" applyFont="1" applyBorder="1" applyAlignment="1">
      <alignment vertical="center"/>
    </xf>
    <xf numFmtId="17" fontId="57" fillId="0" borderId="26" xfId="13" applyNumberFormat="1" applyFont="1" applyBorder="1" applyAlignment="1">
      <alignment vertical="center"/>
    </xf>
    <xf numFmtId="3" fontId="57" fillId="0" borderId="24" xfId="13" applyNumberFormat="1" applyFont="1" applyBorder="1" applyAlignment="1">
      <alignment horizontal="right" vertical="center"/>
    </xf>
    <xf numFmtId="3" fontId="57" fillId="0" borderId="25" xfId="13" applyNumberFormat="1" applyFont="1" applyBorder="1" applyAlignment="1">
      <alignment horizontal="right" vertical="center"/>
    </xf>
    <xf numFmtId="3" fontId="57" fillId="0" borderId="64" xfId="13" applyNumberFormat="1" applyFont="1" applyBorder="1" applyAlignment="1">
      <alignment horizontal="right" vertical="center"/>
    </xf>
    <xf numFmtId="3" fontId="57" fillId="11" borderId="26" xfId="13" applyNumberFormat="1" applyFont="1" applyFill="1" applyBorder="1" applyAlignment="1">
      <alignment horizontal="center" vertical="center"/>
    </xf>
    <xf numFmtId="3" fontId="57" fillId="0" borderId="15" xfId="13" applyNumberFormat="1" applyFont="1" applyBorder="1" applyAlignment="1">
      <alignment horizontal="right" vertical="center"/>
    </xf>
    <xf numFmtId="3" fontId="57" fillId="0" borderId="26" xfId="13" applyNumberFormat="1" applyFont="1" applyBorder="1" applyAlignment="1">
      <alignment horizontal="right" vertical="center"/>
    </xf>
    <xf numFmtId="3" fontId="57" fillId="0" borderId="66" xfId="13" applyNumberFormat="1" applyFont="1" applyBorder="1" applyAlignment="1">
      <alignment vertical="center"/>
    </xf>
    <xf numFmtId="3" fontId="57" fillId="0" borderId="68" xfId="13" applyNumberFormat="1" applyFont="1" applyBorder="1" applyAlignment="1">
      <alignment vertical="center"/>
    </xf>
    <xf numFmtId="0" fontId="56" fillId="18" borderId="67" xfId="13" applyFont="1" applyFill="1" applyBorder="1" applyAlignment="1">
      <alignment horizontal="center" vertical="center"/>
    </xf>
    <xf numFmtId="0" fontId="56" fillId="18" borderId="1" xfId="13" applyFont="1" applyFill="1" applyBorder="1" applyAlignment="1">
      <alignment horizontal="center" vertical="center" wrapText="1"/>
    </xf>
    <xf numFmtId="183" fontId="54" fillId="0" borderId="1" xfId="13" applyNumberFormat="1" applyFont="1" applyBorder="1" applyAlignment="1">
      <alignment vertical="center"/>
    </xf>
    <xf numFmtId="183" fontId="54" fillId="19" borderId="1" xfId="13" applyNumberFormat="1" applyFont="1" applyFill="1" applyBorder="1" applyAlignment="1">
      <alignment vertical="center"/>
    </xf>
    <xf numFmtId="183" fontId="56" fillId="0" borderId="1" xfId="13" applyNumberFormat="1" applyFont="1" applyBorder="1" applyAlignment="1">
      <alignment vertical="center"/>
    </xf>
    <xf numFmtId="3" fontId="57" fillId="0" borderId="24" xfId="13" applyNumberFormat="1" applyFont="1" applyBorder="1" applyAlignment="1">
      <alignment vertical="center"/>
    </xf>
    <xf numFmtId="3" fontId="57" fillId="0" borderId="25" xfId="13" applyNumberFormat="1" applyFont="1" applyBorder="1" applyAlignment="1">
      <alignment vertical="center"/>
    </xf>
    <xf numFmtId="3" fontId="57" fillId="0" borderId="64" xfId="13" applyNumberFormat="1" applyFont="1" applyBorder="1" applyAlignment="1">
      <alignment vertical="center"/>
    </xf>
    <xf numFmtId="3" fontId="57" fillId="0" borderId="26" xfId="13" applyNumberFormat="1" applyFont="1" applyBorder="1" applyAlignment="1">
      <alignment vertical="center"/>
    </xf>
    <xf numFmtId="183" fontId="57" fillId="0" borderId="1" xfId="13" applyNumberFormat="1" applyFont="1" applyBorder="1" applyAlignment="1">
      <alignment vertical="center"/>
    </xf>
    <xf numFmtId="0" fontId="55" fillId="11" borderId="0" xfId="0" applyFont="1" applyFill="1" applyAlignment="1">
      <alignment vertical="center"/>
    </xf>
    <xf numFmtId="0" fontId="58" fillId="0" borderId="0" xfId="0" applyFont="1" applyAlignment="1">
      <alignment vertical="center"/>
    </xf>
    <xf numFmtId="0" fontId="56" fillId="0" borderId="0" xfId="0" applyFont="1" applyAlignment="1">
      <alignment vertical="center"/>
    </xf>
    <xf numFmtId="17" fontId="56" fillId="0" borderId="26" xfId="13" applyNumberFormat="1" applyFont="1" applyBorder="1" applyAlignment="1">
      <alignment vertical="center"/>
    </xf>
    <xf numFmtId="3" fontId="54" fillId="0" borderId="23" xfId="13" applyNumberFormat="1" applyFont="1" applyBorder="1" applyAlignment="1">
      <alignment vertical="center"/>
    </xf>
    <xf numFmtId="3" fontId="54" fillId="0" borderId="25" xfId="13" applyNumberFormat="1" applyFont="1" applyBorder="1" applyAlignment="1">
      <alignment vertical="center"/>
    </xf>
    <xf numFmtId="3" fontId="54" fillId="0" borderId="15" xfId="13" applyNumberFormat="1" applyFont="1" applyBorder="1" applyAlignment="1">
      <alignment vertical="center"/>
    </xf>
    <xf numFmtId="3" fontId="54" fillId="0" borderId="24" xfId="13" applyNumberFormat="1" applyFont="1" applyBorder="1" applyAlignment="1">
      <alignment vertical="center"/>
    </xf>
    <xf numFmtId="3" fontId="54" fillId="0" borderId="64" xfId="13" applyNumberFormat="1" applyFont="1" applyBorder="1" applyAlignment="1">
      <alignment vertical="center"/>
    </xf>
    <xf numFmtId="3" fontId="54" fillId="0" borderId="26" xfId="13" applyNumberFormat="1" applyFont="1" applyBorder="1" applyAlignment="1">
      <alignment vertical="center"/>
    </xf>
    <xf numFmtId="183" fontId="54" fillId="0" borderId="24" xfId="13" applyNumberFormat="1" applyFont="1" applyBorder="1" applyAlignment="1">
      <alignment vertical="center"/>
    </xf>
    <xf numFmtId="183" fontId="54" fillId="19" borderId="25" xfId="13" applyNumberFormat="1" applyFont="1" applyFill="1" applyBorder="1" applyAlignment="1">
      <alignment vertical="center"/>
    </xf>
    <xf numFmtId="183" fontId="54" fillId="0" borderId="15" xfId="13" applyNumberFormat="1" applyFont="1" applyBorder="1" applyAlignment="1">
      <alignment vertical="center"/>
    </xf>
    <xf numFmtId="183" fontId="56" fillId="0" borderId="26" xfId="13" applyNumberFormat="1" applyFont="1" applyBorder="1" applyAlignment="1">
      <alignment vertical="center"/>
    </xf>
    <xf numFmtId="167" fontId="26" fillId="7" borderId="48" xfId="0" applyNumberFormat="1" applyFont="1" applyFill="1" applyBorder="1" applyAlignment="1">
      <alignment horizontal="center"/>
    </xf>
    <xf numFmtId="167" fontId="26" fillId="7" borderId="39" xfId="0" applyNumberFormat="1" applyFont="1" applyFill="1" applyBorder="1" applyAlignment="1">
      <alignment horizontal="center"/>
    </xf>
    <xf numFmtId="167" fontId="26" fillId="7" borderId="7" xfId="0" applyNumberFormat="1" applyFont="1" applyFill="1" applyBorder="1" applyAlignment="1">
      <alignment horizontal="center"/>
    </xf>
    <xf numFmtId="165" fontId="6" fillId="0" borderId="32" xfId="0" applyNumberFormat="1" applyFont="1" applyBorder="1" applyAlignment="1">
      <alignment horizontal="right"/>
    </xf>
    <xf numFmtId="165" fontId="7" fillId="0" borderId="11" xfId="0" applyNumberFormat="1" applyFont="1" applyBorder="1" applyAlignment="1">
      <alignment horizontal="right"/>
    </xf>
    <xf numFmtId="167" fontId="26" fillId="7" borderId="9" xfId="0" applyNumberFormat="1" applyFont="1" applyFill="1" applyBorder="1" applyAlignment="1">
      <alignment horizontal="center"/>
    </xf>
    <xf numFmtId="167" fontId="26" fillId="7" borderId="70" xfId="0" applyNumberFormat="1" applyFont="1" applyFill="1" applyBorder="1" applyAlignment="1">
      <alignment horizontal="center"/>
    </xf>
    <xf numFmtId="4" fontId="6" fillId="0" borderId="32" xfId="0" applyNumberFormat="1" applyFont="1" applyBorder="1" applyAlignment="1">
      <alignment horizontal="right"/>
    </xf>
    <xf numFmtId="4" fontId="6" fillId="0" borderId="11" xfId="0" applyNumberFormat="1" applyFont="1" applyBorder="1" applyAlignment="1">
      <alignment horizontal="right"/>
    </xf>
    <xf numFmtId="4" fontId="6" fillId="7" borderId="20" xfId="0" applyNumberFormat="1" applyFont="1" applyFill="1" applyBorder="1" applyAlignment="1">
      <alignment horizontal="center"/>
    </xf>
    <xf numFmtId="4" fontId="6" fillId="0" borderId="27" xfId="0" applyNumberFormat="1" applyFont="1" applyBorder="1" applyAlignment="1">
      <alignment horizontal="right"/>
    </xf>
    <xf numFmtId="168" fontId="6" fillId="0" borderId="32" xfId="0" applyNumberFormat="1" applyFont="1" applyBorder="1" applyAlignment="1">
      <alignment horizontal="center" vertical="center"/>
    </xf>
    <xf numFmtId="165" fontId="6" fillId="7" borderId="9" xfId="0" applyNumberFormat="1" applyFont="1" applyFill="1" applyBorder="1" applyAlignment="1">
      <alignment horizontal="center"/>
    </xf>
    <xf numFmtId="4" fontId="6" fillId="7" borderId="71" xfId="0" applyNumberFormat="1" applyFont="1" applyFill="1" applyBorder="1" applyAlignment="1">
      <alignment horizontal="center"/>
    </xf>
    <xf numFmtId="4" fontId="6" fillId="7" borderId="10" xfId="0" applyNumberFormat="1" applyFont="1" applyFill="1" applyBorder="1" applyAlignment="1">
      <alignment horizontal="center"/>
    </xf>
    <xf numFmtId="3" fontId="56" fillId="0" borderId="24" xfId="13" applyNumberFormat="1" applyFont="1" applyBorder="1" applyAlignment="1">
      <alignment vertical="center"/>
    </xf>
    <xf numFmtId="3" fontId="56" fillId="0" borderId="15" xfId="13" applyNumberFormat="1" applyFont="1" applyBorder="1" applyAlignment="1">
      <alignment vertical="center"/>
    </xf>
    <xf numFmtId="184" fontId="56" fillId="19" borderId="0" xfId="0" applyNumberFormat="1" applyFont="1" applyFill="1" applyAlignment="1">
      <alignment vertical="center"/>
    </xf>
    <xf numFmtId="184" fontId="55" fillId="19" borderId="0" xfId="0" applyNumberFormat="1" applyFont="1" applyFill="1" applyAlignment="1">
      <alignment vertical="center"/>
    </xf>
    <xf numFmtId="0" fontId="11" fillId="0" borderId="20" xfId="0" applyFont="1" applyBorder="1"/>
    <xf numFmtId="0" fontId="11" fillId="0" borderId="17" xfId="0" applyFont="1" applyBorder="1"/>
    <xf numFmtId="168" fontId="11" fillId="2" borderId="40" xfId="0" applyNumberFormat="1" applyFont="1" applyFill="1" applyBorder="1" applyAlignment="1">
      <alignment horizontal="center"/>
    </xf>
    <xf numFmtId="0" fontId="11" fillId="2" borderId="21" xfId="0" applyFont="1" applyFill="1" applyBorder="1" applyAlignment="1">
      <alignment horizontal="center"/>
    </xf>
    <xf numFmtId="4" fontId="11" fillId="2" borderId="41" xfId="0" applyNumberFormat="1" applyFont="1" applyFill="1" applyBorder="1" applyAlignment="1">
      <alignment horizontal="center"/>
    </xf>
    <xf numFmtId="4" fontId="11" fillId="2" borderId="42" xfId="0" applyNumberFormat="1" applyFont="1" applyFill="1" applyBorder="1" applyAlignment="1">
      <alignment horizontal="center" vertical="center"/>
    </xf>
    <xf numFmtId="0" fontId="11" fillId="2" borderId="0" xfId="0" applyFont="1" applyFill="1"/>
    <xf numFmtId="0" fontId="11" fillId="0" borderId="35" xfId="0" applyFont="1" applyBorder="1"/>
    <xf numFmtId="168" fontId="11" fillId="0" borderId="31" xfId="0" applyNumberFormat="1" applyFont="1" applyBorder="1" applyAlignment="1">
      <alignment horizontal="center" vertical="center"/>
    </xf>
    <xf numFmtId="0" fontId="11" fillId="0" borderId="7" xfId="0" applyFont="1" applyBorder="1" applyAlignment="1">
      <alignment horizontal="center"/>
    </xf>
    <xf numFmtId="0" fontId="11" fillId="0" borderId="1" xfId="0" applyFont="1" applyBorder="1" applyAlignment="1">
      <alignment horizontal="center" vertical="center"/>
    </xf>
    <xf numFmtId="4" fontId="11" fillId="0" borderId="38" xfId="0" applyNumberFormat="1" applyFont="1" applyBorder="1" applyAlignment="1">
      <alignment horizontal="center" vertical="center"/>
    </xf>
    <xf numFmtId="2" fontId="7" fillId="3" borderId="12" xfId="0" applyNumberFormat="1" applyFont="1" applyFill="1" applyBorder="1" applyAlignment="1" applyProtection="1">
      <alignment horizontal="center" wrapText="1"/>
      <protection locked="0"/>
    </xf>
    <xf numFmtId="2" fontId="7" fillId="3" borderId="13" xfId="0" applyNumberFormat="1" applyFont="1" applyFill="1" applyBorder="1" applyAlignment="1" applyProtection="1">
      <alignment horizontal="center" wrapText="1"/>
      <protection locked="0"/>
    </xf>
    <xf numFmtId="2" fontId="7" fillId="3" borderId="23" xfId="0" applyNumberFormat="1" applyFont="1" applyFill="1" applyBorder="1" applyAlignment="1" applyProtection="1">
      <alignment horizontal="center" wrapText="1"/>
      <protection locked="0"/>
    </xf>
    <xf numFmtId="0" fontId="16" fillId="0" borderId="0" xfId="0" applyFont="1" applyAlignment="1">
      <alignment horizontal="center" vertical="center" wrapText="1"/>
    </xf>
    <xf numFmtId="0" fontId="39" fillId="0" borderId="0" xfId="0" applyFont="1" applyAlignment="1">
      <alignment horizontal="center"/>
    </xf>
    <xf numFmtId="0" fontId="39" fillId="0" borderId="57" xfId="0" applyFont="1" applyBorder="1" applyAlignment="1">
      <alignment horizontal="center"/>
    </xf>
    <xf numFmtId="0" fontId="14" fillId="2" borderId="4" xfId="0" applyFont="1" applyFill="1" applyBorder="1" applyAlignment="1">
      <alignment horizontal="center"/>
    </xf>
    <xf numFmtId="0" fontId="14" fillId="2" borderId="5" xfId="0" applyFont="1" applyFill="1" applyBorder="1" applyAlignment="1">
      <alignment horizontal="center"/>
    </xf>
    <xf numFmtId="0" fontId="14" fillId="2" borderId="6" xfId="0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4" fontId="14" fillId="0" borderId="1" xfId="0" applyNumberFormat="1" applyFont="1" applyBorder="1" applyAlignment="1">
      <alignment horizontal="center" wrapText="1"/>
    </xf>
    <xf numFmtId="0" fontId="14" fillId="0" borderId="31" xfId="0" applyFont="1" applyBorder="1" applyAlignment="1">
      <alignment horizontal="center"/>
    </xf>
    <xf numFmtId="0" fontId="14" fillId="0" borderId="48" xfId="0" applyFont="1" applyBorder="1" applyAlignment="1">
      <alignment horizontal="center"/>
    </xf>
    <xf numFmtId="0" fontId="14" fillId="0" borderId="18" xfId="0" applyFont="1" applyBorder="1" applyAlignment="1">
      <alignment horizontal="center"/>
    </xf>
    <xf numFmtId="0" fontId="14" fillId="0" borderId="4" xfId="0" applyFont="1" applyBorder="1" applyAlignment="1">
      <alignment horizontal="center"/>
    </xf>
    <xf numFmtId="0" fontId="14" fillId="0" borderId="5" xfId="0" applyFont="1" applyBorder="1" applyAlignment="1">
      <alignment horizontal="center"/>
    </xf>
    <xf numFmtId="0" fontId="14" fillId="0" borderId="33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8" fillId="0" borderId="28" xfId="0" applyFont="1" applyBorder="1" applyAlignment="1">
      <alignment horizontal="center"/>
    </xf>
    <xf numFmtId="0" fontId="8" fillId="0" borderId="34" xfId="0" applyFont="1" applyBorder="1" applyAlignment="1">
      <alignment horizontal="center"/>
    </xf>
    <xf numFmtId="0" fontId="8" fillId="0" borderId="30" xfId="0" applyFont="1" applyBorder="1" applyAlignment="1">
      <alignment horizontal="center"/>
    </xf>
    <xf numFmtId="0" fontId="8" fillId="0" borderId="46" xfId="0" applyFont="1" applyBorder="1" applyAlignment="1">
      <alignment horizontal="center"/>
    </xf>
    <xf numFmtId="0" fontId="8" fillId="0" borderId="47" xfId="0" applyFont="1" applyBorder="1" applyAlignment="1">
      <alignment horizontal="center"/>
    </xf>
    <xf numFmtId="0" fontId="8" fillId="0" borderId="16" xfId="0" applyFont="1" applyBorder="1" applyAlignment="1">
      <alignment horizontal="center"/>
    </xf>
    <xf numFmtId="0" fontId="26" fillId="0" borderId="12" xfId="0" applyFont="1" applyBorder="1" applyAlignment="1">
      <alignment horizontal="center" wrapText="1"/>
    </xf>
    <xf numFmtId="0" fontId="26" fillId="0" borderId="13" xfId="0" applyFont="1" applyBorder="1" applyAlignment="1">
      <alignment horizontal="center" wrapText="1"/>
    </xf>
    <xf numFmtId="0" fontId="26" fillId="0" borderId="14" xfId="0" applyFont="1" applyBorder="1" applyAlignment="1">
      <alignment horizontal="center" wrapText="1"/>
    </xf>
    <xf numFmtId="0" fontId="26" fillId="0" borderId="37" xfId="0" applyFont="1" applyBorder="1" applyAlignment="1">
      <alignment horizontal="center" vertical="center" wrapText="1"/>
    </xf>
    <xf numFmtId="0" fontId="7" fillId="0" borderId="58" xfId="0" applyFont="1" applyBorder="1" applyAlignment="1">
      <alignment horizontal="center" vertical="center" wrapText="1"/>
    </xf>
    <xf numFmtId="0" fontId="26" fillId="0" borderId="51" xfId="0" applyFont="1" applyBorder="1" applyAlignment="1">
      <alignment horizontal="center" wrapText="1"/>
    </xf>
    <xf numFmtId="0" fontId="26" fillId="0" borderId="52" xfId="0" applyFont="1" applyBorder="1" applyAlignment="1">
      <alignment horizontal="center" wrapText="1"/>
    </xf>
    <xf numFmtId="0" fontId="7" fillId="0" borderId="0" xfId="0" applyFont="1" applyAlignment="1">
      <alignment horizontal="center"/>
    </xf>
    <xf numFmtId="0" fontId="14" fillId="0" borderId="17" xfId="0" applyFont="1" applyBorder="1" applyAlignment="1">
      <alignment horizontal="center" wrapText="1"/>
    </xf>
    <xf numFmtId="0" fontId="14" fillId="0" borderId="48" xfId="0" applyFont="1" applyBorder="1" applyAlignment="1">
      <alignment horizontal="center" wrapText="1"/>
    </xf>
    <xf numFmtId="0" fontId="14" fillId="0" borderId="18" xfId="0" applyFont="1" applyBorder="1" applyAlignment="1">
      <alignment horizontal="center" wrapText="1"/>
    </xf>
    <xf numFmtId="0" fontId="14" fillId="0" borderId="1" xfId="0" applyFont="1" applyBorder="1" applyAlignment="1">
      <alignment horizontal="center"/>
    </xf>
    <xf numFmtId="0" fontId="14" fillId="0" borderId="12" xfId="0" applyFont="1" applyBorder="1" applyAlignment="1">
      <alignment horizontal="center"/>
    </xf>
    <xf numFmtId="0" fontId="14" fillId="0" borderId="13" xfId="0" applyFont="1" applyBorder="1" applyAlignment="1">
      <alignment horizontal="center"/>
    </xf>
    <xf numFmtId="0" fontId="14" fillId="0" borderId="14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13" xfId="0" applyFont="1" applyBorder="1" applyAlignment="1">
      <alignment horizontal="center"/>
    </xf>
    <xf numFmtId="0" fontId="8" fillId="0" borderId="14" xfId="0" applyFont="1" applyBorder="1" applyAlignment="1">
      <alignment horizontal="center"/>
    </xf>
    <xf numFmtId="0" fontId="8" fillId="0" borderId="24" xfId="0" applyFont="1" applyBorder="1" applyAlignment="1">
      <alignment horizontal="center"/>
    </xf>
    <xf numFmtId="0" fontId="8" fillId="0" borderId="15" xfId="0" applyFont="1" applyBorder="1" applyAlignment="1">
      <alignment horizontal="center"/>
    </xf>
    <xf numFmtId="0" fontId="14" fillId="0" borderId="46" xfId="0" applyFont="1" applyBorder="1" applyAlignment="1">
      <alignment horizontal="center"/>
    </xf>
    <xf numFmtId="0" fontId="14" fillId="0" borderId="47" xfId="0" applyFont="1" applyBorder="1" applyAlignment="1">
      <alignment horizontal="center"/>
    </xf>
    <xf numFmtId="0" fontId="14" fillId="0" borderId="16" xfId="0" applyFont="1" applyBorder="1" applyAlignment="1">
      <alignment horizont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45" fillId="0" borderId="37" xfId="13" applyFont="1" applyBorder="1" applyAlignment="1">
      <alignment horizontal="center" vertical="center"/>
    </xf>
    <xf numFmtId="0" fontId="45" fillId="0" borderId="58" xfId="13" applyFont="1" applyBorder="1" applyAlignment="1">
      <alignment horizontal="center" vertical="center"/>
    </xf>
    <xf numFmtId="0" fontId="45" fillId="0" borderId="12" xfId="13" applyFont="1" applyBorder="1" applyAlignment="1">
      <alignment horizontal="center" vertical="center"/>
    </xf>
    <xf numFmtId="0" fontId="45" fillId="0" borderId="13" xfId="13" applyFont="1" applyBorder="1" applyAlignment="1">
      <alignment horizontal="center" vertical="center"/>
    </xf>
    <xf numFmtId="0" fontId="45" fillId="0" borderId="14" xfId="13" applyFont="1" applyBorder="1" applyAlignment="1">
      <alignment horizontal="center" vertical="center"/>
    </xf>
    <xf numFmtId="0" fontId="14" fillId="0" borderId="28" xfId="0" applyFont="1" applyBorder="1" applyAlignment="1">
      <alignment horizontal="center" vertical="center"/>
    </xf>
    <xf numFmtId="0" fontId="14" fillId="0" borderId="34" xfId="0" applyFont="1" applyBorder="1" applyAlignment="1">
      <alignment horizontal="center" vertical="center"/>
    </xf>
    <xf numFmtId="0" fontId="14" fillId="0" borderId="30" xfId="0" applyFont="1" applyBorder="1" applyAlignment="1">
      <alignment horizontal="center" vertical="center"/>
    </xf>
    <xf numFmtId="0" fontId="25" fillId="14" borderId="1" xfId="0" applyFont="1" applyFill="1" applyBorder="1" applyAlignment="1">
      <alignment horizontal="center"/>
    </xf>
    <xf numFmtId="0" fontId="25" fillId="14" borderId="17" xfId="0" applyFont="1" applyFill="1" applyBorder="1" applyAlignment="1">
      <alignment horizontal="center"/>
    </xf>
    <xf numFmtId="0" fontId="25" fillId="14" borderId="48" xfId="0" applyFont="1" applyFill="1" applyBorder="1" applyAlignment="1">
      <alignment horizontal="center"/>
    </xf>
    <xf numFmtId="0" fontId="25" fillId="14" borderId="18" xfId="0" applyFont="1" applyFill="1" applyBorder="1" applyAlignment="1">
      <alignment horizontal="center"/>
    </xf>
    <xf numFmtId="0" fontId="56" fillId="18" borderId="4" xfId="13" applyFont="1" applyFill="1" applyBorder="1" applyAlignment="1">
      <alignment horizontal="center" vertical="center" wrapText="1"/>
    </xf>
    <xf numFmtId="0" fontId="56" fillId="18" borderId="9" xfId="13" applyFont="1" applyFill="1" applyBorder="1" applyAlignment="1">
      <alignment horizontal="center" vertical="center" wrapText="1"/>
    </xf>
    <xf numFmtId="0" fontId="56" fillId="18" borderId="6" xfId="13" applyFont="1" applyFill="1" applyBorder="1" applyAlignment="1">
      <alignment horizontal="center" vertical="center" wrapText="1"/>
    </xf>
    <xf numFmtId="0" fontId="56" fillId="18" borderId="11" xfId="13" applyFont="1" applyFill="1" applyBorder="1" applyAlignment="1">
      <alignment horizontal="center" vertical="center" wrapText="1"/>
    </xf>
    <xf numFmtId="0" fontId="56" fillId="18" borderId="41" xfId="13" applyFont="1" applyFill="1" applyBorder="1" applyAlignment="1">
      <alignment horizontal="center" vertical="center" wrapText="1"/>
    </xf>
    <xf numFmtId="0" fontId="56" fillId="18" borderId="65" xfId="13" applyFont="1" applyFill="1" applyBorder="1" applyAlignment="1">
      <alignment horizontal="center" vertical="center"/>
    </xf>
    <xf numFmtId="0" fontId="56" fillId="18" borderId="44" xfId="13" applyFont="1" applyFill="1" applyBorder="1" applyAlignment="1">
      <alignment horizontal="center" vertical="center"/>
    </xf>
    <xf numFmtId="0" fontId="56" fillId="18" borderId="24" xfId="13" applyFont="1" applyFill="1" applyBorder="1" applyAlignment="1">
      <alignment horizontal="center" vertical="center"/>
    </xf>
    <xf numFmtId="0" fontId="56" fillId="18" borderId="25" xfId="13" applyFont="1" applyFill="1" applyBorder="1" applyAlignment="1">
      <alignment horizontal="center" vertical="center"/>
    </xf>
    <xf numFmtId="0" fontId="56" fillId="18" borderId="15" xfId="13" applyFont="1" applyFill="1" applyBorder="1" applyAlignment="1">
      <alignment horizontal="center" vertical="center"/>
    </xf>
    <xf numFmtId="0" fontId="56" fillId="18" borderId="24" xfId="0" applyFont="1" applyFill="1" applyBorder="1" applyAlignment="1">
      <alignment horizontal="center" vertical="center"/>
    </xf>
    <xf numFmtId="0" fontId="56" fillId="18" borderId="25" xfId="0" applyFont="1" applyFill="1" applyBorder="1" applyAlignment="1">
      <alignment horizontal="center" vertical="center"/>
    </xf>
    <xf numFmtId="0" fontId="56" fillId="18" borderId="15" xfId="0" applyFont="1" applyFill="1" applyBorder="1" applyAlignment="1">
      <alignment horizontal="center" vertical="center"/>
    </xf>
    <xf numFmtId="0" fontId="56" fillId="18" borderId="65" xfId="13" applyFont="1" applyFill="1" applyBorder="1" applyAlignment="1">
      <alignment horizontal="center" vertical="center" wrapText="1"/>
    </xf>
    <xf numFmtId="0" fontId="56" fillId="18" borderId="44" xfId="13" applyFont="1" applyFill="1" applyBorder="1" applyAlignment="1">
      <alignment horizontal="center" vertical="center" wrapText="1"/>
    </xf>
    <xf numFmtId="0" fontId="56" fillId="18" borderId="24" xfId="13" applyFont="1" applyFill="1" applyBorder="1" applyAlignment="1">
      <alignment horizontal="center" vertical="center" wrapText="1"/>
    </xf>
    <xf numFmtId="0" fontId="56" fillId="18" borderId="25" xfId="13" applyFont="1" applyFill="1" applyBorder="1" applyAlignment="1">
      <alignment horizontal="center" vertical="center" wrapText="1"/>
    </xf>
    <xf numFmtId="0" fontId="56" fillId="18" borderId="15" xfId="13" applyFont="1" applyFill="1" applyBorder="1" applyAlignment="1">
      <alignment horizontal="center" vertical="center" wrapText="1"/>
    </xf>
    <xf numFmtId="0" fontId="56" fillId="18" borderId="64" xfId="0" applyFont="1" applyFill="1" applyBorder="1" applyAlignment="1">
      <alignment horizontal="center" vertical="center"/>
    </xf>
  </cellXfs>
  <cellStyles count="17">
    <cellStyle name="Comma" xfId="4" builtinId="3"/>
    <cellStyle name="Comma 2" xfId="9" xr:uid="{00000000-0005-0000-0000-000001000000}"/>
    <cellStyle name="Neutral 2" xfId="2" xr:uid="{00000000-0005-0000-0000-000002000000}"/>
    <cellStyle name="Neutral 3" xfId="10" xr:uid="{00000000-0005-0000-0000-000003000000}"/>
    <cellStyle name="Normal" xfId="0" builtinId="0"/>
    <cellStyle name="Normal 2" xfId="1" xr:uid="{00000000-0005-0000-0000-000005000000}"/>
    <cellStyle name="Normal 2 2" xfId="3" xr:uid="{00000000-0005-0000-0000-000006000000}"/>
    <cellStyle name="Normal 2 3" xfId="5" xr:uid="{00000000-0005-0000-0000-000007000000}"/>
    <cellStyle name="Normal 3" xfId="7" xr:uid="{00000000-0005-0000-0000-000008000000}"/>
    <cellStyle name="Normal 4" xfId="13" xr:uid="{00000000-0005-0000-0000-000009000000}"/>
    <cellStyle name="Normal 5" xfId="14" xr:uid="{00000000-0005-0000-0000-00000A000000}"/>
    <cellStyle name="Normal 6" xfId="15" xr:uid="{00000000-0005-0000-0000-00000B000000}"/>
    <cellStyle name="Normal 7" xfId="16" xr:uid="{00000000-0005-0000-0000-00000C000000}"/>
    <cellStyle name="Note 2" xfId="8" xr:uid="{00000000-0005-0000-0000-00000D000000}"/>
    <cellStyle name="Percent" xfId="6" builtinId="5"/>
    <cellStyle name="Percent 2" xfId="12" xr:uid="{00000000-0005-0000-0000-00000F000000}"/>
    <cellStyle name="Нормален 2" xfId="11" xr:uid="{00000000-0005-0000-0000-000010000000}"/>
  </cellStyles>
  <dxfs count="6"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37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ustomXml" Target="../customXml/item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Q61"/>
  <sheetViews>
    <sheetView topLeftCell="B5" zoomScale="85" zoomScaleNormal="85" workbookViewId="0">
      <selection activeCell="H41" sqref="H41"/>
    </sheetView>
  </sheetViews>
  <sheetFormatPr defaultColWidth="8.85546875" defaultRowHeight="15" x14ac:dyDescent="0.25"/>
  <cols>
    <col min="1" max="1" width="6" style="149" bestFit="1" customWidth="1"/>
    <col min="2" max="2" width="35.42578125" style="118" customWidth="1"/>
    <col min="3" max="3" width="11.85546875" style="118" bestFit="1" customWidth="1"/>
    <col min="4" max="4" width="11.85546875" style="118" customWidth="1"/>
    <col min="5" max="5" width="11.7109375" style="117" bestFit="1" customWidth="1"/>
    <col min="6" max="6" width="18.140625" style="117" customWidth="1"/>
    <col min="7" max="7" width="21.85546875" style="117" customWidth="1"/>
    <col min="8" max="8" width="19.28515625" style="117" customWidth="1"/>
    <col min="9" max="9" width="13.140625" style="117" customWidth="1"/>
    <col min="10" max="10" width="24.28515625" style="117" customWidth="1"/>
    <col min="11" max="11" width="15.140625" style="117" hidden="1" customWidth="1"/>
    <col min="12" max="12" width="15.140625" style="117" bestFit="1" customWidth="1"/>
    <col min="13" max="14" width="15.140625" style="117" customWidth="1"/>
    <col min="15" max="15" width="24.28515625" style="117" customWidth="1"/>
    <col min="16" max="17" width="12.85546875" style="117" bestFit="1" customWidth="1"/>
    <col min="18" max="16384" width="8.85546875" style="117"/>
  </cols>
  <sheetData>
    <row r="1" spans="2:16" ht="15.75" thickBot="1" x14ac:dyDescent="0.3">
      <c r="L1" s="377">
        <v>147998.64500000011</v>
      </c>
      <c r="M1" s="377">
        <v>229.36627236379309</v>
      </c>
      <c r="N1" s="377">
        <v>33945897.518542349</v>
      </c>
    </row>
    <row r="2" spans="2:16" ht="41.45" customHeight="1" x14ac:dyDescent="0.25">
      <c r="B2" s="128" t="s">
        <v>8</v>
      </c>
      <c r="C2" s="260" t="s">
        <v>18</v>
      </c>
      <c r="D2" s="260" t="s">
        <v>285</v>
      </c>
      <c r="E2" s="260" t="s">
        <v>174</v>
      </c>
      <c r="F2" s="260" t="s">
        <v>285</v>
      </c>
      <c r="G2" s="129" t="s">
        <v>9</v>
      </c>
      <c r="H2" s="130" t="s">
        <v>55</v>
      </c>
      <c r="I2" s="165" t="s">
        <v>57</v>
      </c>
      <c r="L2" s="260" t="s">
        <v>173</v>
      </c>
      <c r="M2" s="129" t="s">
        <v>41</v>
      </c>
      <c r="N2" s="129" t="s">
        <v>146</v>
      </c>
    </row>
    <row r="3" spans="2:16" x14ac:dyDescent="0.25">
      <c r="B3" s="131">
        <v>1</v>
      </c>
      <c r="C3" s="146">
        <v>15</v>
      </c>
      <c r="D3" s="146">
        <v>0</v>
      </c>
      <c r="E3" s="146">
        <v>0</v>
      </c>
      <c r="F3" s="146">
        <v>0</v>
      </c>
      <c r="G3" s="356">
        <f t="shared" ref="G3:G29" si="0">SUM(C3:F3)</f>
        <v>15</v>
      </c>
      <c r="H3" s="362">
        <f t="shared" ref="H3:H32" si="1">+(E3*$E$35+C3*$C$35+F3*$F$35-L3*M3+D3*$D$35)/(C3+D3+E3+F3)</f>
        <v>66.41</v>
      </c>
      <c r="I3" s="166">
        <f t="shared" ref="I3:I32" si="2">($G$41-H3)</f>
        <v>-7.5699999999999932</v>
      </c>
      <c r="J3" s="169"/>
      <c r="K3" s="117">
        <f t="shared" ref="K3:K13" si="3">+IF((G3-L3)&lt;=0,0,IF((G3-L3)&gt;0,(G3-L3)))</f>
        <v>15</v>
      </c>
      <c r="L3" s="146"/>
      <c r="M3" s="146"/>
      <c r="N3" s="146">
        <f>+L3*M3</f>
        <v>0</v>
      </c>
      <c r="O3" s="169"/>
      <c r="P3" s="169"/>
    </row>
    <row r="4" spans="2:16" x14ac:dyDescent="0.25">
      <c r="B4" s="131">
        <f>+B3+1</f>
        <v>2</v>
      </c>
      <c r="C4" s="146">
        <v>15</v>
      </c>
      <c r="D4" s="146">
        <v>0</v>
      </c>
      <c r="E4" s="146">
        <v>0</v>
      </c>
      <c r="F4" s="146">
        <v>0</v>
      </c>
      <c r="G4" s="356">
        <f t="shared" si="0"/>
        <v>15</v>
      </c>
      <c r="H4" s="362">
        <f t="shared" si="1"/>
        <v>66.41</v>
      </c>
      <c r="I4" s="166">
        <f t="shared" si="2"/>
        <v>-7.5699999999999932</v>
      </c>
      <c r="J4" s="169"/>
      <c r="K4" s="117">
        <f t="shared" si="3"/>
        <v>15</v>
      </c>
      <c r="L4" s="146"/>
      <c r="M4" s="146"/>
      <c r="N4" s="146">
        <f t="shared" ref="N4:N32" si="4">+L4*M4</f>
        <v>0</v>
      </c>
      <c r="O4" s="169"/>
      <c r="P4" s="169"/>
    </row>
    <row r="5" spans="2:16" x14ac:dyDescent="0.25">
      <c r="B5" s="131">
        <f t="shared" ref="B5:B32" si="5">+B4+1</f>
        <v>3</v>
      </c>
      <c r="C5" s="146">
        <v>15</v>
      </c>
      <c r="D5" s="146">
        <v>0</v>
      </c>
      <c r="E5" s="146">
        <v>0</v>
      </c>
      <c r="F5" s="146">
        <v>0</v>
      </c>
      <c r="G5" s="356">
        <f t="shared" si="0"/>
        <v>15</v>
      </c>
      <c r="H5" s="362">
        <f t="shared" si="1"/>
        <v>66.41</v>
      </c>
      <c r="I5" s="166">
        <f t="shared" si="2"/>
        <v>-7.5699999999999932</v>
      </c>
      <c r="J5" s="169"/>
      <c r="K5" s="117">
        <f t="shared" si="3"/>
        <v>15</v>
      </c>
      <c r="L5" s="146"/>
      <c r="M5" s="146"/>
      <c r="N5" s="146">
        <f t="shared" si="4"/>
        <v>0</v>
      </c>
      <c r="O5" s="169"/>
      <c r="P5" s="169"/>
    </row>
    <row r="6" spans="2:16" x14ac:dyDescent="0.25">
      <c r="B6" s="131">
        <f t="shared" si="5"/>
        <v>4</v>
      </c>
      <c r="C6" s="146">
        <v>15</v>
      </c>
      <c r="D6" s="146">
        <v>0</v>
      </c>
      <c r="E6" s="146">
        <v>0</v>
      </c>
      <c r="F6" s="146">
        <v>0</v>
      </c>
      <c r="G6" s="356">
        <f t="shared" si="0"/>
        <v>15</v>
      </c>
      <c r="H6" s="362">
        <f t="shared" si="1"/>
        <v>66.41</v>
      </c>
      <c r="I6" s="166">
        <f t="shared" si="2"/>
        <v>-7.5699999999999932</v>
      </c>
      <c r="J6" s="169"/>
      <c r="K6" s="117">
        <f t="shared" si="3"/>
        <v>15</v>
      </c>
      <c r="L6" s="146"/>
      <c r="M6" s="146"/>
      <c r="N6" s="146">
        <f t="shared" si="4"/>
        <v>0</v>
      </c>
      <c r="O6" s="169"/>
      <c r="P6" s="169"/>
    </row>
    <row r="7" spans="2:16" x14ac:dyDescent="0.25">
      <c r="B7" s="131">
        <f t="shared" si="5"/>
        <v>5</v>
      </c>
      <c r="C7" s="146">
        <v>15</v>
      </c>
      <c r="D7" s="146">
        <v>0</v>
      </c>
      <c r="E7" s="146">
        <v>0</v>
      </c>
      <c r="F7" s="146">
        <v>0</v>
      </c>
      <c r="G7" s="356">
        <f t="shared" si="0"/>
        <v>15</v>
      </c>
      <c r="H7" s="362">
        <f t="shared" si="1"/>
        <v>66.41</v>
      </c>
      <c r="I7" s="166">
        <f t="shared" si="2"/>
        <v>-7.5699999999999932</v>
      </c>
      <c r="J7" s="169"/>
      <c r="K7" s="117">
        <f t="shared" si="3"/>
        <v>15</v>
      </c>
      <c r="L7" s="146"/>
      <c r="M7" s="146"/>
      <c r="N7" s="146">
        <f>+L7*M7</f>
        <v>0</v>
      </c>
      <c r="O7" s="169"/>
      <c r="P7" s="169"/>
    </row>
    <row r="8" spans="2:16" x14ac:dyDescent="0.25">
      <c r="B8" s="131">
        <f t="shared" si="5"/>
        <v>6</v>
      </c>
      <c r="C8" s="146">
        <v>15</v>
      </c>
      <c r="D8" s="146">
        <v>0</v>
      </c>
      <c r="E8" s="146">
        <v>0</v>
      </c>
      <c r="F8" s="146">
        <v>0</v>
      </c>
      <c r="G8" s="356">
        <f t="shared" si="0"/>
        <v>15</v>
      </c>
      <c r="H8" s="362">
        <f t="shared" si="1"/>
        <v>66.41</v>
      </c>
      <c r="I8" s="166">
        <f t="shared" si="2"/>
        <v>-7.5699999999999932</v>
      </c>
      <c r="J8" s="169"/>
      <c r="K8" s="117">
        <f t="shared" si="3"/>
        <v>15</v>
      </c>
      <c r="L8" s="146"/>
      <c r="M8" s="146"/>
      <c r="N8" s="146">
        <f>+L8*M8</f>
        <v>0</v>
      </c>
      <c r="O8" s="169"/>
      <c r="P8" s="169"/>
    </row>
    <row r="9" spans="2:16" x14ac:dyDescent="0.25">
      <c r="B9" s="131">
        <f t="shared" si="5"/>
        <v>7</v>
      </c>
      <c r="C9" s="146">
        <v>15</v>
      </c>
      <c r="D9" s="146">
        <v>0</v>
      </c>
      <c r="E9" s="146">
        <v>0</v>
      </c>
      <c r="F9" s="146">
        <v>0</v>
      </c>
      <c r="G9" s="356">
        <f t="shared" si="0"/>
        <v>15</v>
      </c>
      <c r="H9" s="362">
        <f t="shared" si="1"/>
        <v>66.41</v>
      </c>
      <c r="I9" s="166">
        <f t="shared" si="2"/>
        <v>-7.5699999999999932</v>
      </c>
      <c r="J9" s="169"/>
      <c r="K9" s="117">
        <f t="shared" si="3"/>
        <v>15</v>
      </c>
      <c r="L9" s="146"/>
      <c r="M9" s="146"/>
      <c r="N9" s="146">
        <f>+L9*M9</f>
        <v>0</v>
      </c>
      <c r="O9" s="169"/>
      <c r="P9" s="169"/>
    </row>
    <row r="10" spans="2:16" x14ac:dyDescent="0.25">
      <c r="B10" s="131">
        <f t="shared" si="5"/>
        <v>8</v>
      </c>
      <c r="C10" s="146">
        <v>15</v>
      </c>
      <c r="D10" s="146">
        <v>0</v>
      </c>
      <c r="E10" s="146">
        <v>0</v>
      </c>
      <c r="F10" s="146">
        <v>0</v>
      </c>
      <c r="G10" s="356">
        <f t="shared" si="0"/>
        <v>15</v>
      </c>
      <c r="H10" s="362">
        <f t="shared" si="1"/>
        <v>66.41</v>
      </c>
      <c r="I10" s="166">
        <f t="shared" si="2"/>
        <v>-7.5699999999999932</v>
      </c>
      <c r="J10" s="169"/>
      <c r="K10" s="117">
        <f t="shared" si="3"/>
        <v>15</v>
      </c>
      <c r="L10" s="146"/>
      <c r="M10" s="146"/>
      <c r="N10" s="146">
        <f>+L10*M10</f>
        <v>0</v>
      </c>
      <c r="O10" s="169"/>
      <c r="P10" s="169"/>
    </row>
    <row r="11" spans="2:16" x14ac:dyDescent="0.25">
      <c r="B11" s="131">
        <f t="shared" si="5"/>
        <v>9</v>
      </c>
      <c r="C11" s="146">
        <v>15</v>
      </c>
      <c r="D11" s="146">
        <v>0</v>
      </c>
      <c r="E11" s="146">
        <v>0</v>
      </c>
      <c r="F11" s="146">
        <v>0</v>
      </c>
      <c r="G11" s="356">
        <f t="shared" si="0"/>
        <v>15</v>
      </c>
      <c r="H11" s="362">
        <f t="shared" si="1"/>
        <v>66.41</v>
      </c>
      <c r="I11" s="166">
        <f t="shared" si="2"/>
        <v>-7.5699999999999932</v>
      </c>
      <c r="J11" s="169"/>
      <c r="K11" s="117">
        <f t="shared" si="3"/>
        <v>15</v>
      </c>
      <c r="L11" s="146"/>
      <c r="M11" s="146"/>
      <c r="N11" s="146">
        <f t="shared" si="4"/>
        <v>0</v>
      </c>
      <c r="O11" s="169"/>
      <c r="P11" s="169"/>
    </row>
    <row r="12" spans="2:16" x14ac:dyDescent="0.25">
      <c r="B12" s="131">
        <f t="shared" si="5"/>
        <v>10</v>
      </c>
      <c r="C12" s="146">
        <v>15</v>
      </c>
      <c r="D12" s="146">
        <v>0</v>
      </c>
      <c r="E12" s="146">
        <v>0</v>
      </c>
      <c r="F12" s="146">
        <v>0</v>
      </c>
      <c r="G12" s="356">
        <f t="shared" si="0"/>
        <v>15</v>
      </c>
      <c r="H12" s="362">
        <f t="shared" si="1"/>
        <v>66.41</v>
      </c>
      <c r="I12" s="166">
        <f t="shared" si="2"/>
        <v>-7.5699999999999932</v>
      </c>
      <c r="J12" s="169"/>
      <c r="K12" s="117">
        <f t="shared" si="3"/>
        <v>15</v>
      </c>
      <c r="L12" s="146"/>
      <c r="M12" s="146"/>
      <c r="N12" s="146">
        <f t="shared" si="4"/>
        <v>0</v>
      </c>
      <c r="O12" s="169"/>
      <c r="P12" s="169"/>
    </row>
    <row r="13" spans="2:16" x14ac:dyDescent="0.25">
      <c r="B13" s="131">
        <f t="shared" si="5"/>
        <v>11</v>
      </c>
      <c r="C13" s="146">
        <v>15</v>
      </c>
      <c r="D13" s="146">
        <v>0</v>
      </c>
      <c r="E13" s="146">
        <v>0</v>
      </c>
      <c r="F13" s="146">
        <v>0</v>
      </c>
      <c r="G13" s="356">
        <f t="shared" si="0"/>
        <v>15</v>
      </c>
      <c r="H13" s="362">
        <f t="shared" si="1"/>
        <v>66.41</v>
      </c>
      <c r="I13" s="166">
        <f t="shared" si="2"/>
        <v>-7.5699999999999932</v>
      </c>
      <c r="J13" s="169"/>
      <c r="K13" s="117">
        <f t="shared" si="3"/>
        <v>15</v>
      </c>
      <c r="L13" s="146"/>
      <c r="M13" s="146"/>
      <c r="N13" s="146">
        <f t="shared" si="4"/>
        <v>0</v>
      </c>
      <c r="O13" s="169"/>
      <c r="P13" s="169"/>
    </row>
    <row r="14" spans="2:16" x14ac:dyDescent="0.25">
      <c r="B14" s="131">
        <f t="shared" si="5"/>
        <v>12</v>
      </c>
      <c r="C14" s="146">
        <v>15</v>
      </c>
      <c r="D14" s="146">
        <v>0</v>
      </c>
      <c r="E14" s="146">
        <v>0</v>
      </c>
      <c r="F14" s="146">
        <v>0</v>
      </c>
      <c r="G14" s="356">
        <f t="shared" si="0"/>
        <v>15</v>
      </c>
      <c r="H14" s="362">
        <f t="shared" si="1"/>
        <v>66.41</v>
      </c>
      <c r="I14" s="166">
        <f t="shared" si="2"/>
        <v>-7.5699999999999932</v>
      </c>
      <c r="J14" s="169"/>
      <c r="K14" s="117">
        <f t="shared" ref="K14:K32" si="6">+IF((G14-L14)&lt;=0,0,IF((G14-L14)&gt;0,(G14-L14)))</f>
        <v>15</v>
      </c>
      <c r="L14" s="146"/>
      <c r="M14" s="146"/>
      <c r="N14" s="146">
        <f t="shared" si="4"/>
        <v>0</v>
      </c>
      <c r="O14" s="169"/>
      <c r="P14" s="169"/>
    </row>
    <row r="15" spans="2:16" x14ac:dyDescent="0.25">
      <c r="B15" s="131">
        <f t="shared" si="5"/>
        <v>13</v>
      </c>
      <c r="C15" s="146">
        <v>15</v>
      </c>
      <c r="D15" s="146">
        <v>0</v>
      </c>
      <c r="E15" s="146">
        <v>0</v>
      </c>
      <c r="F15" s="146">
        <v>0</v>
      </c>
      <c r="G15" s="356">
        <f t="shared" si="0"/>
        <v>15</v>
      </c>
      <c r="H15" s="362">
        <f t="shared" si="1"/>
        <v>66.41</v>
      </c>
      <c r="I15" s="166">
        <f t="shared" si="2"/>
        <v>-7.5699999999999932</v>
      </c>
      <c r="J15" s="169"/>
      <c r="K15" s="117">
        <f t="shared" si="6"/>
        <v>15</v>
      </c>
      <c r="L15" s="146"/>
      <c r="M15" s="146"/>
      <c r="N15" s="146">
        <f t="shared" si="4"/>
        <v>0</v>
      </c>
      <c r="O15" s="169"/>
      <c r="P15" s="169"/>
    </row>
    <row r="16" spans="2:16" x14ac:dyDescent="0.25">
      <c r="B16" s="131">
        <f t="shared" si="5"/>
        <v>14</v>
      </c>
      <c r="C16" s="146">
        <v>15</v>
      </c>
      <c r="D16" s="146">
        <v>0</v>
      </c>
      <c r="E16" s="146">
        <v>0</v>
      </c>
      <c r="F16" s="146">
        <v>0</v>
      </c>
      <c r="G16" s="356">
        <f t="shared" si="0"/>
        <v>15</v>
      </c>
      <c r="H16" s="362">
        <f t="shared" si="1"/>
        <v>66.41</v>
      </c>
      <c r="I16" s="166">
        <f t="shared" si="2"/>
        <v>-7.5699999999999932</v>
      </c>
      <c r="J16" s="169"/>
      <c r="K16" s="117">
        <f t="shared" si="6"/>
        <v>15</v>
      </c>
      <c r="L16" s="146"/>
      <c r="M16" s="146"/>
      <c r="N16" s="146">
        <f t="shared" si="4"/>
        <v>0</v>
      </c>
      <c r="O16" s="169"/>
      <c r="P16" s="169"/>
    </row>
    <row r="17" spans="2:17" ht="14.25" customHeight="1" x14ac:dyDescent="0.25">
      <c r="B17" s="131">
        <f t="shared" si="5"/>
        <v>15</v>
      </c>
      <c r="C17" s="146">
        <v>15</v>
      </c>
      <c r="D17" s="146">
        <v>0</v>
      </c>
      <c r="E17" s="146">
        <v>0</v>
      </c>
      <c r="F17" s="146">
        <v>0</v>
      </c>
      <c r="G17" s="356">
        <f t="shared" si="0"/>
        <v>15</v>
      </c>
      <c r="H17" s="362">
        <f t="shared" si="1"/>
        <v>66.41</v>
      </c>
      <c r="I17" s="166">
        <f t="shared" si="2"/>
        <v>-7.5699999999999932</v>
      </c>
      <c r="J17" s="169"/>
      <c r="K17" s="117">
        <f t="shared" si="6"/>
        <v>15</v>
      </c>
      <c r="L17" s="146"/>
      <c r="M17" s="146"/>
      <c r="N17" s="146">
        <f t="shared" si="4"/>
        <v>0</v>
      </c>
      <c r="O17" s="169"/>
      <c r="P17" s="169"/>
    </row>
    <row r="18" spans="2:17" x14ac:dyDescent="0.25">
      <c r="B18" s="131">
        <f t="shared" si="5"/>
        <v>16</v>
      </c>
      <c r="C18" s="146"/>
      <c r="D18" s="146"/>
      <c r="E18" s="146"/>
      <c r="F18" s="146"/>
      <c r="G18" s="356">
        <f t="shared" si="0"/>
        <v>0</v>
      </c>
      <c r="H18" s="362" t="e">
        <f t="shared" si="1"/>
        <v>#DIV/0!</v>
      </c>
      <c r="I18" s="166" t="e">
        <f t="shared" si="2"/>
        <v>#DIV/0!</v>
      </c>
      <c r="J18" s="169"/>
      <c r="K18" s="117">
        <f t="shared" si="6"/>
        <v>0</v>
      </c>
      <c r="L18" s="146"/>
      <c r="M18" s="146"/>
      <c r="N18" s="146">
        <f t="shared" si="4"/>
        <v>0</v>
      </c>
      <c r="O18" s="169"/>
      <c r="P18" s="169"/>
      <c r="Q18" s="402"/>
    </row>
    <row r="19" spans="2:17" x14ac:dyDescent="0.25">
      <c r="B19" s="131">
        <f t="shared" si="5"/>
        <v>17</v>
      </c>
      <c r="C19" s="146"/>
      <c r="D19" s="146"/>
      <c r="E19" s="146"/>
      <c r="F19" s="146"/>
      <c r="G19" s="356">
        <f t="shared" si="0"/>
        <v>0</v>
      </c>
      <c r="H19" s="362" t="e">
        <f t="shared" si="1"/>
        <v>#DIV/0!</v>
      </c>
      <c r="I19" s="166" t="e">
        <f t="shared" si="2"/>
        <v>#DIV/0!</v>
      </c>
      <c r="J19" s="169"/>
      <c r="K19" s="117">
        <f t="shared" si="6"/>
        <v>0</v>
      </c>
      <c r="L19" s="146"/>
      <c r="M19" s="146"/>
      <c r="N19" s="146">
        <f t="shared" si="4"/>
        <v>0</v>
      </c>
      <c r="O19" s="169"/>
      <c r="P19" s="169"/>
    </row>
    <row r="20" spans="2:17" x14ac:dyDescent="0.25">
      <c r="B20" s="131">
        <f t="shared" si="5"/>
        <v>18</v>
      </c>
      <c r="C20" s="146"/>
      <c r="D20" s="146"/>
      <c r="E20" s="146"/>
      <c r="F20" s="146"/>
      <c r="G20" s="356">
        <f t="shared" si="0"/>
        <v>0</v>
      </c>
      <c r="H20" s="362" t="e">
        <f t="shared" si="1"/>
        <v>#DIV/0!</v>
      </c>
      <c r="I20" s="166" t="e">
        <f t="shared" si="2"/>
        <v>#DIV/0!</v>
      </c>
      <c r="J20" s="169"/>
      <c r="K20" s="117">
        <f t="shared" si="6"/>
        <v>0</v>
      </c>
      <c r="L20" s="146"/>
      <c r="M20" s="146"/>
      <c r="N20" s="146">
        <f t="shared" si="4"/>
        <v>0</v>
      </c>
      <c r="O20" s="169"/>
      <c r="P20" s="169"/>
    </row>
    <row r="21" spans="2:17" x14ac:dyDescent="0.25">
      <c r="B21" s="131">
        <f t="shared" si="5"/>
        <v>19</v>
      </c>
      <c r="C21" s="146"/>
      <c r="D21" s="146"/>
      <c r="E21" s="146"/>
      <c r="F21" s="146"/>
      <c r="G21" s="356">
        <f t="shared" si="0"/>
        <v>0</v>
      </c>
      <c r="H21" s="362" t="e">
        <f t="shared" si="1"/>
        <v>#DIV/0!</v>
      </c>
      <c r="I21" s="166" t="e">
        <f t="shared" si="2"/>
        <v>#DIV/0!</v>
      </c>
      <c r="J21" s="169"/>
      <c r="K21" s="117">
        <f t="shared" si="6"/>
        <v>0</v>
      </c>
      <c r="L21" s="146"/>
      <c r="M21" s="146"/>
      <c r="N21" s="146">
        <f t="shared" si="4"/>
        <v>0</v>
      </c>
      <c r="O21" s="169"/>
      <c r="P21" s="169"/>
    </row>
    <row r="22" spans="2:17" x14ac:dyDescent="0.25">
      <c r="B22" s="131">
        <f t="shared" si="5"/>
        <v>20</v>
      </c>
      <c r="C22" s="146"/>
      <c r="D22" s="146"/>
      <c r="E22" s="146"/>
      <c r="F22" s="146"/>
      <c r="G22" s="356">
        <f t="shared" si="0"/>
        <v>0</v>
      </c>
      <c r="H22" s="362" t="e">
        <f t="shared" si="1"/>
        <v>#DIV/0!</v>
      </c>
      <c r="I22" s="166" t="e">
        <f t="shared" si="2"/>
        <v>#DIV/0!</v>
      </c>
      <c r="J22" s="169"/>
      <c r="K22" s="117">
        <f t="shared" si="6"/>
        <v>0</v>
      </c>
      <c r="L22" s="146"/>
      <c r="M22" s="146"/>
      <c r="N22" s="146">
        <f t="shared" si="4"/>
        <v>0</v>
      </c>
      <c r="O22" s="169"/>
      <c r="P22" s="169"/>
    </row>
    <row r="23" spans="2:17" x14ac:dyDescent="0.25">
      <c r="B23" s="131">
        <f t="shared" si="5"/>
        <v>21</v>
      </c>
      <c r="C23" s="146"/>
      <c r="D23" s="146"/>
      <c r="E23" s="146"/>
      <c r="F23" s="146"/>
      <c r="G23" s="356">
        <f t="shared" si="0"/>
        <v>0</v>
      </c>
      <c r="H23" s="362" t="e">
        <f t="shared" si="1"/>
        <v>#DIV/0!</v>
      </c>
      <c r="I23" s="166" t="e">
        <f t="shared" si="2"/>
        <v>#DIV/0!</v>
      </c>
      <c r="J23" s="169"/>
      <c r="K23" s="117">
        <f t="shared" si="6"/>
        <v>0</v>
      </c>
      <c r="L23" s="146"/>
      <c r="M23" s="146"/>
      <c r="N23" s="146">
        <f t="shared" si="4"/>
        <v>0</v>
      </c>
      <c r="O23" s="169"/>
      <c r="P23" s="169"/>
    </row>
    <row r="24" spans="2:17" x14ac:dyDescent="0.25">
      <c r="B24" s="131">
        <f t="shared" si="5"/>
        <v>22</v>
      </c>
      <c r="C24" s="146"/>
      <c r="D24" s="146"/>
      <c r="E24" s="146"/>
      <c r="F24" s="146"/>
      <c r="G24" s="356">
        <f t="shared" si="0"/>
        <v>0</v>
      </c>
      <c r="H24" s="362" t="e">
        <f t="shared" si="1"/>
        <v>#DIV/0!</v>
      </c>
      <c r="I24" s="166" t="e">
        <f t="shared" si="2"/>
        <v>#DIV/0!</v>
      </c>
      <c r="J24" s="169"/>
      <c r="K24" s="117">
        <f t="shared" si="6"/>
        <v>0</v>
      </c>
      <c r="L24" s="146"/>
      <c r="M24" s="146"/>
      <c r="N24" s="146">
        <f t="shared" si="4"/>
        <v>0</v>
      </c>
      <c r="O24" s="169"/>
      <c r="P24" s="169"/>
    </row>
    <row r="25" spans="2:17" x14ac:dyDescent="0.25">
      <c r="B25" s="131">
        <f t="shared" si="5"/>
        <v>23</v>
      </c>
      <c r="C25" s="146"/>
      <c r="D25" s="146"/>
      <c r="E25" s="146"/>
      <c r="F25" s="146"/>
      <c r="G25" s="356">
        <f t="shared" si="0"/>
        <v>0</v>
      </c>
      <c r="H25" s="362" t="e">
        <f t="shared" si="1"/>
        <v>#DIV/0!</v>
      </c>
      <c r="I25" s="166" t="e">
        <f t="shared" si="2"/>
        <v>#DIV/0!</v>
      </c>
      <c r="J25" s="169"/>
      <c r="K25" s="117">
        <f t="shared" si="6"/>
        <v>0</v>
      </c>
      <c r="L25" s="146"/>
      <c r="M25" s="146"/>
      <c r="N25" s="146">
        <f>+L25*M25</f>
        <v>0</v>
      </c>
      <c r="O25" s="169"/>
      <c r="P25" s="169"/>
    </row>
    <row r="26" spans="2:17" x14ac:dyDescent="0.25">
      <c r="B26" s="131">
        <f t="shared" si="5"/>
        <v>24</v>
      </c>
      <c r="C26" s="146"/>
      <c r="D26" s="146"/>
      <c r="E26" s="146"/>
      <c r="F26" s="146"/>
      <c r="G26" s="356">
        <f t="shared" si="0"/>
        <v>0</v>
      </c>
      <c r="H26" s="362" t="e">
        <f t="shared" si="1"/>
        <v>#DIV/0!</v>
      </c>
      <c r="I26" s="166" t="e">
        <f t="shared" si="2"/>
        <v>#DIV/0!</v>
      </c>
      <c r="J26" s="169"/>
      <c r="K26" s="117">
        <f t="shared" si="6"/>
        <v>0</v>
      </c>
      <c r="L26" s="146"/>
      <c r="M26" s="146"/>
      <c r="N26" s="146">
        <f>+L26*M26</f>
        <v>0</v>
      </c>
      <c r="O26" s="169"/>
      <c r="P26" s="169"/>
    </row>
    <row r="27" spans="2:17" x14ac:dyDescent="0.25">
      <c r="B27" s="131">
        <f t="shared" si="5"/>
        <v>25</v>
      </c>
      <c r="C27" s="146"/>
      <c r="D27" s="146"/>
      <c r="E27" s="146"/>
      <c r="F27" s="146"/>
      <c r="G27" s="356">
        <f t="shared" si="0"/>
        <v>0</v>
      </c>
      <c r="H27" s="362" t="e">
        <f t="shared" si="1"/>
        <v>#DIV/0!</v>
      </c>
      <c r="I27" s="166" t="e">
        <f t="shared" si="2"/>
        <v>#DIV/0!</v>
      </c>
      <c r="J27" s="169"/>
      <c r="K27" s="117">
        <f t="shared" si="6"/>
        <v>0</v>
      </c>
      <c r="L27" s="146"/>
      <c r="M27" s="146"/>
      <c r="N27" s="146">
        <f t="shared" si="4"/>
        <v>0</v>
      </c>
      <c r="O27" s="169"/>
      <c r="P27" s="169"/>
    </row>
    <row r="28" spans="2:17" x14ac:dyDescent="0.25">
      <c r="B28" s="131">
        <f t="shared" si="5"/>
        <v>26</v>
      </c>
      <c r="C28" s="146"/>
      <c r="D28" s="146"/>
      <c r="E28" s="146"/>
      <c r="F28" s="146"/>
      <c r="G28" s="356">
        <f t="shared" si="0"/>
        <v>0</v>
      </c>
      <c r="H28" s="362" t="e">
        <f t="shared" si="1"/>
        <v>#DIV/0!</v>
      </c>
      <c r="I28" s="166" t="e">
        <f t="shared" si="2"/>
        <v>#DIV/0!</v>
      </c>
      <c r="J28" s="169"/>
      <c r="K28" s="117">
        <f t="shared" si="6"/>
        <v>0</v>
      </c>
      <c r="L28" s="146"/>
      <c r="M28" s="146"/>
      <c r="N28" s="146">
        <f t="shared" si="4"/>
        <v>0</v>
      </c>
      <c r="O28" s="169"/>
      <c r="P28" s="169"/>
    </row>
    <row r="29" spans="2:17" x14ac:dyDescent="0.25">
      <c r="B29" s="131">
        <f t="shared" si="5"/>
        <v>27</v>
      </c>
      <c r="C29" s="146"/>
      <c r="D29" s="146"/>
      <c r="E29" s="146"/>
      <c r="F29" s="146"/>
      <c r="G29" s="356">
        <f t="shared" si="0"/>
        <v>0</v>
      </c>
      <c r="H29" s="362" t="e">
        <f t="shared" si="1"/>
        <v>#DIV/0!</v>
      </c>
      <c r="I29" s="166" t="e">
        <f t="shared" si="2"/>
        <v>#DIV/0!</v>
      </c>
      <c r="J29" s="169"/>
      <c r="K29" s="117">
        <f t="shared" si="6"/>
        <v>0</v>
      </c>
      <c r="L29" s="146"/>
      <c r="M29" s="146"/>
      <c r="N29" s="146">
        <f t="shared" si="4"/>
        <v>0</v>
      </c>
      <c r="O29" s="169"/>
      <c r="P29" s="169"/>
    </row>
    <row r="30" spans="2:17" x14ac:dyDescent="0.25">
      <c r="B30" s="131">
        <f t="shared" si="5"/>
        <v>28</v>
      </c>
      <c r="C30" s="146"/>
      <c r="D30" s="146"/>
      <c r="E30" s="146"/>
      <c r="F30" s="146"/>
      <c r="G30" s="356">
        <f t="shared" ref="G30:G32" si="7">SUM(C30:F30)</f>
        <v>0</v>
      </c>
      <c r="H30" s="362" t="e">
        <f t="shared" si="1"/>
        <v>#DIV/0!</v>
      </c>
      <c r="I30" s="166" t="e">
        <f t="shared" si="2"/>
        <v>#DIV/0!</v>
      </c>
      <c r="J30" s="169"/>
      <c r="L30" s="146"/>
      <c r="M30" s="146"/>
      <c r="N30" s="146">
        <f t="shared" si="4"/>
        <v>0</v>
      </c>
      <c r="O30" s="169"/>
      <c r="P30" s="169"/>
    </row>
    <row r="31" spans="2:17" x14ac:dyDescent="0.25">
      <c r="B31" s="131">
        <f t="shared" si="5"/>
        <v>29</v>
      </c>
      <c r="C31" s="146"/>
      <c r="D31" s="146"/>
      <c r="E31" s="146"/>
      <c r="F31" s="146"/>
      <c r="G31" s="356">
        <f t="shared" si="7"/>
        <v>0</v>
      </c>
      <c r="H31" s="362" t="e">
        <f t="shared" si="1"/>
        <v>#DIV/0!</v>
      </c>
      <c r="I31" s="166" t="e">
        <f t="shared" si="2"/>
        <v>#DIV/0!</v>
      </c>
      <c r="J31" s="169"/>
      <c r="L31" s="146"/>
      <c r="M31" s="146"/>
      <c r="N31" s="146">
        <f t="shared" si="4"/>
        <v>0</v>
      </c>
      <c r="O31" s="169"/>
      <c r="P31" s="169"/>
    </row>
    <row r="32" spans="2:17" ht="15.75" thickBot="1" x14ac:dyDescent="0.3">
      <c r="B32" s="131">
        <f t="shared" si="5"/>
        <v>30</v>
      </c>
      <c r="C32" s="146"/>
      <c r="D32" s="146"/>
      <c r="E32" s="146"/>
      <c r="F32" s="146"/>
      <c r="G32" s="356">
        <f t="shared" si="7"/>
        <v>0</v>
      </c>
      <c r="H32" s="362" t="e">
        <f t="shared" si="1"/>
        <v>#DIV/0!</v>
      </c>
      <c r="I32" s="166" t="e">
        <f t="shared" si="2"/>
        <v>#DIV/0!</v>
      </c>
      <c r="J32" s="169"/>
      <c r="K32" s="117">
        <f t="shared" si="6"/>
        <v>0</v>
      </c>
      <c r="L32" s="146"/>
      <c r="M32" s="146"/>
      <c r="N32" s="146">
        <f t="shared" si="4"/>
        <v>0</v>
      </c>
      <c r="O32" s="169"/>
      <c r="P32" s="169"/>
    </row>
    <row r="33" spans="1:16" ht="15.75" thickBot="1" x14ac:dyDescent="0.3">
      <c r="B33" s="132" t="s">
        <v>10</v>
      </c>
      <c r="C33" s="147">
        <f>SUM(C3:C32)</f>
        <v>225</v>
      </c>
      <c r="D33" s="147">
        <f>SUM(D3:D32)</f>
        <v>0</v>
      </c>
      <c r="E33" s="147">
        <f>SUM(E3:E32)</f>
        <v>0</v>
      </c>
      <c r="F33" s="147">
        <f>SUM(F3:F32)</f>
        <v>0</v>
      </c>
      <c r="G33" s="148">
        <f>SUM(C33:F33)</f>
        <v>225</v>
      </c>
      <c r="H33" s="148">
        <f>IFERROR(ROUND((E3*$E$35+C3*$C$35+F3*$F$35-L3*M3+#REF!*#REF!+D3*$D$35+#REF!*#REF!+#REF!*#REF!+#REF!*#REF!)/G33,2),0)</f>
        <v>0</v>
      </c>
      <c r="I33" s="167"/>
      <c r="J33" s="147"/>
      <c r="K33" s="147">
        <f>SUM(K3:K32)</f>
        <v>225</v>
      </c>
      <c r="L33" s="147">
        <f>SUM(L3:L32)</f>
        <v>0</v>
      </c>
      <c r="M33" s="327" t="e">
        <f>+N33/L33</f>
        <v>#DIV/0!</v>
      </c>
      <c r="N33" s="147">
        <f>SUM(N3:N32)</f>
        <v>0</v>
      </c>
      <c r="O33" s="169"/>
    </row>
    <row r="34" spans="1:16" x14ac:dyDescent="0.25">
      <c r="B34" s="133" t="s">
        <v>13</v>
      </c>
      <c r="C34" s="168">
        <f t="shared" ref="C34:D34" si="8">+C35/1.95583</f>
        <v>33.95489383024087</v>
      </c>
      <c r="D34" s="168">
        <f t="shared" si="8"/>
        <v>0</v>
      </c>
      <c r="E34" s="168">
        <f>+E35/1.95583</f>
        <v>0</v>
      </c>
      <c r="F34" s="168">
        <f>+F35/1.95583</f>
        <v>0</v>
      </c>
      <c r="G34" s="134"/>
      <c r="K34" s="117">
        <f>+K33+'Борса и балансиране'!C34+'Борса и балансиране'!K34*-1</f>
        <v>17359.626</v>
      </c>
      <c r="L34" s="169"/>
    </row>
    <row r="35" spans="1:16" x14ac:dyDescent="0.25">
      <c r="B35" s="135" t="s">
        <v>11</v>
      </c>
      <c r="C35" s="374">
        <v>66.41</v>
      </c>
      <c r="D35" s="374"/>
      <c r="E35" s="374"/>
      <c r="F35" s="374"/>
      <c r="G35" s="136"/>
      <c r="H35" s="142"/>
      <c r="I35" s="142"/>
      <c r="J35" s="169"/>
      <c r="O35" s="169"/>
      <c r="P35" s="169"/>
    </row>
    <row r="36" spans="1:16" x14ac:dyDescent="0.25">
      <c r="B36" s="137" t="s">
        <v>59</v>
      </c>
      <c r="C36" s="138"/>
      <c r="D36" s="138"/>
      <c r="E36" s="138"/>
      <c r="F36" s="138"/>
      <c r="G36" s="136"/>
      <c r="H36" s="169"/>
      <c r="I36" s="169"/>
    </row>
    <row r="37" spans="1:16" ht="15.75" thickBot="1" x14ac:dyDescent="0.3">
      <c r="B37" s="139" t="s">
        <v>12</v>
      </c>
      <c r="C37" s="140">
        <f>C33*C35</f>
        <v>14942.25</v>
      </c>
      <c r="D37" s="140">
        <f t="shared" ref="D37" si="9">D33*D35</f>
        <v>0</v>
      </c>
      <c r="E37" s="140">
        <f>E33*E35</f>
        <v>0</v>
      </c>
      <c r="F37" s="140">
        <f>F33*F35</f>
        <v>0</v>
      </c>
      <c r="G37" s="141">
        <f>SUM(C37:F37)</f>
        <v>14942.25</v>
      </c>
      <c r="H37" s="142"/>
      <c r="J37" s="169"/>
      <c r="K37" s="169"/>
      <c r="L37" s="169"/>
      <c r="M37" s="169"/>
      <c r="N37" s="169"/>
    </row>
    <row r="38" spans="1:16" ht="14.45" customHeight="1" thickBot="1" x14ac:dyDescent="0.3">
      <c r="B38" s="670" t="s">
        <v>70</v>
      </c>
      <c r="C38" s="671"/>
      <c r="D38" s="671"/>
      <c r="E38" s="671"/>
      <c r="F38" s="247"/>
      <c r="G38" s="363">
        <f>ROUND((C33*C35+E33*E35+F33*F35+D33*D35)/(G33),3)</f>
        <v>66.41</v>
      </c>
      <c r="H38" s="170"/>
      <c r="J38" s="169"/>
    </row>
    <row r="39" spans="1:16" ht="15.75" thickBot="1" x14ac:dyDescent="0.3">
      <c r="B39" s="670" t="s">
        <v>5</v>
      </c>
      <c r="C39" s="671"/>
      <c r="D39" s="671"/>
      <c r="E39" s="671"/>
      <c r="F39" s="247"/>
      <c r="G39" s="364">
        <v>58.84</v>
      </c>
      <c r="H39" s="237">
        <f>+G39*0.82</f>
        <v>48.248800000000003</v>
      </c>
      <c r="I39" s="424" t="s">
        <v>237</v>
      </c>
      <c r="J39" s="169"/>
    </row>
    <row r="40" spans="1:16" ht="15.75" thickBot="1" x14ac:dyDescent="0.3">
      <c r="B40" s="670" t="s">
        <v>7</v>
      </c>
      <c r="C40" s="671"/>
      <c r="D40" s="671"/>
      <c r="E40" s="671"/>
      <c r="F40" s="247"/>
      <c r="G40" s="363">
        <f>ROUND(G39*0.1,2)</f>
        <v>5.88</v>
      </c>
      <c r="H40" s="169"/>
      <c r="I40" s="424">
        <f>+(C3*C35+F3*F35+D35*D3)/(C3+D3+F3)</f>
        <v>66.41</v>
      </c>
      <c r="J40" s="169"/>
      <c r="M40" s="170"/>
      <c r="N40" s="170"/>
    </row>
    <row r="41" spans="1:16" ht="46.9" customHeight="1" thickBot="1" x14ac:dyDescent="0.3">
      <c r="B41" s="670" t="s">
        <v>171</v>
      </c>
      <c r="C41" s="671"/>
      <c r="D41" s="671"/>
      <c r="E41" s="671"/>
      <c r="F41" s="671"/>
      <c r="G41" s="143">
        <f>+G39</f>
        <v>58.84</v>
      </c>
      <c r="H41" s="116"/>
      <c r="I41" s="425">
        <f>+G39-I40</f>
        <v>-7.5699999999999932</v>
      </c>
      <c r="J41" s="116"/>
    </row>
    <row r="42" spans="1:16" ht="48" customHeight="1" thickBot="1" x14ac:dyDescent="0.3">
      <c r="B42" s="670" t="s">
        <v>230</v>
      </c>
      <c r="C42" s="671"/>
      <c r="D42" s="671"/>
      <c r="E42" s="671"/>
      <c r="F42" s="671"/>
      <c r="G42" s="143">
        <f>ROUND(G39,2)</f>
        <v>58.84</v>
      </c>
      <c r="H42" s="116"/>
    </row>
    <row r="43" spans="1:16" ht="42.6" customHeight="1" thickBot="1" x14ac:dyDescent="0.3">
      <c r="B43" s="670" t="s">
        <v>266</v>
      </c>
      <c r="C43" s="671"/>
      <c r="D43" s="671"/>
      <c r="E43" s="671"/>
      <c r="F43" s="671"/>
      <c r="G43" s="143">
        <f>+ROUND(G45*0.9,2)</f>
        <v>45.59</v>
      </c>
      <c r="H43" s="116"/>
      <c r="J43" s="116"/>
      <c r="L43" s="142"/>
      <c r="O43" s="116"/>
    </row>
    <row r="44" spans="1:16" ht="30.6" customHeight="1" thickBot="1" x14ac:dyDescent="0.3">
      <c r="B44" s="670" t="s">
        <v>265</v>
      </c>
      <c r="C44" s="671"/>
      <c r="D44" s="671"/>
      <c r="E44" s="671"/>
      <c r="F44" s="671"/>
      <c r="G44" s="143">
        <f>+G45+2</f>
        <v>52.65</v>
      </c>
      <c r="H44" s="116"/>
      <c r="J44" s="116"/>
      <c r="L44" s="117">
        <f>+L43*L42</f>
        <v>0</v>
      </c>
      <c r="O44" s="116"/>
    </row>
    <row r="45" spans="1:16" ht="51.6" customHeight="1" thickBot="1" x14ac:dyDescent="0.3">
      <c r="B45" s="670" t="s">
        <v>231</v>
      </c>
      <c r="C45" s="671"/>
      <c r="D45" s="671"/>
      <c r="E45" s="671"/>
      <c r="F45" s="672"/>
      <c r="G45" s="375">
        <v>50.65</v>
      </c>
      <c r="H45" s="360">
        <f>+(G45/G39)-1</f>
        <v>-0.13919102651257653</v>
      </c>
      <c r="I45" s="170"/>
      <c r="J45" s="116"/>
      <c r="O45" s="116"/>
    </row>
    <row r="46" spans="1:16" ht="33" customHeight="1" thickBot="1" x14ac:dyDescent="0.3">
      <c r="B46" s="670" t="s">
        <v>19</v>
      </c>
      <c r="C46" s="671"/>
      <c r="D46" s="671"/>
      <c r="E46" s="671"/>
      <c r="F46" s="247"/>
      <c r="G46" s="143">
        <f>ROUND(G39*0.92,2)</f>
        <v>54.13</v>
      </c>
      <c r="I46" s="170"/>
      <c r="J46" s="116"/>
      <c r="O46" s="116"/>
    </row>
    <row r="47" spans="1:16" x14ac:dyDescent="0.25">
      <c r="J47" s="170"/>
      <c r="O47" s="170"/>
    </row>
    <row r="48" spans="1:16" s="152" customFormat="1" x14ac:dyDescent="0.25">
      <c r="A48" s="150"/>
      <c r="B48" s="171" t="s">
        <v>118</v>
      </c>
      <c r="C48" s="171"/>
      <c r="D48" s="171"/>
      <c r="E48" s="171"/>
      <c r="F48" s="171"/>
      <c r="G48" s="152" t="s">
        <v>119</v>
      </c>
      <c r="L48" s="117"/>
      <c r="M48" s="117"/>
      <c r="N48" s="117"/>
    </row>
    <row r="49" spans="1:14" s="152" customFormat="1" x14ac:dyDescent="0.25">
      <c r="A49" s="150" t="s">
        <v>4</v>
      </c>
      <c r="B49" s="171"/>
      <c r="C49" s="171"/>
      <c r="D49" s="171"/>
      <c r="E49" s="171" t="s">
        <v>1</v>
      </c>
      <c r="F49" s="171"/>
    </row>
    <row r="50" spans="1:14" s="152" customFormat="1" ht="30" x14ac:dyDescent="0.25">
      <c r="A50" s="150">
        <v>1</v>
      </c>
      <c r="B50" s="172" t="s">
        <v>2</v>
      </c>
      <c r="C50" s="172"/>
      <c r="D50" s="172"/>
      <c r="E50" s="171">
        <f>G41-G38</f>
        <v>-7.5699999999999932</v>
      </c>
      <c r="F50" s="171"/>
    </row>
    <row r="51" spans="1:14" s="152" customFormat="1" x14ac:dyDescent="0.25">
      <c r="A51" s="150">
        <f>+A50+1</f>
        <v>2</v>
      </c>
      <c r="B51" s="172" t="s">
        <v>126</v>
      </c>
      <c r="C51" s="172"/>
      <c r="D51" s="172"/>
      <c r="E51" s="171">
        <f>+G42-G38</f>
        <v>-7.5699999999999932</v>
      </c>
      <c r="F51" s="171"/>
    </row>
    <row r="52" spans="1:14" s="152" customFormat="1" ht="30" x14ac:dyDescent="0.25">
      <c r="A52" s="150">
        <f>+A51+1</f>
        <v>3</v>
      </c>
      <c r="B52" s="172" t="s">
        <v>127</v>
      </c>
      <c r="C52" s="172"/>
      <c r="D52" s="172"/>
      <c r="E52" s="171">
        <f>+G43-G38</f>
        <v>-20.819999999999993</v>
      </c>
      <c r="F52" s="171"/>
      <c r="G52" s="171"/>
    </row>
    <row r="53" spans="1:14" s="152" customFormat="1" x14ac:dyDescent="0.25">
      <c r="A53" s="150">
        <f>+A52+1</f>
        <v>4</v>
      </c>
      <c r="B53" s="172" t="s">
        <v>115</v>
      </c>
      <c r="C53" s="172"/>
      <c r="D53" s="172"/>
      <c r="E53" s="171">
        <f>+G45-G38</f>
        <v>-15.759999999999998</v>
      </c>
      <c r="F53" s="171"/>
      <c r="G53" s="171"/>
    </row>
    <row r="54" spans="1:14" s="152" customFormat="1" ht="30" x14ac:dyDescent="0.25">
      <c r="A54" s="150">
        <f>+A53+1</f>
        <v>5</v>
      </c>
      <c r="B54" s="172" t="s">
        <v>128</v>
      </c>
      <c r="C54" s="172"/>
      <c r="D54" s="172"/>
      <c r="E54" s="171">
        <f>G44-G38</f>
        <v>-13.759999999999998</v>
      </c>
      <c r="F54" s="171"/>
      <c r="G54" s="173"/>
    </row>
    <row r="55" spans="1:14" s="152" customFormat="1" ht="30" x14ac:dyDescent="0.25">
      <c r="A55" s="150">
        <v>1</v>
      </c>
      <c r="B55" s="172" t="s">
        <v>78</v>
      </c>
      <c r="C55" s="172"/>
      <c r="D55" s="172"/>
      <c r="E55" s="171">
        <f>ROUND(G39-G41,4)</f>
        <v>0</v>
      </c>
      <c r="F55" s="171"/>
    </row>
    <row r="56" spans="1:14" s="152" customFormat="1" x14ac:dyDescent="0.25">
      <c r="A56" s="150">
        <f>+A55+1</f>
        <v>2</v>
      </c>
      <c r="B56" s="172" t="s">
        <v>79</v>
      </c>
      <c r="C56" s="172"/>
      <c r="D56" s="172"/>
      <c r="E56" s="173">
        <v>0.4965</v>
      </c>
      <c r="F56" s="173"/>
      <c r="G56" s="174"/>
    </row>
    <row r="57" spans="1:14" s="152" customFormat="1" x14ac:dyDescent="0.25">
      <c r="A57" s="150"/>
      <c r="B57" s="171"/>
      <c r="C57" s="171"/>
      <c r="D57" s="171"/>
      <c r="E57" s="171"/>
      <c r="F57" s="171"/>
    </row>
    <row r="58" spans="1:14" s="152" customFormat="1" x14ac:dyDescent="0.25">
      <c r="A58" s="150"/>
      <c r="B58" s="151"/>
      <c r="C58" s="151"/>
      <c r="D58" s="151"/>
    </row>
    <row r="59" spans="1:14" s="152" customFormat="1" x14ac:dyDescent="0.25">
      <c r="A59" s="150"/>
      <c r="B59" s="151"/>
      <c r="C59" s="151"/>
      <c r="D59" s="151"/>
    </row>
    <row r="60" spans="1:14" x14ac:dyDescent="0.25">
      <c r="L60" s="152"/>
      <c r="M60" s="152"/>
      <c r="N60" s="152"/>
    </row>
    <row r="61" spans="1:14" x14ac:dyDescent="0.25">
      <c r="G61" s="142" t="e">
        <f>+G39-#REF!</f>
        <v>#REF!</v>
      </c>
    </row>
  </sheetData>
  <mergeCells count="9">
    <mergeCell ref="B46:E46"/>
    <mergeCell ref="B38:E38"/>
    <mergeCell ref="B39:E39"/>
    <mergeCell ref="B40:E40"/>
    <mergeCell ref="B44:F44"/>
    <mergeCell ref="B43:F43"/>
    <mergeCell ref="B42:F42"/>
    <mergeCell ref="B41:F41"/>
    <mergeCell ref="B45:F45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0000"/>
  </sheetPr>
  <dimension ref="B1:O34"/>
  <sheetViews>
    <sheetView zoomScale="70" zoomScaleNormal="70" workbookViewId="0">
      <selection activeCell="E17" sqref="E17:E18"/>
    </sheetView>
  </sheetViews>
  <sheetFormatPr defaultColWidth="8.85546875" defaultRowHeight="15" x14ac:dyDescent="0.25"/>
  <cols>
    <col min="1" max="1" width="8.85546875" style="1"/>
    <col min="2" max="2" width="12" style="1" bestFit="1" customWidth="1"/>
    <col min="3" max="3" width="9.7109375" style="1" bestFit="1" customWidth="1"/>
    <col min="4" max="4" width="12.140625" style="1" bestFit="1" customWidth="1"/>
    <col min="5" max="5" width="10.140625" style="1" bestFit="1" customWidth="1"/>
    <col min="6" max="6" width="5.140625" style="1" bestFit="1" customWidth="1"/>
    <col min="7" max="7" width="10.7109375" style="1" bestFit="1" customWidth="1"/>
    <col min="8" max="9" width="15.42578125" style="1" bestFit="1" customWidth="1"/>
    <col min="10" max="10" width="13" style="1" customWidth="1"/>
    <col min="11" max="11" width="17.5703125" style="69" customWidth="1"/>
    <col min="12" max="12" width="13.28515625" style="1" customWidth="1"/>
    <col min="13" max="13" width="17.42578125" style="1" customWidth="1"/>
    <col min="14" max="14" width="19.140625" style="1" bestFit="1" customWidth="1"/>
    <col min="15" max="15" width="12.5703125" style="1" bestFit="1" customWidth="1"/>
    <col min="16" max="16384" width="8.85546875" style="1"/>
  </cols>
  <sheetData>
    <row r="1" spans="2:15" ht="15.75" thickBot="1" x14ac:dyDescent="0.3">
      <c r="H1" s="81"/>
      <c r="I1" s="81"/>
      <c r="J1" s="78"/>
      <c r="K1" s="78"/>
      <c r="M1" s="680" t="s">
        <v>29</v>
      </c>
      <c r="N1" s="680"/>
    </row>
    <row r="2" spans="2:15" ht="15.75" thickBot="1" x14ac:dyDescent="0.3">
      <c r="B2" s="688" t="s">
        <v>109</v>
      </c>
      <c r="C2" s="689"/>
      <c r="D2" s="689"/>
      <c r="E2" s="689"/>
      <c r="F2" s="689"/>
      <c r="G2" s="690"/>
      <c r="H2" s="252"/>
      <c r="I2" s="691" t="s">
        <v>71</v>
      </c>
      <c r="J2" s="679"/>
      <c r="K2" s="692"/>
      <c r="M2" s="2" t="s">
        <v>100</v>
      </c>
      <c r="N2" s="2" t="s">
        <v>81</v>
      </c>
      <c r="O2" s="2" t="s">
        <v>112</v>
      </c>
    </row>
    <row r="3" spans="2:15" ht="43.5" x14ac:dyDescent="0.25">
      <c r="B3" s="26" t="s">
        <v>8</v>
      </c>
      <c r="C3" s="46" t="s">
        <v>22</v>
      </c>
      <c r="D3" s="52" t="s">
        <v>27</v>
      </c>
      <c r="E3" s="52" t="s">
        <v>6</v>
      </c>
      <c r="F3" s="52" t="s">
        <v>21</v>
      </c>
      <c r="G3" s="35" t="s">
        <v>28</v>
      </c>
      <c r="H3" s="121" t="s">
        <v>137</v>
      </c>
      <c r="I3" s="121" t="s">
        <v>138</v>
      </c>
      <c r="J3" s="81" t="s">
        <v>105</v>
      </c>
      <c r="K3" s="35" t="s">
        <v>72</v>
      </c>
      <c r="L3" s="69" t="s">
        <v>122</v>
      </c>
      <c r="M3" s="261">
        <v>0</v>
      </c>
      <c r="N3" s="261">
        <v>0</v>
      </c>
      <c r="O3" s="254"/>
    </row>
    <row r="4" spans="2:15" x14ac:dyDescent="0.25">
      <c r="B4" s="47">
        <v>45383</v>
      </c>
      <c r="C4" s="49">
        <v>3</v>
      </c>
      <c r="D4" s="49">
        <v>2</v>
      </c>
      <c r="E4" s="49">
        <v>2.6469999999999998</v>
      </c>
      <c r="F4" s="21"/>
      <c r="G4" s="48"/>
      <c r="H4" s="57"/>
      <c r="I4" s="57">
        <v>3</v>
      </c>
      <c r="J4" s="76"/>
      <c r="K4" s="73"/>
      <c r="L4" s="124"/>
    </row>
    <row r="5" spans="2:15" x14ac:dyDescent="0.25">
      <c r="B5" s="47">
        <f>+B4+1</f>
        <v>45384</v>
      </c>
      <c r="C5" s="49">
        <v>3</v>
      </c>
      <c r="D5" s="49">
        <v>3</v>
      </c>
      <c r="E5" s="49">
        <v>3.01</v>
      </c>
      <c r="F5" s="21"/>
      <c r="G5" s="48"/>
      <c r="H5" s="57"/>
      <c r="I5" s="57">
        <v>3</v>
      </c>
      <c r="J5" s="76"/>
      <c r="K5" s="73"/>
      <c r="L5" s="124"/>
    </row>
    <row r="6" spans="2:15" x14ac:dyDescent="0.25">
      <c r="B6" s="47">
        <f t="shared" ref="B6:B33" si="0">+B5+1</f>
        <v>45385</v>
      </c>
      <c r="C6" s="49">
        <v>3</v>
      </c>
      <c r="D6" s="49">
        <v>2</v>
      </c>
      <c r="E6" s="49">
        <v>2.669</v>
      </c>
      <c r="F6" s="21"/>
      <c r="G6" s="48"/>
      <c r="H6" s="57">
        <v>3</v>
      </c>
      <c r="I6" s="57"/>
      <c r="J6" s="76"/>
      <c r="K6" s="73"/>
      <c r="L6" s="124"/>
    </row>
    <row r="7" spans="2:15" x14ac:dyDescent="0.25">
      <c r="B7" s="47">
        <f t="shared" si="0"/>
        <v>45386</v>
      </c>
      <c r="C7" s="49">
        <v>3</v>
      </c>
      <c r="D7" s="49">
        <v>0</v>
      </c>
      <c r="E7" s="49">
        <v>2.669</v>
      </c>
      <c r="F7" s="21"/>
      <c r="G7" s="48"/>
      <c r="H7" s="57">
        <v>3</v>
      </c>
      <c r="I7" s="57"/>
      <c r="J7" s="76"/>
      <c r="K7" s="73"/>
      <c r="L7" s="124"/>
    </row>
    <row r="8" spans="2:15" x14ac:dyDescent="0.25">
      <c r="B8" s="47">
        <f t="shared" si="0"/>
        <v>45387</v>
      </c>
      <c r="C8" s="49">
        <v>3</v>
      </c>
      <c r="D8" s="49">
        <v>2</v>
      </c>
      <c r="E8" s="49">
        <v>2.7759999999999998</v>
      </c>
      <c r="F8" s="21"/>
      <c r="G8" s="53"/>
      <c r="H8" s="57">
        <v>3</v>
      </c>
      <c r="I8" s="57"/>
      <c r="J8" s="76"/>
      <c r="K8" s="73"/>
      <c r="L8" s="124"/>
    </row>
    <row r="9" spans="2:15" x14ac:dyDescent="0.25">
      <c r="B9" s="47">
        <f t="shared" si="0"/>
        <v>45388</v>
      </c>
      <c r="C9" s="49">
        <v>3</v>
      </c>
      <c r="D9" s="49">
        <v>2</v>
      </c>
      <c r="E9" s="49">
        <v>2.8290000000000002</v>
      </c>
      <c r="F9" s="21"/>
      <c r="G9" s="53"/>
      <c r="H9" s="57">
        <v>3</v>
      </c>
      <c r="I9" s="57"/>
      <c r="J9" s="76"/>
      <c r="K9" s="73"/>
      <c r="L9" s="124"/>
    </row>
    <row r="10" spans="2:15" x14ac:dyDescent="0.25">
      <c r="B10" s="47">
        <f t="shared" si="0"/>
        <v>45389</v>
      </c>
      <c r="C10" s="49">
        <v>3</v>
      </c>
      <c r="D10" s="49">
        <v>0</v>
      </c>
      <c r="E10" s="49">
        <v>2.573</v>
      </c>
      <c r="F10" s="21"/>
      <c r="G10" s="54"/>
      <c r="H10" s="57">
        <v>3</v>
      </c>
      <c r="I10" s="57"/>
      <c r="J10" s="76"/>
      <c r="K10" s="73"/>
      <c r="L10" s="124"/>
    </row>
    <row r="11" spans="2:15" x14ac:dyDescent="0.25">
      <c r="B11" s="47">
        <f t="shared" si="0"/>
        <v>45390</v>
      </c>
      <c r="C11" s="49">
        <v>3</v>
      </c>
      <c r="D11" s="49">
        <v>0</v>
      </c>
      <c r="E11" s="49">
        <v>2.85</v>
      </c>
      <c r="F11" s="21"/>
      <c r="G11" s="55"/>
      <c r="H11" s="57">
        <v>3</v>
      </c>
      <c r="I11" s="57"/>
      <c r="J11" s="76"/>
      <c r="K11" s="73"/>
      <c r="L11" s="124"/>
    </row>
    <row r="12" spans="2:15" x14ac:dyDescent="0.25">
      <c r="B12" s="47">
        <f t="shared" si="0"/>
        <v>45391</v>
      </c>
      <c r="C12" s="49">
        <v>3</v>
      </c>
      <c r="D12" s="49">
        <v>0</v>
      </c>
      <c r="E12" s="49">
        <v>2.7650000000000001</v>
      </c>
      <c r="F12" s="21"/>
      <c r="G12" s="54"/>
      <c r="H12" s="57">
        <v>3</v>
      </c>
      <c r="I12" s="57"/>
      <c r="J12" s="76"/>
      <c r="K12" s="73"/>
      <c r="L12" s="124"/>
    </row>
    <row r="13" spans="2:15" x14ac:dyDescent="0.25">
      <c r="B13" s="47">
        <f t="shared" si="0"/>
        <v>45392</v>
      </c>
      <c r="C13" s="49">
        <v>3</v>
      </c>
      <c r="D13" s="49">
        <v>0</v>
      </c>
      <c r="E13" s="49">
        <v>2.7010000000000001</v>
      </c>
      <c r="F13" s="21"/>
      <c r="G13" s="56"/>
      <c r="H13" s="57">
        <v>3</v>
      </c>
      <c r="I13" s="57"/>
      <c r="J13" s="76"/>
      <c r="K13" s="73"/>
      <c r="L13" s="124"/>
    </row>
    <row r="14" spans="2:15" x14ac:dyDescent="0.25">
      <c r="B14" s="47">
        <f t="shared" si="0"/>
        <v>45393</v>
      </c>
      <c r="C14" s="49">
        <v>3</v>
      </c>
      <c r="D14" s="49">
        <v>0</v>
      </c>
      <c r="E14" s="49">
        <v>2.8079999999999998</v>
      </c>
      <c r="F14" s="21"/>
      <c r="G14" s="54"/>
      <c r="H14" s="57">
        <v>3</v>
      </c>
      <c r="I14" s="57"/>
      <c r="J14" s="76"/>
      <c r="K14" s="73"/>
      <c r="L14" s="124"/>
    </row>
    <row r="15" spans="2:15" x14ac:dyDescent="0.25">
      <c r="B15" s="47">
        <f t="shared" si="0"/>
        <v>45394</v>
      </c>
      <c r="C15" s="49">
        <v>3</v>
      </c>
      <c r="D15" s="49">
        <v>0</v>
      </c>
      <c r="E15" s="49">
        <v>2.8820000000000001</v>
      </c>
      <c r="F15" s="21"/>
      <c r="G15" s="54"/>
      <c r="H15" s="57">
        <v>3</v>
      </c>
      <c r="I15" s="57"/>
      <c r="J15" s="76"/>
      <c r="K15" s="73"/>
      <c r="L15" s="124"/>
    </row>
    <row r="16" spans="2:15" x14ac:dyDescent="0.25">
      <c r="B16" s="47">
        <f t="shared" si="0"/>
        <v>45395</v>
      </c>
      <c r="C16" s="49">
        <v>0</v>
      </c>
      <c r="D16" s="49">
        <v>0</v>
      </c>
      <c r="E16" s="49">
        <v>2.669</v>
      </c>
      <c r="F16" s="21"/>
      <c r="G16" s="54"/>
      <c r="H16" s="57"/>
      <c r="I16" s="57"/>
      <c r="J16" s="76"/>
      <c r="K16" s="73"/>
      <c r="L16" s="124"/>
    </row>
    <row r="17" spans="2:12" x14ac:dyDescent="0.25">
      <c r="B17" s="47">
        <f t="shared" si="0"/>
        <v>45396</v>
      </c>
      <c r="C17" s="49">
        <v>0</v>
      </c>
      <c r="D17" s="49">
        <v>0</v>
      </c>
      <c r="E17" s="49">
        <v>0</v>
      </c>
      <c r="F17" s="21"/>
      <c r="G17" s="54"/>
      <c r="H17" s="57"/>
      <c r="I17" s="57"/>
      <c r="J17" s="76"/>
      <c r="K17" s="73"/>
      <c r="L17" s="124"/>
    </row>
    <row r="18" spans="2:12" x14ac:dyDescent="0.25">
      <c r="B18" s="47">
        <f t="shared" si="0"/>
        <v>45397</v>
      </c>
      <c r="C18" s="49">
        <v>0</v>
      </c>
      <c r="D18" s="49">
        <v>0</v>
      </c>
      <c r="E18" s="49">
        <v>0</v>
      </c>
      <c r="F18" s="21"/>
      <c r="G18" s="54"/>
      <c r="H18" s="57"/>
      <c r="I18" s="57"/>
      <c r="J18" s="76"/>
      <c r="K18" s="73"/>
      <c r="L18" s="124"/>
    </row>
    <row r="19" spans="2:12" x14ac:dyDescent="0.25">
      <c r="B19" s="47">
        <f t="shared" si="0"/>
        <v>45398</v>
      </c>
      <c r="C19" s="49">
        <v>0</v>
      </c>
      <c r="D19" s="49">
        <v>0</v>
      </c>
      <c r="E19" s="49"/>
      <c r="F19" s="21"/>
      <c r="G19" s="54"/>
      <c r="H19" s="57"/>
      <c r="I19" s="57"/>
      <c r="J19" s="76"/>
      <c r="K19" s="73"/>
      <c r="L19" s="124"/>
    </row>
    <row r="20" spans="2:12" x14ac:dyDescent="0.25">
      <c r="B20" s="47">
        <f t="shared" si="0"/>
        <v>45399</v>
      </c>
      <c r="C20" s="49">
        <v>0</v>
      </c>
      <c r="D20" s="49">
        <v>0</v>
      </c>
      <c r="E20" s="49"/>
      <c r="F20" s="21"/>
      <c r="G20" s="54"/>
      <c r="H20" s="57"/>
      <c r="I20" s="57"/>
      <c r="J20" s="76"/>
      <c r="K20" s="73"/>
      <c r="L20" s="124"/>
    </row>
    <row r="21" spans="2:12" x14ac:dyDescent="0.25">
      <c r="B21" s="47">
        <f t="shared" si="0"/>
        <v>45400</v>
      </c>
      <c r="C21" s="49">
        <v>0</v>
      </c>
      <c r="D21" s="49">
        <v>0</v>
      </c>
      <c r="E21" s="49"/>
      <c r="F21" s="21"/>
      <c r="G21" s="54"/>
      <c r="H21" s="57"/>
      <c r="I21" s="57"/>
      <c r="J21" s="76"/>
      <c r="K21" s="73"/>
      <c r="L21" s="124"/>
    </row>
    <row r="22" spans="2:12" x14ac:dyDescent="0.25">
      <c r="B22" s="47">
        <f t="shared" si="0"/>
        <v>45401</v>
      </c>
      <c r="C22" s="49">
        <v>0</v>
      </c>
      <c r="D22" s="49">
        <v>0</v>
      </c>
      <c r="E22" s="49"/>
      <c r="F22" s="21"/>
      <c r="G22" s="54"/>
      <c r="H22" s="57"/>
      <c r="I22" s="57"/>
      <c r="J22" s="76"/>
      <c r="K22" s="73"/>
      <c r="L22" s="124"/>
    </row>
    <row r="23" spans="2:12" x14ac:dyDescent="0.25">
      <c r="B23" s="47">
        <f t="shared" si="0"/>
        <v>45402</v>
      </c>
      <c r="C23" s="49">
        <v>0</v>
      </c>
      <c r="D23" s="49">
        <v>0</v>
      </c>
      <c r="E23" s="49"/>
      <c r="F23" s="21"/>
      <c r="G23" s="54"/>
      <c r="H23" s="57"/>
      <c r="I23" s="57"/>
      <c r="J23" s="76"/>
      <c r="K23" s="73"/>
      <c r="L23" s="124"/>
    </row>
    <row r="24" spans="2:12" x14ac:dyDescent="0.25">
      <c r="B24" s="47">
        <f t="shared" si="0"/>
        <v>45403</v>
      </c>
      <c r="C24" s="49">
        <v>0</v>
      </c>
      <c r="D24" s="49">
        <v>0</v>
      </c>
      <c r="E24" s="49"/>
      <c r="F24" s="21"/>
      <c r="G24" s="54"/>
      <c r="H24" s="57"/>
      <c r="I24" s="57"/>
      <c r="J24" s="76"/>
      <c r="K24" s="73"/>
      <c r="L24" s="124"/>
    </row>
    <row r="25" spans="2:12" x14ac:dyDescent="0.25">
      <c r="B25" s="47">
        <f t="shared" si="0"/>
        <v>45404</v>
      </c>
      <c r="C25" s="49">
        <v>0</v>
      </c>
      <c r="D25" s="49">
        <v>0</v>
      </c>
      <c r="E25" s="49"/>
      <c r="F25" s="21"/>
      <c r="G25" s="56"/>
      <c r="H25" s="57"/>
      <c r="I25" s="57"/>
      <c r="J25" s="76"/>
      <c r="K25" s="73"/>
      <c r="L25" s="124"/>
    </row>
    <row r="26" spans="2:12" x14ac:dyDescent="0.25">
      <c r="B26" s="47">
        <f t="shared" si="0"/>
        <v>45405</v>
      </c>
      <c r="C26" s="49">
        <v>0</v>
      </c>
      <c r="D26" s="49">
        <v>0</v>
      </c>
      <c r="E26" s="49"/>
      <c r="F26" s="21"/>
      <c r="G26" s="54"/>
      <c r="H26" s="57"/>
      <c r="I26" s="57"/>
      <c r="J26" s="76"/>
      <c r="K26" s="73"/>
      <c r="L26" s="124"/>
    </row>
    <row r="27" spans="2:12" x14ac:dyDescent="0.25">
      <c r="B27" s="47">
        <f t="shared" si="0"/>
        <v>45406</v>
      </c>
      <c r="C27" s="49">
        <v>0</v>
      </c>
      <c r="D27" s="49">
        <v>0</v>
      </c>
      <c r="E27" s="49"/>
      <c r="F27" s="21"/>
      <c r="G27" s="54"/>
      <c r="H27" s="57"/>
      <c r="I27" s="57"/>
      <c r="J27" s="76"/>
      <c r="K27" s="73"/>
      <c r="L27" s="124"/>
    </row>
    <row r="28" spans="2:12" x14ac:dyDescent="0.25">
      <c r="B28" s="47">
        <f t="shared" si="0"/>
        <v>45407</v>
      </c>
      <c r="C28" s="49">
        <v>0</v>
      </c>
      <c r="D28" s="49">
        <v>0</v>
      </c>
      <c r="E28" s="49"/>
      <c r="F28" s="21"/>
      <c r="G28" s="54"/>
      <c r="H28" s="57"/>
      <c r="I28" s="57"/>
      <c r="J28" s="76"/>
      <c r="K28" s="73"/>
      <c r="L28" s="124"/>
    </row>
    <row r="29" spans="2:12" x14ac:dyDescent="0.25">
      <c r="B29" s="47">
        <f t="shared" si="0"/>
        <v>45408</v>
      </c>
      <c r="C29" s="49">
        <v>0</v>
      </c>
      <c r="D29" s="49">
        <v>0</v>
      </c>
      <c r="E29" s="49"/>
      <c r="F29" s="21"/>
      <c r="G29" s="54"/>
      <c r="H29" s="57"/>
      <c r="I29" s="57"/>
      <c r="J29" s="76"/>
      <c r="K29" s="73"/>
      <c r="L29" s="124"/>
    </row>
    <row r="30" spans="2:12" x14ac:dyDescent="0.25">
      <c r="B30" s="47">
        <f t="shared" si="0"/>
        <v>45409</v>
      </c>
      <c r="C30" s="49">
        <v>0</v>
      </c>
      <c r="D30" s="49">
        <v>0</v>
      </c>
      <c r="E30" s="49"/>
      <c r="F30" s="21"/>
      <c r="G30" s="54"/>
      <c r="H30" s="57"/>
      <c r="I30" s="57"/>
      <c r="J30" s="76"/>
      <c r="K30" s="73"/>
      <c r="L30" s="124"/>
    </row>
    <row r="31" spans="2:12" x14ac:dyDescent="0.25">
      <c r="B31" s="47">
        <f t="shared" si="0"/>
        <v>45410</v>
      </c>
      <c r="C31" s="49">
        <v>0</v>
      </c>
      <c r="D31" s="49">
        <v>0</v>
      </c>
      <c r="E31" s="49"/>
      <c r="F31" s="21"/>
      <c r="G31" s="54"/>
      <c r="H31" s="57"/>
      <c r="I31" s="57"/>
      <c r="J31" s="76"/>
      <c r="K31" s="73"/>
      <c r="L31" s="124"/>
    </row>
    <row r="32" spans="2:12" x14ac:dyDescent="0.25">
      <c r="B32" s="47">
        <f t="shared" si="0"/>
        <v>45411</v>
      </c>
      <c r="C32" s="49">
        <v>0</v>
      </c>
      <c r="D32" s="49">
        <v>0</v>
      </c>
      <c r="E32" s="49"/>
      <c r="F32" s="21"/>
      <c r="G32" s="54"/>
      <c r="H32" s="57"/>
      <c r="I32" s="57"/>
      <c r="J32" s="76"/>
      <c r="K32" s="73"/>
      <c r="L32" s="124"/>
    </row>
    <row r="33" spans="2:12" x14ac:dyDescent="0.25">
      <c r="B33" s="47">
        <f t="shared" si="0"/>
        <v>45412</v>
      </c>
      <c r="C33" s="49">
        <v>0</v>
      </c>
      <c r="D33" s="49">
        <v>0</v>
      </c>
      <c r="E33" s="49"/>
      <c r="F33" s="21"/>
      <c r="G33" s="54"/>
      <c r="H33" s="57"/>
      <c r="I33" s="57"/>
      <c r="J33" s="76"/>
      <c r="K33" s="73"/>
      <c r="L33" s="124"/>
    </row>
    <row r="34" spans="2:12" x14ac:dyDescent="0.25">
      <c r="E34" s="16">
        <f>SUM(E4:E33)</f>
        <v>35.847999999999999</v>
      </c>
      <c r="F34" s="16"/>
      <c r="G34" s="18">
        <f>SUM(G4:G33)</f>
        <v>0</v>
      </c>
      <c r="H34" s="18"/>
      <c r="I34" s="18">
        <f>SUM(I4:I33)</f>
        <v>6</v>
      </c>
      <c r="J34" s="18">
        <f>SUM(J4:J33)</f>
        <v>0</v>
      </c>
      <c r="L34" s="18">
        <f>SUM(L4:L33)</f>
        <v>0</v>
      </c>
    </row>
  </sheetData>
  <mergeCells count="3">
    <mergeCell ref="B2:G2"/>
    <mergeCell ref="I2:K2"/>
    <mergeCell ref="M1:N1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0000"/>
  </sheetPr>
  <dimension ref="B1:N34"/>
  <sheetViews>
    <sheetView zoomScale="70" zoomScaleNormal="70" workbookViewId="0">
      <selection activeCell="D17" sqref="D17:E18"/>
    </sheetView>
  </sheetViews>
  <sheetFormatPr defaultColWidth="8.85546875" defaultRowHeight="15" x14ac:dyDescent="0.25"/>
  <cols>
    <col min="1" max="1" width="8.85546875" style="1"/>
    <col min="2" max="2" width="12" style="1" bestFit="1" customWidth="1"/>
    <col min="3" max="3" width="9.7109375" style="1" bestFit="1" customWidth="1"/>
    <col min="4" max="4" width="12.140625" style="1" bestFit="1" customWidth="1"/>
    <col min="5" max="5" width="10.140625" style="154" bestFit="1" customWidth="1"/>
    <col min="6" max="6" width="5.140625" style="1" bestFit="1" customWidth="1"/>
    <col min="7" max="7" width="10.7109375" style="1" bestFit="1" customWidth="1"/>
    <col min="8" max="9" width="15.42578125" style="1" bestFit="1" customWidth="1"/>
    <col min="10" max="10" width="13" style="1" customWidth="1"/>
    <col min="11" max="11" width="17.5703125" style="69" customWidth="1"/>
    <col min="12" max="12" width="13.28515625" style="1" customWidth="1"/>
    <col min="13" max="13" width="17.42578125" style="1" customWidth="1"/>
    <col min="14" max="14" width="19.140625" style="1" bestFit="1" customWidth="1"/>
    <col min="15" max="15" width="12.5703125" style="1" bestFit="1" customWidth="1"/>
    <col min="16" max="16384" width="8.85546875" style="1"/>
  </cols>
  <sheetData>
    <row r="1" spans="2:14" ht="15.75" thickBot="1" x14ac:dyDescent="0.3">
      <c r="H1" s="81"/>
      <c r="I1" s="81"/>
      <c r="J1" s="78"/>
      <c r="K1" s="78"/>
      <c r="M1" s="680" t="s">
        <v>29</v>
      </c>
      <c r="N1" s="680"/>
    </row>
    <row r="2" spans="2:14" ht="15.75" thickBot="1" x14ac:dyDescent="0.3">
      <c r="B2" s="688" t="s">
        <v>111</v>
      </c>
      <c r="C2" s="689"/>
      <c r="D2" s="689"/>
      <c r="E2" s="689"/>
      <c r="F2" s="689"/>
      <c r="G2" s="690"/>
      <c r="H2" s="252"/>
      <c r="I2" s="691" t="s">
        <v>71</v>
      </c>
      <c r="J2" s="679"/>
      <c r="K2" s="692"/>
      <c r="M2" s="2" t="s">
        <v>100</v>
      </c>
      <c r="N2" s="2" t="s">
        <v>81</v>
      </c>
    </row>
    <row r="3" spans="2:14" ht="43.5" x14ac:dyDescent="0.25">
      <c r="B3" s="26" t="s">
        <v>8</v>
      </c>
      <c r="C3" s="46" t="s">
        <v>22</v>
      </c>
      <c r="D3" s="52" t="s">
        <v>27</v>
      </c>
      <c r="E3" s="176" t="s">
        <v>6</v>
      </c>
      <c r="F3" s="52" t="s">
        <v>21</v>
      </c>
      <c r="G3" s="35" t="s">
        <v>28</v>
      </c>
      <c r="H3" s="121" t="s">
        <v>137</v>
      </c>
      <c r="I3" s="121" t="s">
        <v>138</v>
      </c>
      <c r="J3" s="81" t="s">
        <v>105</v>
      </c>
      <c r="K3" s="35" t="s">
        <v>72</v>
      </c>
      <c r="L3" s="69" t="s">
        <v>122</v>
      </c>
      <c r="M3" s="261">
        <v>20</v>
      </c>
      <c r="N3" s="261"/>
    </row>
    <row r="4" spans="2:14" x14ac:dyDescent="0.25">
      <c r="B4" s="47">
        <v>45383</v>
      </c>
      <c r="C4" s="49">
        <v>27</v>
      </c>
      <c r="D4" s="49">
        <v>15</v>
      </c>
      <c r="E4" s="49">
        <v>25.940999999999999</v>
      </c>
      <c r="F4" s="145"/>
      <c r="G4" s="48"/>
      <c r="H4" s="57"/>
      <c r="I4" s="57">
        <v>7</v>
      </c>
      <c r="J4" s="76"/>
      <c r="K4" s="73"/>
      <c r="L4" s="125"/>
    </row>
    <row r="5" spans="2:14" x14ac:dyDescent="0.25">
      <c r="B5" s="47">
        <f>+B4+1</f>
        <v>45384</v>
      </c>
      <c r="C5" s="49">
        <v>27</v>
      </c>
      <c r="D5" s="49">
        <v>15</v>
      </c>
      <c r="E5" s="49">
        <v>28.341999999999999</v>
      </c>
      <c r="F5" s="145"/>
      <c r="G5" s="48"/>
      <c r="H5" s="57"/>
      <c r="I5" s="57">
        <v>7</v>
      </c>
      <c r="J5" s="76"/>
      <c r="K5" s="73"/>
      <c r="L5" s="125"/>
    </row>
    <row r="6" spans="2:14" x14ac:dyDescent="0.25">
      <c r="B6" s="47">
        <f t="shared" ref="B6:B33" si="0">+B5+1</f>
        <v>45385</v>
      </c>
      <c r="C6" s="49">
        <v>27</v>
      </c>
      <c r="D6" s="49">
        <v>15</v>
      </c>
      <c r="E6" s="49">
        <v>27.850999999999999</v>
      </c>
      <c r="F6" s="145"/>
      <c r="G6" s="48"/>
      <c r="H6" s="57">
        <v>7</v>
      </c>
      <c r="I6" s="57"/>
      <c r="J6" s="76"/>
      <c r="K6" s="73"/>
      <c r="L6" s="125"/>
    </row>
    <row r="7" spans="2:14" x14ac:dyDescent="0.25">
      <c r="B7" s="47">
        <f t="shared" si="0"/>
        <v>45386</v>
      </c>
      <c r="C7" s="49">
        <v>27</v>
      </c>
      <c r="D7" s="49">
        <v>15</v>
      </c>
      <c r="E7" s="49">
        <v>27.797999999999998</v>
      </c>
      <c r="F7" s="145"/>
      <c r="G7" s="48"/>
      <c r="H7" s="57">
        <v>7</v>
      </c>
      <c r="I7" s="57"/>
      <c r="J7" s="76"/>
      <c r="K7" s="73"/>
      <c r="L7" s="125"/>
    </row>
    <row r="8" spans="2:14" x14ac:dyDescent="0.25">
      <c r="B8" s="47">
        <f t="shared" si="0"/>
        <v>45387</v>
      </c>
      <c r="C8" s="49">
        <v>27</v>
      </c>
      <c r="D8" s="49">
        <v>15</v>
      </c>
      <c r="E8" s="49">
        <v>27.552</v>
      </c>
      <c r="F8" s="145"/>
      <c r="G8" s="53"/>
      <c r="H8" s="57">
        <v>7</v>
      </c>
      <c r="I8" s="57"/>
      <c r="J8" s="76"/>
      <c r="K8" s="73"/>
      <c r="L8" s="125"/>
    </row>
    <row r="9" spans="2:14" x14ac:dyDescent="0.25">
      <c r="B9" s="47">
        <f t="shared" si="0"/>
        <v>45388</v>
      </c>
      <c r="C9" s="49">
        <v>27</v>
      </c>
      <c r="D9" s="49">
        <v>15</v>
      </c>
      <c r="E9" s="49">
        <v>28.341999999999999</v>
      </c>
      <c r="F9" s="145"/>
      <c r="G9" s="53"/>
      <c r="H9" s="57">
        <v>7</v>
      </c>
      <c r="I9" s="57"/>
      <c r="J9" s="76"/>
      <c r="K9" s="73"/>
      <c r="L9" s="125"/>
    </row>
    <row r="10" spans="2:14" x14ac:dyDescent="0.25">
      <c r="B10" s="47">
        <f t="shared" si="0"/>
        <v>45389</v>
      </c>
      <c r="C10" s="49">
        <v>27</v>
      </c>
      <c r="D10" s="49">
        <v>15</v>
      </c>
      <c r="E10" s="49">
        <v>28.704999999999998</v>
      </c>
      <c r="F10" s="145"/>
      <c r="G10" s="54"/>
      <c r="H10" s="57">
        <v>7</v>
      </c>
      <c r="I10" s="57"/>
      <c r="J10" s="76"/>
      <c r="K10" s="73"/>
      <c r="L10" s="125"/>
    </row>
    <row r="11" spans="2:14" x14ac:dyDescent="0.25">
      <c r="B11" s="47">
        <f t="shared" si="0"/>
        <v>45390</v>
      </c>
      <c r="C11" s="49">
        <v>14</v>
      </c>
      <c r="D11" s="49">
        <v>15</v>
      </c>
      <c r="E11" s="49">
        <v>29.805</v>
      </c>
      <c r="F11" s="145"/>
      <c r="G11" s="55"/>
      <c r="H11" s="57">
        <v>7</v>
      </c>
      <c r="I11" s="57"/>
      <c r="J11" s="76"/>
      <c r="K11" s="73"/>
      <c r="L11" s="125"/>
    </row>
    <row r="12" spans="2:14" x14ac:dyDescent="0.25">
      <c r="B12" s="47">
        <f t="shared" si="0"/>
        <v>45391</v>
      </c>
      <c r="C12" s="49">
        <v>0</v>
      </c>
      <c r="D12" s="49">
        <v>15</v>
      </c>
      <c r="E12" s="49">
        <v>25.898</v>
      </c>
      <c r="F12" s="145"/>
      <c r="G12" s="54"/>
      <c r="H12" s="57">
        <v>5</v>
      </c>
      <c r="I12" s="57"/>
      <c r="J12" s="76"/>
      <c r="K12" s="73"/>
      <c r="L12" s="125"/>
    </row>
    <row r="13" spans="2:14" x14ac:dyDescent="0.25">
      <c r="B13" s="47">
        <f t="shared" si="0"/>
        <v>45392</v>
      </c>
      <c r="C13" s="49">
        <v>0</v>
      </c>
      <c r="D13" s="49">
        <v>15</v>
      </c>
      <c r="E13" s="49">
        <v>30.37</v>
      </c>
      <c r="F13" s="145"/>
      <c r="G13" s="56"/>
      <c r="H13" s="57">
        <v>5</v>
      </c>
      <c r="I13" s="57"/>
      <c r="J13" s="76"/>
      <c r="K13" s="73"/>
      <c r="L13" s="125"/>
    </row>
    <row r="14" spans="2:14" x14ac:dyDescent="0.25">
      <c r="B14" s="47">
        <f t="shared" si="0"/>
        <v>45393</v>
      </c>
      <c r="C14" s="49">
        <v>0</v>
      </c>
      <c r="D14" s="49">
        <v>15</v>
      </c>
      <c r="E14" s="49">
        <v>29.559000000000001</v>
      </c>
      <c r="F14" s="145"/>
      <c r="G14" s="54"/>
      <c r="H14" s="57">
        <v>5</v>
      </c>
      <c r="I14" s="57"/>
      <c r="J14" s="76"/>
      <c r="K14" s="73"/>
      <c r="L14" s="125"/>
    </row>
    <row r="15" spans="2:14" x14ac:dyDescent="0.25">
      <c r="B15" s="47">
        <f t="shared" si="0"/>
        <v>45394</v>
      </c>
      <c r="C15" s="49">
        <v>0</v>
      </c>
      <c r="D15" s="49">
        <v>10</v>
      </c>
      <c r="E15" s="49">
        <v>29.879000000000001</v>
      </c>
      <c r="F15" s="145"/>
      <c r="G15" s="54"/>
      <c r="H15" s="57">
        <v>7</v>
      </c>
      <c r="I15" s="57"/>
      <c r="J15" s="76"/>
      <c r="K15" s="73"/>
      <c r="L15" s="125"/>
    </row>
    <row r="16" spans="2:14" x14ac:dyDescent="0.25">
      <c r="B16" s="47">
        <f t="shared" si="0"/>
        <v>45395</v>
      </c>
      <c r="C16" s="49">
        <v>0</v>
      </c>
      <c r="D16" s="49">
        <v>10</v>
      </c>
      <c r="E16" s="49">
        <v>17.966000000000001</v>
      </c>
      <c r="F16" s="145"/>
      <c r="G16" s="54"/>
      <c r="H16" s="57"/>
      <c r="I16" s="57"/>
      <c r="J16" s="76"/>
      <c r="K16" s="73"/>
      <c r="L16" s="125"/>
    </row>
    <row r="17" spans="2:12" x14ac:dyDescent="0.25">
      <c r="B17" s="47">
        <f t="shared" si="0"/>
        <v>45396</v>
      </c>
      <c r="C17" s="49">
        <v>0</v>
      </c>
      <c r="D17" s="49">
        <v>0</v>
      </c>
      <c r="E17" s="49">
        <v>0</v>
      </c>
      <c r="F17" s="145"/>
      <c r="G17" s="54"/>
      <c r="H17" s="57"/>
      <c r="I17" s="57"/>
      <c r="J17" s="76"/>
      <c r="K17" s="73"/>
      <c r="L17" s="125"/>
    </row>
    <row r="18" spans="2:12" x14ac:dyDescent="0.25">
      <c r="B18" s="47">
        <f t="shared" si="0"/>
        <v>45397</v>
      </c>
      <c r="C18" s="49">
        <v>0</v>
      </c>
      <c r="D18" s="49">
        <v>0</v>
      </c>
      <c r="E18" s="49">
        <v>0</v>
      </c>
      <c r="F18" s="145"/>
      <c r="G18" s="54"/>
      <c r="H18" s="57"/>
      <c r="I18" s="57"/>
      <c r="J18" s="76"/>
      <c r="K18" s="73"/>
      <c r="L18" s="125"/>
    </row>
    <row r="19" spans="2:12" x14ac:dyDescent="0.25">
      <c r="B19" s="47">
        <f t="shared" si="0"/>
        <v>45398</v>
      </c>
      <c r="C19" s="49">
        <v>0</v>
      </c>
      <c r="D19" s="49"/>
      <c r="E19" s="49"/>
      <c r="F19" s="145"/>
      <c r="G19" s="54"/>
      <c r="H19" s="57"/>
      <c r="I19" s="57"/>
      <c r="J19" s="76"/>
      <c r="K19" s="73"/>
      <c r="L19" s="125"/>
    </row>
    <row r="20" spans="2:12" x14ac:dyDescent="0.25">
      <c r="B20" s="47">
        <f t="shared" si="0"/>
        <v>45399</v>
      </c>
      <c r="C20" s="49">
        <v>0</v>
      </c>
      <c r="D20" s="49"/>
      <c r="E20" s="49"/>
      <c r="F20" s="145"/>
      <c r="G20" s="54"/>
      <c r="H20" s="57"/>
      <c r="I20" s="57"/>
      <c r="J20" s="76"/>
      <c r="K20" s="73"/>
      <c r="L20" s="125"/>
    </row>
    <row r="21" spans="2:12" x14ac:dyDescent="0.25">
      <c r="B21" s="47">
        <f t="shared" si="0"/>
        <v>45400</v>
      </c>
      <c r="C21" s="49">
        <v>0</v>
      </c>
      <c r="D21" s="49"/>
      <c r="E21" s="49"/>
      <c r="F21" s="145"/>
      <c r="G21" s="54"/>
      <c r="H21" s="57"/>
      <c r="I21" s="57"/>
      <c r="J21" s="76"/>
      <c r="K21" s="73"/>
      <c r="L21" s="125"/>
    </row>
    <row r="22" spans="2:12" x14ac:dyDescent="0.25">
      <c r="B22" s="47">
        <f t="shared" si="0"/>
        <v>45401</v>
      </c>
      <c r="C22" s="49">
        <v>0</v>
      </c>
      <c r="D22" s="49"/>
      <c r="E22" s="49"/>
      <c r="F22" s="145"/>
      <c r="G22" s="54"/>
      <c r="H22" s="57"/>
      <c r="I22" s="57"/>
      <c r="J22" s="76"/>
      <c r="K22" s="73"/>
      <c r="L22" s="125"/>
    </row>
    <row r="23" spans="2:12" x14ac:dyDescent="0.25">
      <c r="B23" s="47">
        <f t="shared" si="0"/>
        <v>45402</v>
      </c>
      <c r="C23" s="49">
        <v>0</v>
      </c>
      <c r="D23" s="49"/>
      <c r="E23" s="49"/>
      <c r="F23" s="145"/>
      <c r="G23" s="54"/>
      <c r="H23" s="57"/>
      <c r="I23" s="57"/>
      <c r="J23" s="76"/>
      <c r="K23" s="73"/>
      <c r="L23" s="125"/>
    </row>
    <row r="24" spans="2:12" x14ac:dyDescent="0.25">
      <c r="B24" s="47">
        <f t="shared" si="0"/>
        <v>45403</v>
      </c>
      <c r="C24" s="49">
        <v>0</v>
      </c>
      <c r="D24" s="49"/>
      <c r="E24" s="49"/>
      <c r="F24" s="145"/>
      <c r="G24" s="54"/>
      <c r="H24" s="57"/>
      <c r="I24" s="57"/>
      <c r="J24" s="76"/>
      <c r="K24" s="73"/>
      <c r="L24" s="125"/>
    </row>
    <row r="25" spans="2:12" x14ac:dyDescent="0.25">
      <c r="B25" s="47">
        <f t="shared" si="0"/>
        <v>45404</v>
      </c>
      <c r="C25" s="49">
        <v>0</v>
      </c>
      <c r="D25" s="49"/>
      <c r="E25" s="49"/>
      <c r="F25" s="145"/>
      <c r="G25" s="56"/>
      <c r="H25" s="57"/>
      <c r="I25" s="57"/>
      <c r="J25" s="76"/>
      <c r="K25" s="73"/>
      <c r="L25" s="125"/>
    </row>
    <row r="26" spans="2:12" x14ac:dyDescent="0.25">
      <c r="B26" s="47">
        <f t="shared" si="0"/>
        <v>45405</v>
      </c>
      <c r="C26" s="49">
        <v>0</v>
      </c>
      <c r="D26" s="49"/>
      <c r="E26" s="49"/>
      <c r="F26" s="145"/>
      <c r="G26" s="54"/>
      <c r="H26" s="57"/>
      <c r="I26" s="57"/>
      <c r="J26" s="76"/>
      <c r="K26" s="73"/>
      <c r="L26" s="125"/>
    </row>
    <row r="27" spans="2:12" x14ac:dyDescent="0.25">
      <c r="B27" s="47">
        <f t="shared" si="0"/>
        <v>45406</v>
      </c>
      <c r="C27" s="49">
        <v>0</v>
      </c>
      <c r="D27" s="49"/>
      <c r="E27" s="49"/>
      <c r="F27" s="145"/>
      <c r="G27" s="54"/>
      <c r="H27" s="57"/>
      <c r="I27" s="57"/>
      <c r="J27" s="76"/>
      <c r="K27" s="73"/>
      <c r="L27" s="125"/>
    </row>
    <row r="28" spans="2:12" x14ac:dyDescent="0.25">
      <c r="B28" s="47">
        <f t="shared" si="0"/>
        <v>45407</v>
      </c>
      <c r="C28" s="49">
        <v>0</v>
      </c>
      <c r="D28" s="49"/>
      <c r="E28" s="49"/>
      <c r="F28" s="145"/>
      <c r="G28" s="54"/>
      <c r="H28" s="57"/>
      <c r="I28" s="57"/>
      <c r="J28" s="76"/>
      <c r="K28" s="73"/>
      <c r="L28" s="125"/>
    </row>
    <row r="29" spans="2:12" x14ac:dyDescent="0.25">
      <c r="B29" s="47">
        <f t="shared" si="0"/>
        <v>45408</v>
      </c>
      <c r="C29" s="49">
        <v>0</v>
      </c>
      <c r="D29" s="49"/>
      <c r="E29" s="49"/>
      <c r="F29" s="145"/>
      <c r="G29" s="54"/>
      <c r="H29" s="57"/>
      <c r="I29" s="57"/>
      <c r="J29" s="76"/>
      <c r="K29" s="73"/>
      <c r="L29" s="125"/>
    </row>
    <row r="30" spans="2:12" x14ac:dyDescent="0.25">
      <c r="B30" s="47">
        <f t="shared" si="0"/>
        <v>45409</v>
      </c>
      <c r="C30" s="49">
        <v>0</v>
      </c>
      <c r="D30" s="49"/>
      <c r="E30" s="49"/>
      <c r="F30" s="145"/>
      <c r="G30" s="54"/>
      <c r="H30" s="57"/>
      <c r="I30" s="57"/>
      <c r="J30" s="76"/>
      <c r="K30" s="73"/>
      <c r="L30" s="125"/>
    </row>
    <row r="31" spans="2:12" x14ac:dyDescent="0.25">
      <c r="B31" s="47">
        <f t="shared" si="0"/>
        <v>45410</v>
      </c>
      <c r="C31" s="49">
        <v>0</v>
      </c>
      <c r="D31" s="49"/>
      <c r="E31" s="49"/>
      <c r="F31" s="145"/>
      <c r="G31" s="54"/>
      <c r="H31" s="57"/>
      <c r="I31" s="57"/>
      <c r="J31" s="76"/>
      <c r="K31" s="73"/>
      <c r="L31" s="125"/>
    </row>
    <row r="32" spans="2:12" x14ac:dyDescent="0.25">
      <c r="B32" s="47">
        <f t="shared" si="0"/>
        <v>45411</v>
      </c>
      <c r="C32" s="49">
        <v>0</v>
      </c>
      <c r="D32" s="49"/>
      <c r="E32" s="49"/>
      <c r="F32" s="145"/>
      <c r="G32" s="54"/>
      <c r="H32" s="57"/>
      <c r="I32" s="57"/>
      <c r="J32" s="76"/>
      <c r="K32" s="73"/>
      <c r="L32" s="125"/>
    </row>
    <row r="33" spans="2:12" x14ac:dyDescent="0.25">
      <c r="B33" s="47">
        <f t="shared" si="0"/>
        <v>45412</v>
      </c>
      <c r="C33" s="49">
        <v>0</v>
      </c>
      <c r="D33" s="49"/>
      <c r="E33" s="49"/>
      <c r="F33" s="145"/>
      <c r="G33" s="54"/>
      <c r="H33" s="57"/>
      <c r="I33" s="57"/>
      <c r="J33" s="76"/>
      <c r="K33" s="73"/>
      <c r="L33" s="125"/>
    </row>
    <row r="34" spans="2:12" x14ac:dyDescent="0.25">
      <c r="E34" s="156">
        <f>SUM(E4:E33)</f>
        <v>358.00800000000004</v>
      </c>
      <c r="F34" s="16"/>
      <c r="G34" s="18">
        <f>SUM(G4:G33)</f>
        <v>0</v>
      </c>
      <c r="H34" s="18">
        <f>SUM(H4:H33)</f>
        <v>64</v>
      </c>
      <c r="I34" s="18">
        <f>SUM(I4:I33)</f>
        <v>14</v>
      </c>
      <c r="J34" s="18">
        <f>SUM(J4:J33)</f>
        <v>0</v>
      </c>
      <c r="L34" s="186">
        <f>SUM(L4:L33)</f>
        <v>0</v>
      </c>
    </row>
  </sheetData>
  <mergeCells count="3">
    <mergeCell ref="M1:N1"/>
    <mergeCell ref="B2:G2"/>
    <mergeCell ref="I2:K2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0000"/>
  </sheetPr>
  <dimension ref="B1:O34"/>
  <sheetViews>
    <sheetView zoomScale="70" zoomScaleNormal="70" workbookViewId="0">
      <selection activeCell="E11" sqref="E11:E18"/>
    </sheetView>
  </sheetViews>
  <sheetFormatPr defaultColWidth="8.85546875" defaultRowHeight="15" x14ac:dyDescent="0.25"/>
  <cols>
    <col min="1" max="1" width="8.85546875" style="1"/>
    <col min="2" max="2" width="12" style="1" bestFit="1" customWidth="1"/>
    <col min="3" max="3" width="9.7109375" style="1" bestFit="1" customWidth="1"/>
    <col min="4" max="4" width="12.140625" style="1" bestFit="1" customWidth="1"/>
    <col min="5" max="5" width="10.140625" style="1" bestFit="1" customWidth="1"/>
    <col min="6" max="6" width="5.140625" style="1" bestFit="1" customWidth="1"/>
    <col min="7" max="7" width="10.7109375" style="1" bestFit="1" customWidth="1"/>
    <col min="8" max="9" width="15.42578125" style="1" bestFit="1" customWidth="1"/>
    <col min="10" max="10" width="13" style="1" customWidth="1"/>
    <col min="11" max="11" width="17.5703125" style="69" customWidth="1"/>
    <col min="12" max="12" width="13.28515625" style="1" customWidth="1"/>
    <col min="13" max="13" width="17.42578125" style="1" customWidth="1"/>
    <col min="14" max="14" width="19.140625" style="1" bestFit="1" customWidth="1"/>
    <col min="15" max="15" width="12.5703125" style="1" bestFit="1" customWidth="1"/>
    <col min="16" max="16384" width="8.85546875" style="1"/>
  </cols>
  <sheetData>
    <row r="1" spans="2:15" ht="15.75" thickBot="1" x14ac:dyDescent="0.3">
      <c r="H1" s="81"/>
      <c r="I1" s="81"/>
      <c r="J1" s="78"/>
      <c r="K1" s="78"/>
      <c r="M1" s="680" t="s">
        <v>29</v>
      </c>
      <c r="N1" s="680"/>
    </row>
    <row r="2" spans="2:15" ht="15.75" thickBot="1" x14ac:dyDescent="0.3">
      <c r="B2" s="688" t="s">
        <v>113</v>
      </c>
      <c r="C2" s="689"/>
      <c r="D2" s="689"/>
      <c r="E2" s="689"/>
      <c r="F2" s="689"/>
      <c r="G2" s="690"/>
      <c r="H2" s="252"/>
      <c r="I2" s="691" t="s">
        <v>71</v>
      </c>
      <c r="J2" s="679"/>
      <c r="K2" s="692"/>
      <c r="M2" s="2" t="s">
        <v>100</v>
      </c>
      <c r="N2" s="2" t="s">
        <v>81</v>
      </c>
      <c r="O2" s="2" t="s">
        <v>112</v>
      </c>
    </row>
    <row r="3" spans="2:15" ht="43.5" x14ac:dyDescent="0.25">
      <c r="B3" s="26" t="s">
        <v>8</v>
      </c>
      <c r="C3" s="46" t="s">
        <v>22</v>
      </c>
      <c r="D3" s="52" t="s">
        <v>27</v>
      </c>
      <c r="E3" s="52" t="s">
        <v>6</v>
      </c>
      <c r="F3" s="52" t="s">
        <v>21</v>
      </c>
      <c r="G3" s="35" t="s">
        <v>28</v>
      </c>
      <c r="H3" s="121" t="s">
        <v>137</v>
      </c>
      <c r="I3" s="121" t="s">
        <v>138</v>
      </c>
      <c r="J3" s="81" t="s">
        <v>105</v>
      </c>
      <c r="K3" s="35" t="s">
        <v>72</v>
      </c>
      <c r="L3" s="69"/>
      <c r="M3" s="111"/>
      <c r="N3" s="111">
        <v>0.35</v>
      </c>
      <c r="O3" s="254"/>
    </row>
    <row r="4" spans="2:15" x14ac:dyDescent="0.25">
      <c r="B4" s="47">
        <v>45383</v>
      </c>
      <c r="C4" s="49">
        <v>0.35</v>
      </c>
      <c r="D4" s="49">
        <v>0</v>
      </c>
      <c r="E4" s="49">
        <v>0.214</v>
      </c>
      <c r="F4" s="145"/>
      <c r="G4" s="48"/>
      <c r="H4" s="57"/>
      <c r="I4" s="57"/>
      <c r="J4" s="76"/>
      <c r="K4" s="73"/>
      <c r="L4" s="361"/>
      <c r="O4" s="124"/>
    </row>
    <row r="5" spans="2:15" x14ac:dyDescent="0.25">
      <c r="B5" s="47">
        <f>+B4+1</f>
        <v>45384</v>
      </c>
      <c r="C5" s="49">
        <v>0.35</v>
      </c>
      <c r="D5" s="49">
        <v>0</v>
      </c>
      <c r="E5" s="49">
        <v>0.32</v>
      </c>
      <c r="F5" s="145"/>
      <c r="G5" s="48"/>
      <c r="H5" s="57"/>
      <c r="I5" s="57"/>
      <c r="J5" s="76"/>
      <c r="K5" s="73"/>
      <c r="L5" s="361"/>
      <c r="O5" s="124"/>
    </row>
    <row r="6" spans="2:15" x14ac:dyDescent="0.25">
      <c r="B6" s="47">
        <f t="shared" ref="B6:B33" si="0">+B5+1</f>
        <v>45385</v>
      </c>
      <c r="C6" s="49">
        <v>0.35</v>
      </c>
      <c r="D6" s="49">
        <v>0</v>
      </c>
      <c r="E6" s="49">
        <v>0.214</v>
      </c>
      <c r="F6" s="145"/>
      <c r="G6" s="48"/>
      <c r="H6" s="57"/>
      <c r="I6" s="57"/>
      <c r="J6" s="76"/>
      <c r="K6" s="73"/>
      <c r="L6" s="361"/>
      <c r="O6" s="124"/>
    </row>
    <row r="7" spans="2:15" x14ac:dyDescent="0.25">
      <c r="B7" s="47">
        <f t="shared" si="0"/>
        <v>45386</v>
      </c>
      <c r="C7" s="49">
        <v>0.35</v>
      </c>
      <c r="D7" s="49">
        <v>0</v>
      </c>
      <c r="E7" s="49">
        <v>0.23499999999999999</v>
      </c>
      <c r="F7" s="145"/>
      <c r="G7" s="48"/>
      <c r="H7" s="57"/>
      <c r="I7" s="57"/>
      <c r="J7" s="76"/>
      <c r="K7" s="73"/>
      <c r="L7" s="361"/>
      <c r="O7" s="124"/>
    </row>
    <row r="8" spans="2:15" x14ac:dyDescent="0.25">
      <c r="B8" s="47">
        <f t="shared" si="0"/>
        <v>45387</v>
      </c>
      <c r="C8" s="49">
        <v>0.35</v>
      </c>
      <c r="D8" s="49">
        <v>0</v>
      </c>
      <c r="E8" s="49">
        <v>0.23499999999999999</v>
      </c>
      <c r="F8" s="145"/>
      <c r="G8" s="48"/>
      <c r="H8" s="57"/>
      <c r="I8" s="57"/>
      <c r="J8" s="76"/>
      <c r="K8" s="73"/>
      <c r="L8" s="361"/>
      <c r="O8" s="124"/>
    </row>
    <row r="9" spans="2:15" x14ac:dyDescent="0.25">
      <c r="B9" s="47">
        <f t="shared" si="0"/>
        <v>45388</v>
      </c>
      <c r="C9" s="49">
        <v>0.35</v>
      </c>
      <c r="D9" s="49">
        <v>0</v>
      </c>
      <c r="E9" s="49">
        <v>0.224</v>
      </c>
      <c r="F9" s="145"/>
      <c r="G9" s="48"/>
      <c r="H9" s="57"/>
      <c r="I9" s="57"/>
      <c r="J9" s="76"/>
      <c r="K9" s="73"/>
      <c r="L9" s="361"/>
      <c r="O9" s="124"/>
    </row>
    <row r="10" spans="2:15" x14ac:dyDescent="0.25">
      <c r="B10" s="47">
        <f t="shared" si="0"/>
        <v>45389</v>
      </c>
      <c r="C10" s="49">
        <v>0.35</v>
      </c>
      <c r="D10" s="49">
        <v>0</v>
      </c>
      <c r="E10" s="49">
        <v>0</v>
      </c>
      <c r="F10" s="145"/>
      <c r="G10" s="48"/>
      <c r="H10" s="57"/>
      <c r="I10" s="57"/>
      <c r="J10" s="76"/>
      <c r="K10" s="73"/>
      <c r="L10" s="361"/>
      <c r="O10" s="124"/>
    </row>
    <row r="11" spans="2:15" x14ac:dyDescent="0.25">
      <c r="B11" s="47">
        <f t="shared" si="0"/>
        <v>45390</v>
      </c>
      <c r="C11" s="49">
        <v>0.35</v>
      </c>
      <c r="D11" s="49">
        <v>0</v>
      </c>
      <c r="E11" s="49">
        <v>0</v>
      </c>
      <c r="F11" s="145"/>
      <c r="G11" s="48"/>
      <c r="H11" s="57"/>
      <c r="I11" s="57"/>
      <c r="J11" s="76"/>
      <c r="K11" s="73"/>
      <c r="L11" s="361"/>
      <c r="O11" s="124"/>
    </row>
    <row r="12" spans="2:15" x14ac:dyDescent="0.25">
      <c r="B12" s="47">
        <f t="shared" si="0"/>
        <v>45391</v>
      </c>
      <c r="C12" s="49">
        <v>0.35</v>
      </c>
      <c r="D12" s="49">
        <v>0</v>
      </c>
      <c r="E12" s="49">
        <v>0</v>
      </c>
      <c r="F12" s="145"/>
      <c r="G12" s="48"/>
      <c r="H12" s="57"/>
      <c r="I12" s="57"/>
      <c r="J12" s="76"/>
      <c r="K12" s="73"/>
      <c r="L12" s="361"/>
      <c r="O12" s="124"/>
    </row>
    <row r="13" spans="2:15" x14ac:dyDescent="0.25">
      <c r="B13" s="47">
        <f t="shared" si="0"/>
        <v>45392</v>
      </c>
      <c r="C13" s="49">
        <v>0.35</v>
      </c>
      <c r="D13" s="49">
        <v>0</v>
      </c>
      <c r="E13" s="49">
        <v>0</v>
      </c>
      <c r="F13" s="145"/>
      <c r="G13" s="48"/>
      <c r="H13" s="57"/>
      <c r="I13" s="57"/>
      <c r="J13" s="76"/>
      <c r="K13" s="73"/>
      <c r="L13" s="361"/>
      <c r="O13" s="124"/>
    </row>
    <row r="14" spans="2:15" x14ac:dyDescent="0.25">
      <c r="B14" s="47">
        <f t="shared" si="0"/>
        <v>45393</v>
      </c>
      <c r="C14" s="49">
        <v>0.35</v>
      </c>
      <c r="D14" s="49">
        <v>0</v>
      </c>
      <c r="E14" s="49">
        <v>0</v>
      </c>
      <c r="F14" s="145"/>
      <c r="G14" s="48"/>
      <c r="H14" s="57"/>
      <c r="I14" s="57"/>
      <c r="J14" s="76"/>
      <c r="K14" s="73"/>
      <c r="L14" s="361"/>
      <c r="O14" s="124"/>
    </row>
    <row r="15" spans="2:15" x14ac:dyDescent="0.25">
      <c r="B15" s="47">
        <f t="shared" si="0"/>
        <v>45394</v>
      </c>
      <c r="C15" s="49">
        <v>0.35</v>
      </c>
      <c r="D15" s="49">
        <v>0</v>
      </c>
      <c r="E15" s="49">
        <v>0</v>
      </c>
      <c r="F15" s="145"/>
      <c r="G15" s="48"/>
      <c r="H15" s="57"/>
      <c r="I15" s="57"/>
      <c r="J15" s="76"/>
      <c r="K15" s="73"/>
      <c r="L15" s="361"/>
      <c r="O15" s="124"/>
    </row>
    <row r="16" spans="2:15" x14ac:dyDescent="0.25">
      <c r="B16" s="47">
        <f t="shared" si="0"/>
        <v>45395</v>
      </c>
      <c r="C16" s="49">
        <v>0.35</v>
      </c>
      <c r="D16" s="49">
        <v>0</v>
      </c>
      <c r="E16" s="49">
        <v>0</v>
      </c>
      <c r="F16" s="145"/>
      <c r="G16" s="48"/>
      <c r="H16" s="57"/>
      <c r="I16" s="57"/>
      <c r="J16" s="76"/>
      <c r="K16" s="73"/>
      <c r="L16" s="361"/>
      <c r="O16" s="124"/>
    </row>
    <row r="17" spans="2:15" x14ac:dyDescent="0.25">
      <c r="B17" s="47">
        <f t="shared" si="0"/>
        <v>45396</v>
      </c>
      <c r="C17" s="49">
        <v>0.35</v>
      </c>
      <c r="D17" s="49">
        <v>0</v>
      </c>
      <c r="E17" s="49">
        <v>0</v>
      </c>
      <c r="F17" s="145"/>
      <c r="G17" s="48"/>
      <c r="H17" s="57"/>
      <c r="I17" s="57"/>
      <c r="J17" s="76"/>
      <c r="K17" s="73"/>
      <c r="L17" s="361"/>
      <c r="O17" s="124"/>
    </row>
    <row r="18" spans="2:15" x14ac:dyDescent="0.25">
      <c r="B18" s="47">
        <f t="shared" si="0"/>
        <v>45397</v>
      </c>
      <c r="C18" s="49">
        <v>0.35</v>
      </c>
      <c r="D18" s="49">
        <v>0</v>
      </c>
      <c r="E18" s="49">
        <v>0</v>
      </c>
      <c r="F18" s="145"/>
      <c r="G18" s="48"/>
      <c r="H18" s="57"/>
      <c r="I18" s="57"/>
      <c r="J18" s="76"/>
      <c r="K18" s="73"/>
      <c r="L18" s="361"/>
      <c r="O18" s="124"/>
    </row>
    <row r="19" spans="2:15" x14ac:dyDescent="0.25">
      <c r="B19" s="47">
        <f t="shared" si="0"/>
        <v>45398</v>
      </c>
      <c r="C19" s="49">
        <v>0</v>
      </c>
      <c r="D19" s="49">
        <v>0</v>
      </c>
      <c r="E19" s="49"/>
      <c r="F19" s="145"/>
      <c r="G19" s="48"/>
      <c r="H19" s="57"/>
      <c r="I19" s="57"/>
      <c r="J19" s="76"/>
      <c r="K19" s="73"/>
      <c r="L19" s="361"/>
      <c r="O19" s="124"/>
    </row>
    <row r="20" spans="2:15" x14ac:dyDescent="0.25">
      <c r="B20" s="47">
        <f t="shared" si="0"/>
        <v>45399</v>
      </c>
      <c r="C20" s="49">
        <v>0</v>
      </c>
      <c r="D20" s="49">
        <v>0</v>
      </c>
      <c r="E20" s="49"/>
      <c r="F20" s="145"/>
      <c r="G20" s="48"/>
      <c r="H20" s="57"/>
      <c r="I20" s="57"/>
      <c r="J20" s="76"/>
      <c r="K20" s="73"/>
      <c r="L20" s="361"/>
      <c r="O20" s="124"/>
    </row>
    <row r="21" spans="2:15" x14ac:dyDescent="0.25">
      <c r="B21" s="47">
        <f t="shared" si="0"/>
        <v>45400</v>
      </c>
      <c r="C21" s="49">
        <v>0</v>
      </c>
      <c r="D21" s="49">
        <v>0</v>
      </c>
      <c r="E21" s="49"/>
      <c r="F21" s="145"/>
      <c r="G21" s="48"/>
      <c r="H21" s="57"/>
      <c r="I21" s="57"/>
      <c r="J21" s="76"/>
      <c r="K21" s="73"/>
      <c r="L21" s="361"/>
      <c r="O21" s="124"/>
    </row>
    <row r="22" spans="2:15" x14ac:dyDescent="0.25">
      <c r="B22" s="47">
        <f t="shared" si="0"/>
        <v>45401</v>
      </c>
      <c r="C22" s="49">
        <v>0</v>
      </c>
      <c r="D22" s="49">
        <v>0</v>
      </c>
      <c r="E22" s="49"/>
      <c r="F22" s="145"/>
      <c r="G22" s="48"/>
      <c r="H22" s="57"/>
      <c r="I22" s="57"/>
      <c r="J22" s="76"/>
      <c r="K22" s="73"/>
      <c r="L22" s="361"/>
      <c r="O22" s="124"/>
    </row>
    <row r="23" spans="2:15" x14ac:dyDescent="0.25">
      <c r="B23" s="47">
        <f t="shared" si="0"/>
        <v>45402</v>
      </c>
      <c r="C23" s="49">
        <v>0</v>
      </c>
      <c r="D23" s="49">
        <v>0</v>
      </c>
      <c r="E23" s="49"/>
      <c r="F23" s="145"/>
      <c r="G23" s="48"/>
      <c r="H23" s="57"/>
      <c r="I23" s="57"/>
      <c r="J23" s="76"/>
      <c r="K23" s="73"/>
      <c r="L23" s="361"/>
      <c r="O23" s="124"/>
    </row>
    <row r="24" spans="2:15" x14ac:dyDescent="0.25">
      <c r="B24" s="47">
        <f t="shared" si="0"/>
        <v>45403</v>
      </c>
      <c r="C24" s="49">
        <v>0</v>
      </c>
      <c r="D24" s="49">
        <v>0</v>
      </c>
      <c r="E24" s="49"/>
      <c r="F24" s="145"/>
      <c r="G24" s="48"/>
      <c r="H24" s="57"/>
      <c r="I24" s="57"/>
      <c r="J24" s="76"/>
      <c r="K24" s="73"/>
      <c r="L24" s="361"/>
      <c r="O24" s="124"/>
    </row>
    <row r="25" spans="2:15" x14ac:dyDescent="0.25">
      <c r="B25" s="47">
        <f t="shared" si="0"/>
        <v>45404</v>
      </c>
      <c r="C25" s="49">
        <v>0</v>
      </c>
      <c r="D25" s="49">
        <v>0</v>
      </c>
      <c r="E25" s="49"/>
      <c r="F25" s="145"/>
      <c r="G25" s="48"/>
      <c r="H25" s="57"/>
      <c r="I25" s="57"/>
      <c r="J25" s="76"/>
      <c r="K25" s="73"/>
      <c r="L25" s="361"/>
      <c r="O25" s="124"/>
    </row>
    <row r="26" spans="2:15" x14ac:dyDescent="0.25">
      <c r="B26" s="47">
        <f t="shared" si="0"/>
        <v>45405</v>
      </c>
      <c r="C26" s="49">
        <v>0</v>
      </c>
      <c r="D26" s="49">
        <v>0</v>
      </c>
      <c r="E26" s="49"/>
      <c r="F26" s="145"/>
      <c r="G26" s="48"/>
      <c r="H26" s="57"/>
      <c r="I26" s="57"/>
      <c r="J26" s="76"/>
      <c r="K26" s="73"/>
      <c r="L26" s="361"/>
      <c r="O26" s="124"/>
    </row>
    <row r="27" spans="2:15" x14ac:dyDescent="0.25">
      <c r="B27" s="47">
        <f t="shared" si="0"/>
        <v>45406</v>
      </c>
      <c r="C27" s="49">
        <v>0</v>
      </c>
      <c r="D27" s="49">
        <v>0</v>
      </c>
      <c r="E27" s="49"/>
      <c r="F27" s="145"/>
      <c r="G27" s="48"/>
      <c r="H27" s="57"/>
      <c r="I27" s="57"/>
      <c r="J27" s="76"/>
      <c r="K27" s="73"/>
      <c r="L27" s="361"/>
      <c r="O27" s="124"/>
    </row>
    <row r="28" spans="2:15" x14ac:dyDescent="0.25">
      <c r="B28" s="47">
        <f t="shared" si="0"/>
        <v>45407</v>
      </c>
      <c r="C28" s="49">
        <v>0</v>
      </c>
      <c r="D28" s="49">
        <v>0</v>
      </c>
      <c r="E28" s="49"/>
      <c r="F28" s="145"/>
      <c r="G28" s="48"/>
      <c r="H28" s="57"/>
      <c r="I28" s="57"/>
      <c r="J28" s="76"/>
      <c r="K28" s="73"/>
      <c r="L28" s="361"/>
      <c r="O28" s="124"/>
    </row>
    <row r="29" spans="2:15" x14ac:dyDescent="0.25">
      <c r="B29" s="47">
        <f t="shared" si="0"/>
        <v>45408</v>
      </c>
      <c r="C29" s="49">
        <v>0</v>
      </c>
      <c r="D29" s="49">
        <v>0</v>
      </c>
      <c r="E29" s="49"/>
      <c r="F29" s="145"/>
      <c r="G29" s="48"/>
      <c r="H29" s="57"/>
      <c r="I29" s="57"/>
      <c r="J29" s="76"/>
      <c r="K29" s="73"/>
      <c r="L29" s="361"/>
      <c r="O29" s="124"/>
    </row>
    <row r="30" spans="2:15" x14ac:dyDescent="0.25">
      <c r="B30" s="47">
        <f t="shared" si="0"/>
        <v>45409</v>
      </c>
      <c r="C30" s="49">
        <v>0</v>
      </c>
      <c r="D30" s="49">
        <v>0</v>
      </c>
      <c r="E30" s="49"/>
      <c r="F30" s="145"/>
      <c r="G30" s="48"/>
      <c r="H30" s="57"/>
      <c r="I30" s="57"/>
      <c r="J30" s="76"/>
      <c r="K30" s="73"/>
      <c r="L30" s="361"/>
      <c r="O30" s="124"/>
    </row>
    <row r="31" spans="2:15" x14ac:dyDescent="0.25">
      <c r="B31" s="47">
        <f t="shared" si="0"/>
        <v>45410</v>
      </c>
      <c r="C31" s="49">
        <v>0</v>
      </c>
      <c r="D31" s="49">
        <v>0</v>
      </c>
      <c r="E31" s="49"/>
      <c r="F31" s="145"/>
      <c r="G31" s="48"/>
      <c r="H31" s="57"/>
      <c r="I31" s="57"/>
      <c r="J31" s="76"/>
      <c r="K31" s="73"/>
      <c r="L31" s="361"/>
      <c r="O31" s="124"/>
    </row>
    <row r="32" spans="2:15" x14ac:dyDescent="0.25">
      <c r="B32" s="47">
        <f t="shared" si="0"/>
        <v>45411</v>
      </c>
      <c r="C32" s="49">
        <v>0</v>
      </c>
      <c r="D32" s="49">
        <v>0</v>
      </c>
      <c r="E32" s="49"/>
      <c r="F32" s="145"/>
      <c r="G32" s="48"/>
      <c r="H32" s="57"/>
      <c r="I32" s="57"/>
      <c r="J32" s="76"/>
      <c r="K32" s="73"/>
      <c r="L32" s="361"/>
      <c r="O32" s="124"/>
    </row>
    <row r="33" spans="2:15" x14ac:dyDescent="0.25">
      <c r="B33" s="47">
        <f t="shared" si="0"/>
        <v>45412</v>
      </c>
      <c r="C33" s="49">
        <v>0</v>
      </c>
      <c r="D33" s="49"/>
      <c r="E33" s="49"/>
      <c r="F33" s="145"/>
      <c r="G33" s="48"/>
      <c r="H33" s="57"/>
      <c r="I33" s="57"/>
      <c r="J33" s="76"/>
      <c r="K33" s="73"/>
      <c r="L33" s="361"/>
      <c r="O33" s="124"/>
    </row>
    <row r="34" spans="2:15" x14ac:dyDescent="0.25">
      <c r="E34" s="16">
        <f>SUM(E4:E33)</f>
        <v>1.4419999999999999</v>
      </c>
      <c r="F34" s="16"/>
      <c r="G34" s="18">
        <f>SUM(G4:G33)</f>
        <v>0</v>
      </c>
      <c r="H34" s="18"/>
      <c r="I34" s="18">
        <f>SUM(I4:I33)</f>
        <v>0</v>
      </c>
      <c r="J34" s="18">
        <f>SUM(J4:J33)</f>
        <v>0</v>
      </c>
      <c r="L34" s="186">
        <f>SUM(L4:L33)</f>
        <v>0</v>
      </c>
    </row>
  </sheetData>
  <mergeCells count="3">
    <mergeCell ref="M1:N1"/>
    <mergeCell ref="B2:G2"/>
    <mergeCell ref="I2:K2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0000"/>
  </sheetPr>
  <dimension ref="B1:O34"/>
  <sheetViews>
    <sheetView topLeftCell="D1" zoomScale="70" zoomScaleNormal="70" workbookViewId="0">
      <selection activeCell="E18" sqref="E18"/>
    </sheetView>
  </sheetViews>
  <sheetFormatPr defaultColWidth="8.85546875" defaultRowHeight="15" x14ac:dyDescent="0.25"/>
  <cols>
    <col min="1" max="1" width="8.85546875" style="1"/>
    <col min="2" max="2" width="12" style="1" bestFit="1" customWidth="1"/>
    <col min="3" max="3" width="9.7109375" style="1" bestFit="1" customWidth="1"/>
    <col min="4" max="4" width="12.140625" style="1" bestFit="1" customWidth="1"/>
    <col min="5" max="5" width="10.140625" style="1" bestFit="1" customWidth="1"/>
    <col min="6" max="6" width="5.140625" style="1" bestFit="1" customWidth="1"/>
    <col min="7" max="7" width="10.7109375" style="1" bestFit="1" customWidth="1"/>
    <col min="8" max="9" width="15.42578125" style="1" bestFit="1" customWidth="1"/>
    <col min="10" max="10" width="13" style="1" customWidth="1"/>
    <col min="11" max="11" width="17.5703125" style="69" customWidth="1"/>
    <col min="12" max="12" width="13.28515625" style="1" customWidth="1"/>
    <col min="13" max="13" width="17.42578125" style="1" customWidth="1"/>
    <col min="14" max="14" width="19.140625" style="1" bestFit="1" customWidth="1"/>
    <col min="15" max="15" width="12.5703125" style="1" bestFit="1" customWidth="1"/>
    <col min="16" max="16384" width="8.85546875" style="1"/>
  </cols>
  <sheetData>
    <row r="1" spans="2:15" ht="15.75" thickBot="1" x14ac:dyDescent="0.3">
      <c r="H1" s="81"/>
      <c r="I1" s="81"/>
      <c r="J1" s="78"/>
      <c r="K1" s="78"/>
      <c r="M1" s="680" t="s">
        <v>29</v>
      </c>
      <c r="N1" s="680"/>
    </row>
    <row r="2" spans="2:15" ht="15.75" thickBot="1" x14ac:dyDescent="0.3">
      <c r="B2" s="688" t="s">
        <v>130</v>
      </c>
      <c r="C2" s="689"/>
      <c r="D2" s="689"/>
      <c r="E2" s="689"/>
      <c r="F2" s="689"/>
      <c r="G2" s="690"/>
      <c r="H2" s="252"/>
      <c r="I2" s="691" t="s">
        <v>71</v>
      </c>
      <c r="J2" s="679"/>
      <c r="K2" s="692"/>
      <c r="M2" s="2" t="s">
        <v>100</v>
      </c>
      <c r="N2" s="2" t="s">
        <v>112</v>
      </c>
      <c r="O2" s="2" t="s">
        <v>145</v>
      </c>
    </row>
    <row r="3" spans="2:15" ht="43.5" x14ac:dyDescent="0.25">
      <c r="B3" s="26" t="s">
        <v>8</v>
      </c>
      <c r="C3" s="46" t="s">
        <v>22</v>
      </c>
      <c r="D3" s="52" t="s">
        <v>27</v>
      </c>
      <c r="E3" s="52" t="s">
        <v>6</v>
      </c>
      <c r="F3" s="52" t="s">
        <v>21</v>
      </c>
      <c r="G3" s="35" t="s">
        <v>28</v>
      </c>
      <c r="H3" s="121" t="s">
        <v>137</v>
      </c>
      <c r="I3" s="121" t="s">
        <v>138</v>
      </c>
      <c r="J3" s="81" t="s">
        <v>105</v>
      </c>
      <c r="K3" s="35" t="s">
        <v>72</v>
      </c>
      <c r="L3" s="69"/>
      <c r="M3" s="111"/>
      <c r="N3" s="111">
        <v>0</v>
      </c>
      <c r="O3" s="111">
        <v>1.53</v>
      </c>
    </row>
    <row r="4" spans="2:15" x14ac:dyDescent="0.25">
      <c r="B4" s="47">
        <v>45383</v>
      </c>
      <c r="C4" s="49">
        <v>1.53</v>
      </c>
      <c r="D4" s="49">
        <v>1</v>
      </c>
      <c r="E4" s="49">
        <v>1.825</v>
      </c>
      <c r="F4" s="145"/>
      <c r="G4" s="48"/>
      <c r="H4" s="57"/>
      <c r="I4" s="57"/>
      <c r="J4" s="76"/>
      <c r="K4" s="73"/>
      <c r="L4" s="124"/>
    </row>
    <row r="5" spans="2:15" x14ac:dyDescent="0.25">
      <c r="B5" s="47">
        <f>+B4+1</f>
        <v>45384</v>
      </c>
      <c r="C5" s="49">
        <v>1.53</v>
      </c>
      <c r="D5" s="49">
        <v>1</v>
      </c>
      <c r="E5" s="49">
        <v>1.9750000000000001</v>
      </c>
      <c r="F5" s="145"/>
      <c r="G5" s="48"/>
      <c r="H5" s="57"/>
      <c r="I5" s="57"/>
      <c r="J5" s="76"/>
      <c r="K5" s="73"/>
      <c r="L5" s="124"/>
    </row>
    <row r="6" spans="2:15" x14ac:dyDescent="0.25">
      <c r="B6" s="47">
        <f t="shared" ref="B6:B33" si="0">+B5+1</f>
        <v>45385</v>
      </c>
      <c r="C6" s="49">
        <v>1.53</v>
      </c>
      <c r="D6" s="49">
        <v>0</v>
      </c>
      <c r="E6" s="49">
        <v>0.85399999999999998</v>
      </c>
      <c r="F6" s="145"/>
      <c r="G6" s="48"/>
      <c r="H6" s="57"/>
      <c r="I6" s="57"/>
      <c r="J6" s="76"/>
      <c r="K6" s="73"/>
      <c r="L6" s="124"/>
    </row>
    <row r="7" spans="2:15" x14ac:dyDescent="0.25">
      <c r="B7" s="47">
        <f t="shared" si="0"/>
        <v>45386</v>
      </c>
      <c r="C7" s="49">
        <v>1.53</v>
      </c>
      <c r="D7" s="49">
        <v>0</v>
      </c>
      <c r="E7" s="49">
        <v>1.7290000000000001</v>
      </c>
      <c r="F7" s="145"/>
      <c r="G7" s="48"/>
      <c r="H7" s="57"/>
      <c r="I7" s="57"/>
      <c r="J7" s="76"/>
      <c r="K7" s="73"/>
      <c r="L7" s="124"/>
    </row>
    <row r="8" spans="2:15" x14ac:dyDescent="0.25">
      <c r="B8" s="47">
        <f t="shared" si="0"/>
        <v>45387</v>
      </c>
      <c r="C8" s="49">
        <v>1.53</v>
      </c>
      <c r="D8" s="49">
        <v>1</v>
      </c>
      <c r="E8" s="49">
        <v>1.708</v>
      </c>
      <c r="F8" s="145"/>
      <c r="G8" s="48"/>
      <c r="H8" s="57"/>
      <c r="I8" s="57"/>
      <c r="J8" s="76"/>
      <c r="K8" s="73"/>
      <c r="L8" s="124"/>
    </row>
    <row r="9" spans="2:15" x14ac:dyDescent="0.25">
      <c r="B9" s="47">
        <f t="shared" si="0"/>
        <v>45388</v>
      </c>
      <c r="C9" s="49">
        <v>1.53</v>
      </c>
      <c r="D9" s="49">
        <v>1</v>
      </c>
      <c r="E9" s="49">
        <v>1.014</v>
      </c>
      <c r="F9" s="145"/>
      <c r="G9" s="48"/>
      <c r="H9" s="57"/>
      <c r="I9" s="57"/>
      <c r="J9" s="76"/>
      <c r="K9" s="73"/>
      <c r="L9" s="124"/>
    </row>
    <row r="10" spans="2:15" x14ac:dyDescent="0.25">
      <c r="B10" s="47">
        <f t="shared" si="0"/>
        <v>45389</v>
      </c>
      <c r="C10" s="49">
        <v>1.53</v>
      </c>
      <c r="D10" s="49">
        <v>1</v>
      </c>
      <c r="E10" s="49">
        <v>0.53400000000000003</v>
      </c>
      <c r="F10" s="145"/>
      <c r="G10" s="48"/>
      <c r="H10" s="57"/>
      <c r="I10" s="57"/>
      <c r="J10" s="76"/>
      <c r="K10" s="73"/>
      <c r="L10" s="124"/>
    </row>
    <row r="11" spans="2:15" x14ac:dyDescent="0.25">
      <c r="B11" s="47">
        <f t="shared" si="0"/>
        <v>45390</v>
      </c>
      <c r="C11" s="49">
        <v>1.53</v>
      </c>
      <c r="D11" s="49">
        <v>1</v>
      </c>
      <c r="E11" s="49">
        <v>1.964</v>
      </c>
      <c r="F11" s="145"/>
      <c r="G11" s="48"/>
      <c r="H11" s="57"/>
      <c r="I11" s="57"/>
      <c r="J11" s="76"/>
      <c r="K11" s="73"/>
      <c r="L11" s="124"/>
    </row>
    <row r="12" spans="2:15" x14ac:dyDescent="0.25">
      <c r="B12" s="47">
        <f t="shared" si="0"/>
        <v>45391</v>
      </c>
      <c r="C12" s="49">
        <v>1.53</v>
      </c>
      <c r="D12" s="49">
        <v>1</v>
      </c>
      <c r="E12" s="49">
        <v>1.3660000000000001</v>
      </c>
      <c r="F12" s="145"/>
      <c r="G12" s="48"/>
      <c r="H12" s="57"/>
      <c r="I12" s="57"/>
      <c r="J12" s="76"/>
      <c r="K12" s="73"/>
      <c r="L12" s="124"/>
    </row>
    <row r="13" spans="2:15" x14ac:dyDescent="0.25">
      <c r="B13" s="47">
        <f t="shared" si="0"/>
        <v>45392</v>
      </c>
      <c r="C13" s="49">
        <v>1.53</v>
      </c>
      <c r="D13" s="49">
        <v>1</v>
      </c>
      <c r="E13" s="49">
        <v>0.39500000000000002</v>
      </c>
      <c r="F13" s="145"/>
      <c r="G13" s="48"/>
      <c r="H13" s="57"/>
      <c r="I13" s="57"/>
      <c r="J13" s="76"/>
      <c r="K13" s="73"/>
      <c r="L13" s="124"/>
    </row>
    <row r="14" spans="2:15" x14ac:dyDescent="0.25">
      <c r="B14" s="47">
        <f t="shared" si="0"/>
        <v>45393</v>
      </c>
      <c r="C14" s="49">
        <v>1.53</v>
      </c>
      <c r="D14" s="49">
        <v>1</v>
      </c>
      <c r="E14" s="49">
        <v>1.7609999999999999</v>
      </c>
      <c r="F14" s="145"/>
      <c r="G14" s="48"/>
      <c r="H14" s="57"/>
      <c r="I14" s="57"/>
      <c r="J14" s="76"/>
      <c r="K14" s="73"/>
      <c r="L14" s="124"/>
    </row>
    <row r="15" spans="2:15" x14ac:dyDescent="0.25">
      <c r="B15" s="47">
        <f t="shared" si="0"/>
        <v>45394</v>
      </c>
      <c r="C15" s="49">
        <v>1.53</v>
      </c>
      <c r="D15" s="49">
        <v>1</v>
      </c>
      <c r="E15" s="49">
        <v>1.8149999999999999</v>
      </c>
      <c r="F15" s="145"/>
      <c r="G15" s="48"/>
      <c r="H15" s="57"/>
      <c r="I15" s="57"/>
      <c r="J15" s="76"/>
      <c r="K15" s="73"/>
      <c r="L15" s="124"/>
    </row>
    <row r="16" spans="2:15" x14ac:dyDescent="0.25">
      <c r="B16" s="47">
        <f t="shared" si="0"/>
        <v>45395</v>
      </c>
      <c r="C16" s="49">
        <v>1.53</v>
      </c>
      <c r="D16" s="49">
        <v>1</v>
      </c>
      <c r="E16" s="49">
        <v>0.85399999999999998</v>
      </c>
      <c r="F16" s="145"/>
      <c r="G16" s="48"/>
      <c r="H16" s="57"/>
      <c r="I16" s="57"/>
      <c r="J16" s="76"/>
      <c r="K16" s="73"/>
      <c r="L16" s="124"/>
    </row>
    <row r="17" spans="2:13" x14ac:dyDescent="0.25">
      <c r="B17" s="47">
        <f t="shared" si="0"/>
        <v>45396</v>
      </c>
      <c r="C17" s="49">
        <v>1.53</v>
      </c>
      <c r="D17" s="49">
        <v>1</v>
      </c>
      <c r="E17" s="49">
        <v>1.121</v>
      </c>
      <c r="F17" s="145"/>
      <c r="G17" s="48"/>
      <c r="H17" s="57"/>
      <c r="I17" s="57"/>
      <c r="J17" s="76"/>
      <c r="K17" s="73"/>
      <c r="L17" s="124"/>
      <c r="M17" s="1" t="s">
        <v>74</v>
      </c>
    </row>
    <row r="18" spans="2:13" x14ac:dyDescent="0.25">
      <c r="B18" s="47">
        <f t="shared" si="0"/>
        <v>45397</v>
      </c>
      <c r="C18" s="49">
        <v>1.53</v>
      </c>
      <c r="D18" s="49">
        <v>1</v>
      </c>
      <c r="E18" s="49">
        <v>1.847</v>
      </c>
      <c r="F18" s="145"/>
      <c r="G18" s="48"/>
      <c r="H18" s="57"/>
      <c r="I18" s="57"/>
      <c r="J18" s="76"/>
      <c r="K18" s="73"/>
      <c r="L18" s="124"/>
    </row>
    <row r="19" spans="2:13" x14ac:dyDescent="0.25">
      <c r="B19" s="47">
        <f t="shared" si="0"/>
        <v>45398</v>
      </c>
      <c r="C19" s="49">
        <v>1.53</v>
      </c>
      <c r="D19" s="49">
        <v>1</v>
      </c>
      <c r="E19" s="49"/>
      <c r="F19" s="145"/>
      <c r="G19" s="48"/>
      <c r="H19" s="57"/>
      <c r="I19" s="57"/>
      <c r="J19" s="76"/>
      <c r="K19" s="73"/>
      <c r="L19" s="124"/>
    </row>
    <row r="20" spans="2:13" x14ac:dyDescent="0.25">
      <c r="B20" s="47">
        <f t="shared" si="0"/>
        <v>45399</v>
      </c>
      <c r="C20" s="49">
        <v>1.53</v>
      </c>
      <c r="D20" s="49">
        <v>1</v>
      </c>
      <c r="E20" s="49"/>
      <c r="F20" s="145"/>
      <c r="G20" s="48"/>
      <c r="H20" s="57"/>
      <c r="I20" s="57"/>
      <c r="J20" s="76"/>
      <c r="K20" s="73"/>
      <c r="L20" s="124"/>
    </row>
    <row r="21" spans="2:13" x14ac:dyDescent="0.25">
      <c r="B21" s="47">
        <f t="shared" si="0"/>
        <v>45400</v>
      </c>
      <c r="C21" s="49">
        <v>1.53</v>
      </c>
      <c r="D21" s="49">
        <v>1</v>
      </c>
      <c r="E21" s="49"/>
      <c r="F21" s="145"/>
      <c r="G21" s="48"/>
      <c r="H21" s="57"/>
      <c r="I21" s="57"/>
      <c r="J21" s="76"/>
      <c r="K21" s="73"/>
      <c r="L21" s="124"/>
    </row>
    <row r="22" spans="2:13" x14ac:dyDescent="0.25">
      <c r="B22" s="47">
        <f t="shared" si="0"/>
        <v>45401</v>
      </c>
      <c r="C22" s="49">
        <v>1.53</v>
      </c>
      <c r="D22" s="49">
        <v>1</v>
      </c>
      <c r="E22" s="49"/>
      <c r="F22" s="145"/>
      <c r="G22" s="48"/>
      <c r="H22" s="57"/>
      <c r="I22" s="57"/>
      <c r="J22" s="76"/>
      <c r="K22" s="73"/>
      <c r="L22" s="124"/>
    </row>
    <row r="23" spans="2:13" x14ac:dyDescent="0.25">
      <c r="B23" s="47">
        <f t="shared" si="0"/>
        <v>45402</v>
      </c>
      <c r="C23" s="49">
        <v>1.53</v>
      </c>
      <c r="D23" s="49">
        <v>1</v>
      </c>
      <c r="E23" s="49"/>
      <c r="F23" s="145"/>
      <c r="G23" s="48"/>
      <c r="H23" s="57"/>
      <c r="I23" s="57"/>
      <c r="J23" s="76"/>
      <c r="K23" s="73"/>
      <c r="L23" s="124"/>
    </row>
    <row r="24" spans="2:13" x14ac:dyDescent="0.25">
      <c r="B24" s="47">
        <f t="shared" si="0"/>
        <v>45403</v>
      </c>
      <c r="C24" s="49">
        <v>1.53</v>
      </c>
      <c r="D24" s="49">
        <v>1</v>
      </c>
      <c r="E24" s="49"/>
      <c r="F24" s="145"/>
      <c r="G24" s="48"/>
      <c r="H24" s="57"/>
      <c r="I24" s="57"/>
      <c r="J24" s="76"/>
      <c r="K24" s="73"/>
      <c r="L24" s="124"/>
    </row>
    <row r="25" spans="2:13" x14ac:dyDescent="0.25">
      <c r="B25" s="47">
        <f t="shared" si="0"/>
        <v>45404</v>
      </c>
      <c r="C25" s="49">
        <v>1.53</v>
      </c>
      <c r="D25" s="49">
        <v>1</v>
      </c>
      <c r="E25" s="49"/>
      <c r="F25" s="145"/>
      <c r="G25" s="48"/>
      <c r="H25" s="57"/>
      <c r="I25" s="57"/>
      <c r="J25" s="76"/>
      <c r="K25" s="73"/>
      <c r="L25" s="124"/>
    </row>
    <row r="26" spans="2:13" x14ac:dyDescent="0.25">
      <c r="B26" s="47">
        <f t="shared" si="0"/>
        <v>45405</v>
      </c>
      <c r="C26" s="49">
        <v>1.53</v>
      </c>
      <c r="D26" s="49">
        <v>1</v>
      </c>
      <c r="E26" s="49"/>
      <c r="F26" s="145"/>
      <c r="G26" s="48"/>
      <c r="H26" s="57"/>
      <c r="I26" s="57"/>
      <c r="J26" s="76"/>
      <c r="K26" s="73"/>
      <c r="L26" s="124"/>
    </row>
    <row r="27" spans="2:13" x14ac:dyDescent="0.25">
      <c r="B27" s="47">
        <f t="shared" si="0"/>
        <v>45406</v>
      </c>
      <c r="C27" s="49">
        <v>1.53</v>
      </c>
      <c r="D27" s="49">
        <v>1</v>
      </c>
      <c r="E27" s="49"/>
      <c r="F27" s="145"/>
      <c r="G27" s="48"/>
      <c r="H27" s="57"/>
      <c r="I27" s="57"/>
      <c r="J27" s="76"/>
      <c r="K27" s="73"/>
      <c r="L27" s="124"/>
    </row>
    <row r="28" spans="2:13" x14ac:dyDescent="0.25">
      <c r="B28" s="47">
        <f t="shared" si="0"/>
        <v>45407</v>
      </c>
      <c r="C28" s="49">
        <v>1.53</v>
      </c>
      <c r="D28" s="49">
        <v>1</v>
      </c>
      <c r="E28" s="49"/>
      <c r="F28" s="145"/>
      <c r="G28" s="48"/>
      <c r="H28" s="57"/>
      <c r="I28" s="57"/>
      <c r="J28" s="76"/>
      <c r="K28" s="73"/>
      <c r="L28" s="124"/>
    </row>
    <row r="29" spans="2:13" x14ac:dyDescent="0.25">
      <c r="B29" s="47">
        <f t="shared" si="0"/>
        <v>45408</v>
      </c>
      <c r="C29" s="49">
        <v>1.53</v>
      </c>
      <c r="D29" s="49">
        <v>1</v>
      </c>
      <c r="E29" s="49"/>
      <c r="F29" s="145"/>
      <c r="G29" s="48"/>
      <c r="H29" s="57"/>
      <c r="I29" s="57"/>
      <c r="J29" s="76"/>
      <c r="K29" s="73"/>
      <c r="L29" s="124"/>
    </row>
    <row r="30" spans="2:13" x14ac:dyDescent="0.25">
      <c r="B30" s="47">
        <f t="shared" si="0"/>
        <v>45409</v>
      </c>
      <c r="C30" s="49">
        <v>1.53</v>
      </c>
      <c r="D30" s="49">
        <v>1</v>
      </c>
      <c r="E30" s="49"/>
      <c r="F30" s="145"/>
      <c r="G30" s="48"/>
      <c r="H30" s="57"/>
      <c r="I30" s="57"/>
      <c r="J30" s="76"/>
      <c r="K30" s="73"/>
      <c r="L30" s="124"/>
    </row>
    <row r="31" spans="2:13" x14ac:dyDescent="0.25">
      <c r="B31" s="47">
        <f t="shared" si="0"/>
        <v>45410</v>
      </c>
      <c r="C31" s="49">
        <v>1.53</v>
      </c>
      <c r="D31" s="49">
        <v>1</v>
      </c>
      <c r="E31" s="49"/>
      <c r="F31" s="145"/>
      <c r="G31" s="48"/>
      <c r="H31" s="57"/>
      <c r="I31" s="57"/>
      <c r="J31" s="76"/>
      <c r="K31" s="73"/>
      <c r="L31" s="124"/>
    </row>
    <row r="32" spans="2:13" x14ac:dyDescent="0.25">
      <c r="B32" s="47">
        <f t="shared" si="0"/>
        <v>45411</v>
      </c>
      <c r="C32" s="49">
        <v>1.53</v>
      </c>
      <c r="D32" s="49">
        <v>1</v>
      </c>
      <c r="E32" s="49"/>
      <c r="F32" s="145"/>
      <c r="G32" s="48"/>
      <c r="H32" s="57"/>
      <c r="I32" s="57"/>
      <c r="J32" s="76"/>
      <c r="K32" s="73"/>
      <c r="L32" s="124"/>
    </row>
    <row r="33" spans="2:12" x14ac:dyDescent="0.25">
      <c r="B33" s="47">
        <f t="shared" si="0"/>
        <v>45412</v>
      </c>
      <c r="C33" s="49">
        <v>1.53</v>
      </c>
      <c r="D33" s="49">
        <v>1</v>
      </c>
      <c r="E33" s="49"/>
      <c r="F33" s="145"/>
      <c r="G33" s="48"/>
      <c r="H33" s="57"/>
      <c r="I33" s="57"/>
      <c r="J33" s="76"/>
      <c r="K33" s="73"/>
      <c r="L33" s="124"/>
    </row>
    <row r="34" spans="2:12" x14ac:dyDescent="0.25">
      <c r="E34" s="16">
        <f>SUM(E4:E33)</f>
        <v>20.761999999999997</v>
      </c>
      <c r="F34" s="16"/>
      <c r="G34" s="18">
        <f>SUM(G4:G33)</f>
        <v>0</v>
      </c>
      <c r="H34" s="18"/>
      <c r="I34" s="18">
        <f>SUM(I4:I33)</f>
        <v>0</v>
      </c>
      <c r="J34" s="18">
        <f>SUM(J4:J33)</f>
        <v>0</v>
      </c>
      <c r="L34" s="16">
        <f>SUM(L4:L33)</f>
        <v>0</v>
      </c>
    </row>
  </sheetData>
  <mergeCells count="3">
    <mergeCell ref="M1:N1"/>
    <mergeCell ref="B2:G2"/>
    <mergeCell ref="I2:K2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F0000"/>
  </sheetPr>
  <dimension ref="B1:O34"/>
  <sheetViews>
    <sheetView zoomScale="70" zoomScaleNormal="70" workbookViewId="0">
      <selection activeCell="D18" sqref="D18:E18"/>
    </sheetView>
  </sheetViews>
  <sheetFormatPr defaultColWidth="8.85546875" defaultRowHeight="15" x14ac:dyDescent="0.25"/>
  <cols>
    <col min="1" max="1" width="8.85546875" style="1"/>
    <col min="2" max="2" width="12" style="1" bestFit="1" customWidth="1"/>
    <col min="3" max="3" width="9.7109375" style="1" bestFit="1" customWidth="1"/>
    <col min="4" max="4" width="12.140625" style="1" bestFit="1" customWidth="1"/>
    <col min="5" max="5" width="10.140625" style="1" bestFit="1" customWidth="1"/>
    <col min="6" max="6" width="5.140625" style="1" bestFit="1" customWidth="1"/>
    <col min="7" max="7" width="10.7109375" style="1" bestFit="1" customWidth="1"/>
    <col min="8" max="9" width="15.42578125" style="1" bestFit="1" customWidth="1"/>
    <col min="10" max="10" width="13" style="1" customWidth="1"/>
    <col min="11" max="11" width="17.5703125" style="69" customWidth="1"/>
    <col min="12" max="12" width="13.28515625" style="1" customWidth="1"/>
    <col min="13" max="13" width="17.42578125" style="1" customWidth="1"/>
    <col min="14" max="14" width="19.140625" style="1" bestFit="1" customWidth="1"/>
    <col min="15" max="15" width="12.5703125" style="1" bestFit="1" customWidth="1"/>
    <col min="16" max="16384" width="8.85546875" style="1"/>
  </cols>
  <sheetData>
    <row r="1" spans="2:15" ht="15.75" thickBot="1" x14ac:dyDescent="0.3">
      <c r="H1" s="81"/>
      <c r="I1" s="81"/>
      <c r="J1" s="78"/>
      <c r="K1" s="78"/>
      <c r="M1" s="680" t="s">
        <v>29</v>
      </c>
      <c r="N1" s="680"/>
    </row>
    <row r="2" spans="2:15" ht="15.75" thickBot="1" x14ac:dyDescent="0.3">
      <c r="B2" s="688" t="s">
        <v>110</v>
      </c>
      <c r="C2" s="689"/>
      <c r="D2" s="689"/>
      <c r="E2" s="689"/>
      <c r="F2" s="689"/>
      <c r="G2" s="690"/>
      <c r="H2" s="252"/>
      <c r="I2" s="691" t="s">
        <v>71</v>
      </c>
      <c r="J2" s="679"/>
      <c r="K2" s="692"/>
      <c r="M2" s="2" t="s">
        <v>100</v>
      </c>
      <c r="N2" s="2" t="s">
        <v>112</v>
      </c>
      <c r="O2" s="2" t="s">
        <v>81</v>
      </c>
    </row>
    <row r="3" spans="2:15" ht="43.5" x14ac:dyDescent="0.25">
      <c r="B3" s="26" t="s">
        <v>8</v>
      </c>
      <c r="C3" s="46" t="s">
        <v>22</v>
      </c>
      <c r="D3" s="52" t="s">
        <v>27</v>
      </c>
      <c r="E3" s="52" t="s">
        <v>6</v>
      </c>
      <c r="F3" s="52" t="s">
        <v>21</v>
      </c>
      <c r="G3" s="35" t="s">
        <v>28</v>
      </c>
      <c r="H3" s="121" t="s">
        <v>137</v>
      </c>
      <c r="I3" s="121" t="s">
        <v>138</v>
      </c>
      <c r="J3" s="81" t="s">
        <v>105</v>
      </c>
      <c r="K3" s="35" t="s">
        <v>72</v>
      </c>
      <c r="L3" s="69"/>
      <c r="M3" s="111">
        <v>18</v>
      </c>
      <c r="N3" s="111"/>
      <c r="O3" s="111">
        <v>2.5</v>
      </c>
    </row>
    <row r="4" spans="2:15" x14ac:dyDescent="0.25">
      <c r="B4" s="47">
        <v>45383</v>
      </c>
      <c r="C4" s="49">
        <v>15.968</v>
      </c>
      <c r="D4" s="49">
        <v>7</v>
      </c>
      <c r="E4" s="49">
        <v>18.937000000000001</v>
      </c>
      <c r="F4" s="21"/>
      <c r="G4" s="48"/>
      <c r="H4" s="57"/>
      <c r="I4" s="57"/>
      <c r="J4" s="76"/>
      <c r="K4" s="73"/>
      <c r="L4" s="125"/>
    </row>
    <row r="5" spans="2:15" x14ac:dyDescent="0.25">
      <c r="B5" s="47">
        <f>+B4+1</f>
        <v>45384</v>
      </c>
      <c r="C5" s="49">
        <v>15.968</v>
      </c>
      <c r="D5" s="49">
        <v>6</v>
      </c>
      <c r="E5" s="49">
        <v>23.100999999999999</v>
      </c>
      <c r="F5" s="21"/>
      <c r="G5" s="48"/>
      <c r="H5" s="57"/>
      <c r="I5" s="57"/>
      <c r="J5" s="76"/>
      <c r="K5" s="73"/>
      <c r="L5" s="125"/>
    </row>
    <row r="6" spans="2:15" x14ac:dyDescent="0.25">
      <c r="B6" s="47">
        <f t="shared" ref="B6:B33" si="0">+B5+1</f>
        <v>45385</v>
      </c>
      <c r="C6" s="49">
        <v>15.968</v>
      </c>
      <c r="D6" s="49">
        <v>18</v>
      </c>
      <c r="E6" s="49">
        <v>20.347000000000001</v>
      </c>
      <c r="F6" s="21"/>
      <c r="G6" s="48"/>
      <c r="H6" s="57"/>
      <c r="I6" s="57"/>
      <c r="J6" s="76"/>
      <c r="K6" s="73"/>
      <c r="L6" s="125"/>
    </row>
    <row r="7" spans="2:15" x14ac:dyDescent="0.25">
      <c r="B7" s="47">
        <f t="shared" si="0"/>
        <v>45386</v>
      </c>
      <c r="C7" s="49">
        <v>15.968</v>
      </c>
      <c r="D7" s="49">
        <v>15</v>
      </c>
      <c r="E7" s="49">
        <v>21.925999999999998</v>
      </c>
      <c r="F7" s="21"/>
      <c r="G7" s="48"/>
      <c r="H7" s="57"/>
      <c r="I7" s="57"/>
      <c r="J7" s="76"/>
      <c r="K7" s="73"/>
      <c r="L7" s="125"/>
    </row>
    <row r="8" spans="2:15" x14ac:dyDescent="0.25">
      <c r="B8" s="47">
        <f t="shared" si="0"/>
        <v>45387</v>
      </c>
      <c r="C8" s="49">
        <v>15.968</v>
      </c>
      <c r="D8" s="49">
        <v>18</v>
      </c>
      <c r="E8" s="49">
        <v>21.338999999999999</v>
      </c>
      <c r="F8" s="21"/>
      <c r="G8" s="53"/>
      <c r="H8" s="57"/>
      <c r="I8" s="57"/>
      <c r="J8" s="76"/>
      <c r="K8" s="73"/>
      <c r="L8" s="125"/>
    </row>
    <row r="9" spans="2:15" x14ac:dyDescent="0.25">
      <c r="B9" s="47">
        <f t="shared" si="0"/>
        <v>45388</v>
      </c>
      <c r="C9" s="49">
        <v>15.968</v>
      </c>
      <c r="D9" s="49">
        <v>2</v>
      </c>
      <c r="E9" s="49">
        <v>9.8849999999999998</v>
      </c>
      <c r="F9" s="21"/>
      <c r="G9" s="53"/>
      <c r="H9" s="57"/>
      <c r="I9" s="57"/>
      <c r="J9" s="76"/>
      <c r="K9" s="73"/>
      <c r="L9" s="125"/>
    </row>
    <row r="10" spans="2:15" x14ac:dyDescent="0.25">
      <c r="B10" s="47">
        <f t="shared" si="0"/>
        <v>45389</v>
      </c>
      <c r="C10" s="49">
        <v>15.968</v>
      </c>
      <c r="D10" s="49">
        <v>0</v>
      </c>
      <c r="E10" s="49">
        <v>2.6469999999999998</v>
      </c>
      <c r="F10" s="21"/>
      <c r="G10" s="54"/>
      <c r="H10" s="57"/>
      <c r="I10" s="57"/>
      <c r="J10" s="76"/>
      <c r="K10" s="73"/>
      <c r="L10" s="125"/>
    </row>
    <row r="11" spans="2:15" x14ac:dyDescent="0.25">
      <c r="B11" s="47">
        <f t="shared" si="0"/>
        <v>45390</v>
      </c>
      <c r="C11" s="49">
        <v>15.968</v>
      </c>
      <c r="D11" s="49">
        <v>15</v>
      </c>
      <c r="E11" s="49">
        <v>23.933</v>
      </c>
      <c r="F11" s="21"/>
      <c r="G11" s="55"/>
      <c r="H11" s="57"/>
      <c r="I11" s="57"/>
      <c r="J11" s="76"/>
      <c r="K11" s="73"/>
      <c r="L11" s="125"/>
    </row>
    <row r="12" spans="2:15" x14ac:dyDescent="0.25">
      <c r="B12" s="47">
        <f t="shared" si="0"/>
        <v>45391</v>
      </c>
      <c r="C12" s="49">
        <v>15.968</v>
      </c>
      <c r="D12" s="49">
        <v>15</v>
      </c>
      <c r="E12" s="49">
        <v>21.103999999999999</v>
      </c>
      <c r="F12" s="21"/>
      <c r="G12" s="54"/>
      <c r="H12" s="57"/>
      <c r="I12" s="57"/>
      <c r="J12" s="76"/>
      <c r="K12" s="73"/>
      <c r="L12" s="125"/>
    </row>
    <row r="13" spans="2:15" x14ac:dyDescent="0.25">
      <c r="B13" s="47">
        <f t="shared" si="0"/>
        <v>45392</v>
      </c>
      <c r="C13" s="49">
        <v>15.968</v>
      </c>
      <c r="D13" s="49">
        <v>15</v>
      </c>
      <c r="E13" s="49">
        <v>22.012</v>
      </c>
      <c r="F13" s="21"/>
      <c r="G13" s="56"/>
      <c r="H13" s="57"/>
      <c r="I13" s="57"/>
      <c r="J13" s="76"/>
      <c r="K13" s="73"/>
      <c r="L13" s="125"/>
    </row>
    <row r="14" spans="2:15" x14ac:dyDescent="0.25">
      <c r="B14" s="47">
        <f t="shared" si="0"/>
        <v>45393</v>
      </c>
      <c r="C14" s="49">
        <v>15.968</v>
      </c>
      <c r="D14" s="49">
        <v>15</v>
      </c>
      <c r="E14" s="49">
        <v>21.318000000000001</v>
      </c>
      <c r="F14" s="21"/>
      <c r="G14" s="54"/>
      <c r="H14" s="57"/>
      <c r="I14" s="57"/>
      <c r="J14" s="76"/>
      <c r="K14" s="73"/>
      <c r="L14" s="125"/>
    </row>
    <row r="15" spans="2:15" x14ac:dyDescent="0.25">
      <c r="B15" s="47">
        <f t="shared" si="0"/>
        <v>45394</v>
      </c>
      <c r="C15" s="49">
        <v>15.968</v>
      </c>
      <c r="D15" s="49">
        <v>15</v>
      </c>
      <c r="E15" s="49">
        <v>21.018999999999998</v>
      </c>
      <c r="F15" s="21"/>
      <c r="G15" s="54"/>
      <c r="H15" s="57"/>
      <c r="I15" s="57"/>
      <c r="J15" s="76"/>
      <c r="K15" s="73"/>
      <c r="L15" s="125"/>
    </row>
    <row r="16" spans="2:15" x14ac:dyDescent="0.25">
      <c r="B16" s="47">
        <f t="shared" si="0"/>
        <v>45395</v>
      </c>
      <c r="C16" s="49">
        <v>15.968</v>
      </c>
      <c r="D16" s="49">
        <v>0</v>
      </c>
      <c r="E16" s="49">
        <v>1.0999999999999999E-2</v>
      </c>
      <c r="F16" s="21"/>
      <c r="G16" s="54"/>
      <c r="H16" s="57"/>
      <c r="I16" s="57"/>
      <c r="J16" s="76"/>
      <c r="K16" s="73"/>
      <c r="L16" s="125"/>
    </row>
    <row r="17" spans="2:12" x14ac:dyDescent="0.25">
      <c r="B17" s="47">
        <f t="shared" si="0"/>
        <v>45396</v>
      </c>
      <c r="C17" s="49">
        <v>15.968</v>
      </c>
      <c r="D17" s="49">
        <v>0</v>
      </c>
      <c r="E17" s="49">
        <v>2.21</v>
      </c>
      <c r="F17" s="21"/>
      <c r="G17" s="54"/>
      <c r="H17" s="57"/>
      <c r="I17" s="57"/>
      <c r="J17" s="76"/>
      <c r="K17" s="73"/>
      <c r="L17" s="125"/>
    </row>
    <row r="18" spans="2:12" x14ac:dyDescent="0.25">
      <c r="B18" s="47">
        <f t="shared" si="0"/>
        <v>45397</v>
      </c>
      <c r="C18" s="49">
        <v>15.968</v>
      </c>
      <c r="D18" s="49">
        <v>0</v>
      </c>
      <c r="E18" s="49">
        <v>19.097999999999999</v>
      </c>
      <c r="F18" s="21"/>
      <c r="G18" s="54"/>
      <c r="H18" s="57"/>
      <c r="I18" s="57"/>
      <c r="J18" s="76"/>
      <c r="K18" s="73"/>
      <c r="L18" s="125"/>
    </row>
    <row r="19" spans="2:12" x14ac:dyDescent="0.25">
      <c r="B19" s="47">
        <f t="shared" si="0"/>
        <v>45398</v>
      </c>
      <c r="C19" s="49">
        <v>15.968</v>
      </c>
      <c r="D19" s="49"/>
      <c r="E19" s="49"/>
      <c r="F19" s="21"/>
      <c r="G19" s="54"/>
      <c r="H19" s="57"/>
      <c r="I19" s="57"/>
      <c r="J19" s="76"/>
      <c r="K19" s="73"/>
      <c r="L19" s="125"/>
    </row>
    <row r="20" spans="2:12" x14ac:dyDescent="0.25">
      <c r="B20" s="47">
        <f t="shared" si="0"/>
        <v>45399</v>
      </c>
      <c r="C20" s="49">
        <v>15.968</v>
      </c>
      <c r="D20" s="49"/>
      <c r="E20" s="49"/>
      <c r="F20" s="21"/>
      <c r="G20" s="54"/>
      <c r="H20" s="57"/>
      <c r="I20" s="57"/>
      <c r="J20" s="76"/>
      <c r="K20" s="73"/>
      <c r="L20" s="125"/>
    </row>
    <row r="21" spans="2:12" x14ac:dyDescent="0.25">
      <c r="B21" s="47">
        <f t="shared" si="0"/>
        <v>45400</v>
      </c>
      <c r="C21" s="49">
        <v>15.968</v>
      </c>
      <c r="D21" s="49"/>
      <c r="E21" s="49"/>
      <c r="F21" s="21"/>
      <c r="G21" s="54"/>
      <c r="H21" s="57"/>
      <c r="I21" s="57"/>
      <c r="J21" s="76"/>
      <c r="K21" s="73"/>
      <c r="L21" s="125"/>
    </row>
    <row r="22" spans="2:12" x14ac:dyDescent="0.25">
      <c r="B22" s="47">
        <f t="shared" si="0"/>
        <v>45401</v>
      </c>
      <c r="C22" s="49">
        <v>15.968</v>
      </c>
      <c r="D22" s="49"/>
      <c r="E22" s="49"/>
      <c r="F22" s="21"/>
      <c r="G22" s="54"/>
      <c r="H22" s="57"/>
      <c r="I22" s="57"/>
      <c r="J22" s="76"/>
      <c r="K22" s="73"/>
      <c r="L22" s="125"/>
    </row>
    <row r="23" spans="2:12" x14ac:dyDescent="0.25">
      <c r="B23" s="47">
        <f t="shared" si="0"/>
        <v>45402</v>
      </c>
      <c r="C23" s="49">
        <v>15.968</v>
      </c>
      <c r="D23" s="49"/>
      <c r="E23" s="49"/>
      <c r="F23" s="21"/>
      <c r="G23" s="54"/>
      <c r="H23" s="57"/>
      <c r="I23" s="57"/>
      <c r="J23" s="76"/>
      <c r="K23" s="73"/>
      <c r="L23" s="125"/>
    </row>
    <row r="24" spans="2:12" x14ac:dyDescent="0.25">
      <c r="B24" s="47">
        <f t="shared" si="0"/>
        <v>45403</v>
      </c>
      <c r="C24" s="49">
        <v>15.968</v>
      </c>
      <c r="D24" s="49"/>
      <c r="E24" s="49"/>
      <c r="F24" s="21"/>
      <c r="G24" s="54"/>
      <c r="H24" s="57"/>
      <c r="I24" s="57"/>
      <c r="J24" s="76"/>
      <c r="K24" s="73"/>
      <c r="L24" s="125"/>
    </row>
    <row r="25" spans="2:12" x14ac:dyDescent="0.25">
      <c r="B25" s="47">
        <f t="shared" si="0"/>
        <v>45404</v>
      </c>
      <c r="C25" s="49">
        <v>15.968</v>
      </c>
      <c r="D25" s="49"/>
      <c r="E25" s="49"/>
      <c r="F25" s="21"/>
      <c r="G25" s="56"/>
      <c r="H25" s="57"/>
      <c r="I25" s="57"/>
      <c r="J25" s="76"/>
      <c r="K25" s="73"/>
      <c r="L25" s="125"/>
    </row>
    <row r="26" spans="2:12" x14ac:dyDescent="0.25">
      <c r="B26" s="47">
        <f t="shared" si="0"/>
        <v>45405</v>
      </c>
      <c r="C26" s="49">
        <v>15.968</v>
      </c>
      <c r="D26" s="49"/>
      <c r="E26" s="49"/>
      <c r="F26" s="21"/>
      <c r="G26" s="54"/>
      <c r="H26" s="57"/>
      <c r="I26" s="57"/>
      <c r="J26" s="76"/>
      <c r="K26" s="73"/>
      <c r="L26" s="125"/>
    </row>
    <row r="27" spans="2:12" x14ac:dyDescent="0.25">
      <c r="B27" s="47">
        <f t="shared" si="0"/>
        <v>45406</v>
      </c>
      <c r="C27" s="49">
        <v>15.968</v>
      </c>
      <c r="D27" s="49"/>
      <c r="E27" s="49"/>
      <c r="F27" s="21"/>
      <c r="G27" s="54"/>
      <c r="H27" s="57"/>
      <c r="I27" s="57"/>
      <c r="J27" s="76"/>
      <c r="K27" s="73"/>
      <c r="L27" s="125"/>
    </row>
    <row r="28" spans="2:12" x14ac:dyDescent="0.25">
      <c r="B28" s="47">
        <f t="shared" si="0"/>
        <v>45407</v>
      </c>
      <c r="C28" s="49">
        <v>15.968</v>
      </c>
      <c r="D28" s="49"/>
      <c r="E28" s="49"/>
      <c r="F28" s="21"/>
      <c r="G28" s="54"/>
      <c r="H28" s="57"/>
      <c r="I28" s="57"/>
      <c r="J28" s="76"/>
      <c r="K28" s="73"/>
      <c r="L28" s="125"/>
    </row>
    <row r="29" spans="2:12" x14ac:dyDescent="0.25">
      <c r="B29" s="47">
        <f t="shared" si="0"/>
        <v>45408</v>
      </c>
      <c r="C29" s="49">
        <v>15.968</v>
      </c>
      <c r="D29" s="49"/>
      <c r="E29" s="49"/>
      <c r="F29" s="21"/>
      <c r="G29" s="54"/>
      <c r="H29" s="57"/>
      <c r="I29" s="57"/>
      <c r="J29" s="76"/>
      <c r="K29" s="73"/>
      <c r="L29" s="125"/>
    </row>
    <row r="30" spans="2:12" x14ac:dyDescent="0.25">
      <c r="B30" s="47">
        <f t="shared" si="0"/>
        <v>45409</v>
      </c>
      <c r="C30" s="49">
        <v>15.968</v>
      </c>
      <c r="D30" s="49"/>
      <c r="E30" s="49"/>
      <c r="F30" s="21"/>
      <c r="G30" s="54"/>
      <c r="H30" s="57"/>
      <c r="I30" s="57"/>
      <c r="J30" s="76"/>
      <c r="K30" s="73"/>
      <c r="L30" s="125"/>
    </row>
    <row r="31" spans="2:12" x14ac:dyDescent="0.25">
      <c r="B31" s="47">
        <f t="shared" si="0"/>
        <v>45410</v>
      </c>
      <c r="C31" s="49">
        <v>15.968</v>
      </c>
      <c r="D31" s="49"/>
      <c r="E31" s="49"/>
      <c r="F31" s="21"/>
      <c r="G31" s="54"/>
      <c r="H31" s="57"/>
      <c r="I31" s="57"/>
      <c r="J31" s="76"/>
      <c r="K31" s="73"/>
      <c r="L31" s="125"/>
    </row>
    <row r="32" spans="2:12" x14ac:dyDescent="0.25">
      <c r="B32" s="47">
        <f t="shared" si="0"/>
        <v>45411</v>
      </c>
      <c r="C32" s="49">
        <v>15.968</v>
      </c>
      <c r="D32" s="49"/>
      <c r="E32" s="49"/>
      <c r="F32" s="21"/>
      <c r="G32" s="54"/>
      <c r="H32" s="57"/>
      <c r="I32" s="57"/>
      <c r="J32" s="76"/>
      <c r="K32" s="73"/>
      <c r="L32" s="125"/>
    </row>
    <row r="33" spans="2:12" ht="13.15" customHeight="1" x14ac:dyDescent="0.25">
      <c r="B33" s="47">
        <f t="shared" si="0"/>
        <v>45412</v>
      </c>
      <c r="C33" s="49">
        <v>15.968</v>
      </c>
      <c r="D33" s="49"/>
      <c r="E33" s="49"/>
      <c r="F33" s="21"/>
      <c r="G33" s="54"/>
      <c r="H33" s="57"/>
      <c r="I33" s="57"/>
      <c r="J33" s="76"/>
      <c r="K33" s="73"/>
      <c r="L33" s="125"/>
    </row>
    <row r="34" spans="2:12" x14ac:dyDescent="0.25">
      <c r="E34" s="16">
        <f>SUM(E4:E33)</f>
        <v>248.887</v>
      </c>
      <c r="F34" s="16"/>
      <c r="G34" s="18">
        <f>SUM(G4:G33)</f>
        <v>0</v>
      </c>
      <c r="H34" s="18"/>
      <c r="I34" s="18">
        <f>SUM(I4:I33)</f>
        <v>0</v>
      </c>
      <c r="J34" s="18">
        <f>SUM(J4:J33)</f>
        <v>0</v>
      </c>
      <c r="L34" s="185">
        <f>SUM(L4:L33)</f>
        <v>0</v>
      </c>
    </row>
  </sheetData>
  <mergeCells count="3">
    <mergeCell ref="M1:N1"/>
    <mergeCell ref="B2:G2"/>
    <mergeCell ref="I2:K2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0000"/>
  </sheetPr>
  <dimension ref="B1:O48"/>
  <sheetViews>
    <sheetView zoomScale="70" zoomScaleNormal="70" workbookViewId="0">
      <selection activeCell="D4" sqref="D4:E18"/>
    </sheetView>
  </sheetViews>
  <sheetFormatPr defaultColWidth="8.85546875" defaultRowHeight="15" x14ac:dyDescent="0.25"/>
  <cols>
    <col min="1" max="1" width="8.85546875" style="1"/>
    <col min="2" max="2" width="12" style="1" bestFit="1" customWidth="1"/>
    <col min="3" max="3" width="9.7109375" style="1" bestFit="1" customWidth="1"/>
    <col min="4" max="4" width="12.140625" style="1" bestFit="1" customWidth="1"/>
    <col min="5" max="5" width="10.140625" style="1" bestFit="1" customWidth="1"/>
    <col min="6" max="6" width="5.140625" style="1" bestFit="1" customWidth="1"/>
    <col min="7" max="7" width="10.7109375" style="1" bestFit="1" customWidth="1"/>
    <col min="8" max="9" width="15.42578125" style="1" bestFit="1" customWidth="1"/>
    <col min="10" max="10" width="13" style="1" customWidth="1"/>
    <col min="11" max="11" width="17.5703125" style="69" customWidth="1"/>
    <col min="12" max="12" width="13.28515625" style="1" customWidth="1"/>
    <col min="13" max="13" width="17.42578125" style="1" customWidth="1"/>
    <col min="14" max="14" width="19.140625" style="1" bestFit="1" customWidth="1"/>
    <col min="15" max="15" width="12.5703125" style="1" bestFit="1" customWidth="1"/>
    <col min="16" max="16384" width="8.85546875" style="1"/>
  </cols>
  <sheetData>
    <row r="1" spans="2:15" ht="15.75" thickBot="1" x14ac:dyDescent="0.3">
      <c r="H1" s="81"/>
      <c r="I1" s="81"/>
      <c r="J1" s="78"/>
      <c r="K1" s="78"/>
      <c r="M1" s="680" t="s">
        <v>29</v>
      </c>
      <c r="N1" s="680"/>
    </row>
    <row r="2" spans="2:15" ht="15.75" thickBot="1" x14ac:dyDescent="0.3">
      <c r="B2" s="688" t="s">
        <v>114</v>
      </c>
      <c r="C2" s="689"/>
      <c r="D2" s="689"/>
      <c r="E2" s="689"/>
      <c r="F2" s="689"/>
      <c r="G2" s="690"/>
      <c r="H2" s="252"/>
      <c r="I2" s="691" t="s">
        <v>71</v>
      </c>
      <c r="J2" s="679"/>
      <c r="K2" s="692"/>
      <c r="M2" s="2" t="s">
        <v>100</v>
      </c>
      <c r="N2" s="2" t="s">
        <v>81</v>
      </c>
      <c r="O2" s="1" t="s">
        <v>112</v>
      </c>
    </row>
    <row r="3" spans="2:15" ht="43.5" x14ac:dyDescent="0.25">
      <c r="B3" s="26" t="s">
        <v>8</v>
      </c>
      <c r="C3" s="46" t="s">
        <v>22</v>
      </c>
      <c r="D3" s="52" t="s">
        <v>27</v>
      </c>
      <c r="E3" s="52" t="s">
        <v>6</v>
      </c>
      <c r="F3" s="52" t="s">
        <v>21</v>
      </c>
      <c r="G3" s="35" t="s">
        <v>28</v>
      </c>
      <c r="H3" s="121" t="s">
        <v>137</v>
      </c>
      <c r="I3" s="121" t="s">
        <v>138</v>
      </c>
      <c r="J3" s="81" t="s">
        <v>105</v>
      </c>
      <c r="K3" s="35" t="s">
        <v>72</v>
      </c>
      <c r="L3" s="69"/>
      <c r="M3" s="111">
        <v>3</v>
      </c>
      <c r="N3" s="111">
        <v>12</v>
      </c>
      <c r="O3" s="111"/>
    </row>
    <row r="4" spans="2:15" x14ac:dyDescent="0.25">
      <c r="B4" s="47">
        <v>45383</v>
      </c>
      <c r="C4" s="49">
        <v>15.13</v>
      </c>
      <c r="D4" s="49">
        <v>10</v>
      </c>
      <c r="E4" s="49">
        <v>10.974</v>
      </c>
      <c r="F4" s="21"/>
      <c r="G4" s="48"/>
      <c r="H4" s="57"/>
      <c r="I4" s="57"/>
      <c r="J4" s="76"/>
      <c r="K4" s="73"/>
      <c r="L4" s="125"/>
    </row>
    <row r="5" spans="2:15" x14ac:dyDescent="0.25">
      <c r="B5" s="47">
        <f>+B4+1</f>
        <v>45384</v>
      </c>
      <c r="C5" s="49">
        <v>15.13</v>
      </c>
      <c r="D5" s="49">
        <v>10</v>
      </c>
      <c r="E5" s="49">
        <v>11.71</v>
      </c>
      <c r="F5" s="21"/>
      <c r="G5" s="48"/>
      <c r="H5" s="57"/>
      <c r="I5" s="57"/>
      <c r="J5" s="76"/>
      <c r="K5" s="73"/>
      <c r="L5" s="125"/>
    </row>
    <row r="6" spans="2:15" x14ac:dyDescent="0.25">
      <c r="B6" s="47">
        <f t="shared" ref="B6:B33" si="0">+B5+1</f>
        <v>45385</v>
      </c>
      <c r="C6" s="49">
        <v>15.13</v>
      </c>
      <c r="D6" s="49">
        <v>10</v>
      </c>
      <c r="E6" s="49">
        <v>11.891999999999999</v>
      </c>
      <c r="F6" s="21"/>
      <c r="G6" s="48"/>
      <c r="H6" s="57"/>
      <c r="I6" s="57"/>
      <c r="J6" s="76"/>
      <c r="K6" s="73"/>
      <c r="L6" s="125"/>
    </row>
    <row r="7" spans="2:15" x14ac:dyDescent="0.25">
      <c r="B7" s="47">
        <f t="shared" si="0"/>
        <v>45386</v>
      </c>
      <c r="C7" s="49">
        <v>15.13</v>
      </c>
      <c r="D7" s="49">
        <v>10</v>
      </c>
      <c r="E7" s="49">
        <v>12.542999999999999</v>
      </c>
      <c r="F7" s="21"/>
      <c r="G7" s="48"/>
      <c r="H7" s="57"/>
      <c r="I7" s="57"/>
      <c r="J7" s="76"/>
      <c r="K7" s="73"/>
      <c r="L7" s="125"/>
    </row>
    <row r="8" spans="2:15" x14ac:dyDescent="0.25">
      <c r="B8" s="47">
        <f t="shared" si="0"/>
        <v>45387</v>
      </c>
      <c r="C8" s="49">
        <v>15.13</v>
      </c>
      <c r="D8" s="49">
        <v>10</v>
      </c>
      <c r="E8" s="49">
        <v>12.105</v>
      </c>
      <c r="F8" s="21"/>
      <c r="G8" s="53"/>
      <c r="H8" s="57"/>
      <c r="I8" s="57"/>
      <c r="J8" s="76"/>
      <c r="K8" s="73"/>
      <c r="L8" s="125"/>
    </row>
    <row r="9" spans="2:15" x14ac:dyDescent="0.25">
      <c r="B9" s="47">
        <f t="shared" si="0"/>
        <v>45388</v>
      </c>
      <c r="C9" s="49">
        <v>15.13</v>
      </c>
      <c r="D9" s="49">
        <v>10</v>
      </c>
      <c r="E9" s="49">
        <v>9.7460000000000004</v>
      </c>
      <c r="F9" s="21"/>
      <c r="G9" s="53"/>
      <c r="H9" s="57"/>
      <c r="I9" s="57"/>
      <c r="J9" s="76"/>
      <c r="K9" s="73"/>
      <c r="L9" s="125"/>
    </row>
    <row r="10" spans="2:15" x14ac:dyDescent="0.25">
      <c r="B10" s="47">
        <f t="shared" si="0"/>
        <v>45389</v>
      </c>
      <c r="C10" s="49">
        <v>15.13</v>
      </c>
      <c r="D10" s="49">
        <v>9</v>
      </c>
      <c r="E10" s="49">
        <v>10.419</v>
      </c>
      <c r="F10" s="21"/>
      <c r="G10" s="54"/>
      <c r="H10" s="57"/>
      <c r="I10" s="57"/>
      <c r="J10" s="76"/>
      <c r="K10" s="73"/>
      <c r="L10" s="125"/>
    </row>
    <row r="11" spans="2:15" x14ac:dyDescent="0.25">
      <c r="B11" s="47">
        <f t="shared" si="0"/>
        <v>45390</v>
      </c>
      <c r="C11" s="49">
        <v>15.13</v>
      </c>
      <c r="D11" s="49">
        <v>10</v>
      </c>
      <c r="E11" s="49">
        <v>11.102</v>
      </c>
      <c r="F11" s="21"/>
      <c r="G11" s="55"/>
      <c r="H11" s="57"/>
      <c r="I11" s="57"/>
      <c r="J11" s="76"/>
      <c r="K11" s="73"/>
      <c r="L11" s="125"/>
    </row>
    <row r="12" spans="2:15" x14ac:dyDescent="0.25">
      <c r="B12" s="47">
        <f t="shared" si="0"/>
        <v>45391</v>
      </c>
      <c r="C12" s="49">
        <v>15.13</v>
      </c>
      <c r="D12" s="49">
        <v>10</v>
      </c>
      <c r="E12" s="49">
        <v>10.579000000000001</v>
      </c>
      <c r="F12" s="21"/>
      <c r="G12" s="54"/>
      <c r="H12" s="57"/>
      <c r="I12" s="57"/>
      <c r="J12" s="76"/>
      <c r="K12" s="73"/>
      <c r="L12" s="125"/>
    </row>
    <row r="13" spans="2:15" x14ac:dyDescent="0.25">
      <c r="B13" s="47">
        <f t="shared" si="0"/>
        <v>45392</v>
      </c>
      <c r="C13" s="49">
        <v>15.13</v>
      </c>
      <c r="D13" s="49">
        <v>10</v>
      </c>
      <c r="E13" s="49">
        <v>10.023999999999999</v>
      </c>
      <c r="F13" s="21"/>
      <c r="G13" s="56"/>
      <c r="H13" s="57"/>
      <c r="I13" s="57"/>
      <c r="J13" s="76"/>
      <c r="K13" s="73"/>
      <c r="L13" s="125"/>
    </row>
    <row r="14" spans="2:15" x14ac:dyDescent="0.25">
      <c r="B14" s="47">
        <f t="shared" si="0"/>
        <v>45393</v>
      </c>
      <c r="C14" s="49">
        <v>15.13</v>
      </c>
      <c r="D14" s="49">
        <v>10</v>
      </c>
      <c r="E14" s="49">
        <v>9.9920000000000009</v>
      </c>
      <c r="F14" s="21"/>
      <c r="G14" s="54"/>
      <c r="H14" s="57"/>
      <c r="I14" s="57"/>
      <c r="J14" s="76"/>
      <c r="K14" s="73"/>
      <c r="L14" s="125"/>
    </row>
    <row r="15" spans="2:15" x14ac:dyDescent="0.25">
      <c r="B15" s="47">
        <f t="shared" si="0"/>
        <v>45394</v>
      </c>
      <c r="C15" s="49">
        <v>15.13</v>
      </c>
      <c r="D15" s="49">
        <v>10</v>
      </c>
      <c r="E15" s="49">
        <v>9.49</v>
      </c>
      <c r="F15" s="21"/>
      <c r="G15" s="54"/>
      <c r="H15" s="57"/>
      <c r="I15" s="57"/>
      <c r="J15" s="76"/>
      <c r="K15" s="73"/>
      <c r="L15" s="125"/>
    </row>
    <row r="16" spans="2:15" x14ac:dyDescent="0.25">
      <c r="B16" s="47">
        <f t="shared" si="0"/>
        <v>45395</v>
      </c>
      <c r="C16" s="49">
        <v>15.13</v>
      </c>
      <c r="D16" s="49">
        <v>9</v>
      </c>
      <c r="E16" s="49">
        <v>9.1910000000000007</v>
      </c>
      <c r="F16" s="21"/>
      <c r="G16" s="54"/>
      <c r="H16" s="57"/>
      <c r="I16" s="57"/>
      <c r="J16" s="76"/>
      <c r="K16" s="73"/>
      <c r="L16" s="125"/>
    </row>
    <row r="17" spans="2:12" x14ac:dyDescent="0.25">
      <c r="B17" s="47">
        <f t="shared" si="0"/>
        <v>45396</v>
      </c>
      <c r="C17" s="49">
        <v>15.13</v>
      </c>
      <c r="D17" s="49">
        <v>9</v>
      </c>
      <c r="E17" s="49">
        <v>9.3940000000000001</v>
      </c>
      <c r="F17" s="21"/>
      <c r="G17" s="54"/>
      <c r="H17" s="57"/>
      <c r="I17" s="57"/>
      <c r="J17" s="76"/>
      <c r="K17" s="73"/>
      <c r="L17" s="125"/>
    </row>
    <row r="18" spans="2:12" x14ac:dyDescent="0.25">
      <c r="B18" s="47">
        <f t="shared" si="0"/>
        <v>45397</v>
      </c>
      <c r="C18" s="49">
        <v>15.13</v>
      </c>
      <c r="D18" s="49">
        <v>9</v>
      </c>
      <c r="E18" s="49">
        <v>8.6790000000000003</v>
      </c>
      <c r="F18" s="21"/>
      <c r="G18" s="54"/>
      <c r="H18" s="57"/>
      <c r="I18" s="57"/>
      <c r="J18" s="76"/>
      <c r="K18" s="73"/>
      <c r="L18" s="125"/>
    </row>
    <row r="19" spans="2:12" x14ac:dyDescent="0.25">
      <c r="B19" s="47">
        <f t="shared" si="0"/>
        <v>45398</v>
      </c>
      <c r="C19" s="49">
        <v>15.13</v>
      </c>
      <c r="D19" s="49">
        <v>10</v>
      </c>
      <c r="E19" s="49"/>
      <c r="F19" s="21"/>
      <c r="G19" s="54"/>
      <c r="H19" s="57"/>
      <c r="I19" s="57"/>
      <c r="J19" s="76"/>
      <c r="K19" s="73"/>
      <c r="L19" s="125"/>
    </row>
    <row r="20" spans="2:12" x14ac:dyDescent="0.25">
      <c r="B20" s="47">
        <f t="shared" si="0"/>
        <v>45399</v>
      </c>
      <c r="C20" s="49">
        <v>15.13</v>
      </c>
      <c r="D20" s="49">
        <v>10</v>
      </c>
      <c r="E20" s="49"/>
      <c r="F20" s="21"/>
      <c r="G20" s="54"/>
      <c r="H20" s="57"/>
      <c r="I20" s="57"/>
      <c r="J20" s="76"/>
      <c r="K20" s="73"/>
      <c r="L20" s="125"/>
    </row>
    <row r="21" spans="2:12" x14ac:dyDescent="0.25">
      <c r="B21" s="47">
        <f t="shared" si="0"/>
        <v>45400</v>
      </c>
      <c r="C21" s="49">
        <v>15.13</v>
      </c>
      <c r="D21" s="49">
        <v>10</v>
      </c>
      <c r="E21" s="49"/>
      <c r="F21" s="21"/>
      <c r="G21" s="54"/>
      <c r="H21" s="57"/>
      <c r="I21" s="57"/>
      <c r="J21" s="76"/>
      <c r="K21" s="73"/>
      <c r="L21" s="125"/>
    </row>
    <row r="22" spans="2:12" x14ac:dyDescent="0.25">
      <c r="B22" s="47">
        <f t="shared" si="0"/>
        <v>45401</v>
      </c>
      <c r="C22" s="49">
        <v>15.13</v>
      </c>
      <c r="D22" s="49">
        <v>10</v>
      </c>
      <c r="E22" s="49"/>
      <c r="F22" s="21"/>
      <c r="G22" s="54"/>
      <c r="H22" s="57"/>
      <c r="I22" s="57"/>
      <c r="J22" s="76"/>
      <c r="K22" s="73"/>
      <c r="L22" s="125"/>
    </row>
    <row r="23" spans="2:12" x14ac:dyDescent="0.25">
      <c r="B23" s="47">
        <f t="shared" si="0"/>
        <v>45402</v>
      </c>
      <c r="C23" s="49">
        <v>15.13</v>
      </c>
      <c r="D23" s="49">
        <v>10</v>
      </c>
      <c r="E23" s="49"/>
      <c r="F23" s="21"/>
      <c r="G23" s="54"/>
      <c r="H23" s="57"/>
      <c r="I23" s="57"/>
      <c r="J23" s="76"/>
      <c r="K23" s="73"/>
      <c r="L23" s="125"/>
    </row>
    <row r="24" spans="2:12" x14ac:dyDescent="0.25">
      <c r="B24" s="47">
        <f t="shared" si="0"/>
        <v>45403</v>
      </c>
      <c r="C24" s="49">
        <v>15.13</v>
      </c>
      <c r="D24" s="49">
        <v>10</v>
      </c>
      <c r="E24" s="49"/>
      <c r="F24" s="21"/>
      <c r="G24" s="54"/>
      <c r="H24" s="57"/>
      <c r="I24" s="57"/>
      <c r="J24" s="76"/>
      <c r="K24" s="73"/>
      <c r="L24" s="125"/>
    </row>
    <row r="25" spans="2:12" x14ac:dyDescent="0.25">
      <c r="B25" s="47">
        <f t="shared" si="0"/>
        <v>45404</v>
      </c>
      <c r="C25" s="49">
        <v>15.13</v>
      </c>
      <c r="D25" s="49">
        <v>10</v>
      </c>
      <c r="E25" s="49"/>
      <c r="F25" s="21"/>
      <c r="G25" s="56"/>
      <c r="H25" s="57"/>
      <c r="I25" s="57"/>
      <c r="J25" s="76"/>
      <c r="K25" s="73"/>
      <c r="L25" s="125"/>
    </row>
    <row r="26" spans="2:12" x14ac:dyDescent="0.25">
      <c r="B26" s="47">
        <f t="shared" si="0"/>
        <v>45405</v>
      </c>
      <c r="C26" s="49">
        <v>15.13</v>
      </c>
      <c r="D26" s="49">
        <v>10</v>
      </c>
      <c r="E26" s="49"/>
      <c r="F26" s="21"/>
      <c r="G26" s="54"/>
      <c r="H26" s="57"/>
      <c r="I26" s="57"/>
      <c r="J26" s="76"/>
      <c r="K26" s="73"/>
      <c r="L26" s="125"/>
    </row>
    <row r="27" spans="2:12" x14ac:dyDescent="0.25">
      <c r="B27" s="47">
        <f t="shared" si="0"/>
        <v>45406</v>
      </c>
      <c r="C27" s="49">
        <v>15.13</v>
      </c>
      <c r="D27" s="49">
        <v>10</v>
      </c>
      <c r="E27" s="49"/>
      <c r="F27" s="21"/>
      <c r="G27" s="54"/>
      <c r="H27" s="57"/>
      <c r="I27" s="57"/>
      <c r="J27" s="76"/>
      <c r="K27" s="73"/>
      <c r="L27" s="125"/>
    </row>
    <row r="28" spans="2:12" x14ac:dyDescent="0.25">
      <c r="B28" s="47">
        <f t="shared" si="0"/>
        <v>45407</v>
      </c>
      <c r="C28" s="49">
        <v>15.13</v>
      </c>
      <c r="D28" s="49">
        <v>10</v>
      </c>
      <c r="E28" s="49"/>
      <c r="F28" s="21"/>
      <c r="G28" s="54"/>
      <c r="H28" s="57"/>
      <c r="I28" s="57"/>
      <c r="J28" s="76"/>
      <c r="K28" s="73"/>
      <c r="L28" s="125"/>
    </row>
    <row r="29" spans="2:12" x14ac:dyDescent="0.25">
      <c r="B29" s="47">
        <f t="shared" si="0"/>
        <v>45408</v>
      </c>
      <c r="C29" s="49">
        <v>15.13</v>
      </c>
      <c r="D29" s="49">
        <v>10</v>
      </c>
      <c r="E29" s="49"/>
      <c r="F29" s="21"/>
      <c r="G29" s="54"/>
      <c r="H29" s="57"/>
      <c r="I29" s="57"/>
      <c r="J29" s="76"/>
      <c r="K29" s="73"/>
      <c r="L29" s="125"/>
    </row>
    <row r="30" spans="2:12" x14ac:dyDescent="0.25">
      <c r="B30" s="47">
        <f t="shared" si="0"/>
        <v>45409</v>
      </c>
      <c r="C30" s="49">
        <v>15.13</v>
      </c>
      <c r="D30" s="49">
        <v>10</v>
      </c>
      <c r="E30" s="49"/>
      <c r="F30" s="21"/>
      <c r="G30" s="54"/>
      <c r="H30" s="57"/>
      <c r="I30" s="57"/>
      <c r="J30" s="76"/>
      <c r="K30" s="73"/>
      <c r="L30" s="125"/>
    </row>
    <row r="31" spans="2:12" x14ac:dyDescent="0.25">
      <c r="B31" s="47">
        <f t="shared" si="0"/>
        <v>45410</v>
      </c>
      <c r="C31" s="49">
        <v>15.13</v>
      </c>
      <c r="D31" s="49">
        <v>10</v>
      </c>
      <c r="E31" s="49"/>
      <c r="F31" s="21"/>
      <c r="G31" s="54"/>
      <c r="H31" s="57"/>
      <c r="I31" s="57"/>
      <c r="J31" s="76"/>
      <c r="K31" s="73"/>
      <c r="L31" s="125"/>
    </row>
    <row r="32" spans="2:12" x14ac:dyDescent="0.25">
      <c r="B32" s="47">
        <f t="shared" si="0"/>
        <v>45411</v>
      </c>
      <c r="C32" s="49">
        <v>15.13</v>
      </c>
      <c r="D32" s="49">
        <v>10</v>
      </c>
      <c r="E32" s="49"/>
      <c r="F32" s="21"/>
      <c r="G32" s="54"/>
      <c r="H32" s="57"/>
      <c r="I32" s="57"/>
      <c r="J32" s="76"/>
      <c r="K32" s="73"/>
      <c r="L32" s="125"/>
    </row>
    <row r="33" spans="2:13" x14ac:dyDescent="0.25">
      <c r="B33" s="47">
        <f t="shared" si="0"/>
        <v>45412</v>
      </c>
      <c r="C33" s="49">
        <v>15.13</v>
      </c>
      <c r="D33" s="49">
        <v>10</v>
      </c>
      <c r="E33" s="49"/>
      <c r="F33" s="7"/>
      <c r="G33" s="54"/>
      <c r="H33" s="57"/>
      <c r="I33" s="57"/>
      <c r="J33" s="76"/>
      <c r="K33" s="73"/>
      <c r="L33" s="125"/>
    </row>
    <row r="34" spans="2:13" x14ac:dyDescent="0.25">
      <c r="E34" s="16">
        <f>SUM(E4:E33)</f>
        <v>157.84</v>
      </c>
      <c r="F34" s="16"/>
      <c r="G34" s="18">
        <f>SUM(G4:G33)</f>
        <v>0</v>
      </c>
      <c r="H34" s="18"/>
      <c r="I34" s="18">
        <f>SUM(I4:I33)</f>
        <v>0</v>
      </c>
      <c r="J34" s="18">
        <f>SUM(J4:J33)</f>
        <v>0</v>
      </c>
      <c r="L34" s="185">
        <f>SUM(L4:L33)</f>
        <v>0</v>
      </c>
    </row>
    <row r="48" spans="2:13" x14ac:dyDescent="0.25">
      <c r="K48" s="69">
        <v>301</v>
      </c>
      <c r="M48" s="1">
        <f>4.6155+3.637</f>
        <v>8.2524999999999995</v>
      </c>
    </row>
  </sheetData>
  <mergeCells count="3">
    <mergeCell ref="M1:N1"/>
    <mergeCell ref="B2:G2"/>
    <mergeCell ref="I2:K2"/>
  </mergeCell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0000"/>
  </sheetPr>
  <dimension ref="B1:N34"/>
  <sheetViews>
    <sheetView topLeftCell="H1" zoomScale="70" zoomScaleNormal="70" workbookViewId="0">
      <selection activeCell="H4" sqref="H4:I33"/>
    </sheetView>
  </sheetViews>
  <sheetFormatPr defaultColWidth="8.85546875" defaultRowHeight="15" x14ac:dyDescent="0.25"/>
  <cols>
    <col min="1" max="1" width="8.85546875" style="1"/>
    <col min="2" max="2" width="12.140625" style="1" bestFit="1" customWidth="1"/>
    <col min="3" max="3" width="9" style="1" bestFit="1" customWidth="1"/>
    <col min="4" max="4" width="11.42578125" style="1" bestFit="1" customWidth="1"/>
    <col min="5" max="5" width="9.28515625" style="1" bestFit="1" customWidth="1"/>
    <col min="6" max="7" width="15.42578125" style="1" bestFit="1" customWidth="1"/>
    <col min="8" max="8" width="13" style="1" customWidth="1"/>
    <col min="9" max="10" width="17.5703125" style="69" customWidth="1"/>
    <col min="11" max="11" width="9.5703125" style="1" bestFit="1" customWidth="1"/>
    <col min="12" max="12" width="14.7109375" style="1" bestFit="1" customWidth="1"/>
    <col min="13" max="13" width="19.28515625" style="1" bestFit="1" customWidth="1"/>
    <col min="14" max="14" width="11.28515625" style="1" bestFit="1" customWidth="1"/>
    <col min="15" max="16384" width="8.85546875" style="1"/>
  </cols>
  <sheetData>
    <row r="1" spans="2:14" ht="15.75" thickBot="1" x14ac:dyDescent="0.3">
      <c r="F1" s="77"/>
      <c r="G1" s="77"/>
      <c r="H1" s="78"/>
      <c r="I1" s="78"/>
      <c r="J1" s="13"/>
      <c r="L1" s="680" t="s">
        <v>29</v>
      </c>
      <c r="M1" s="680"/>
    </row>
    <row r="2" spans="2:14" ht="28.9" customHeight="1" x14ac:dyDescent="0.25">
      <c r="B2" s="685" t="s">
        <v>134</v>
      </c>
      <c r="C2" s="686"/>
      <c r="D2" s="686"/>
      <c r="E2" s="687"/>
      <c r="F2" s="240"/>
      <c r="G2" s="679" t="s">
        <v>71</v>
      </c>
      <c r="H2" s="679"/>
      <c r="I2" s="679"/>
      <c r="J2" s="52"/>
      <c r="L2" s="2" t="s">
        <v>100</v>
      </c>
      <c r="M2" s="2" t="s">
        <v>81</v>
      </c>
      <c r="N2" s="2" t="s">
        <v>112</v>
      </c>
    </row>
    <row r="3" spans="2:14" ht="43.5" x14ac:dyDescent="0.25">
      <c r="B3" s="12" t="s">
        <v>8</v>
      </c>
      <c r="C3" s="2" t="s">
        <v>22</v>
      </c>
      <c r="D3" s="13" t="s">
        <v>27</v>
      </c>
      <c r="E3" s="79" t="s">
        <v>6</v>
      </c>
      <c r="F3" s="121" t="s">
        <v>137</v>
      </c>
      <c r="G3" s="121" t="s">
        <v>138</v>
      </c>
      <c r="H3" s="77" t="s">
        <v>103</v>
      </c>
      <c r="I3" s="77" t="s">
        <v>83</v>
      </c>
      <c r="J3" s="77" t="s">
        <v>104</v>
      </c>
      <c r="K3" s="69" t="s">
        <v>122</v>
      </c>
      <c r="L3" s="254"/>
      <c r="M3" s="254"/>
      <c r="N3" s="254"/>
    </row>
    <row r="4" spans="2:14" x14ac:dyDescent="0.25">
      <c r="B4" s="47">
        <v>45383</v>
      </c>
      <c r="C4" s="49"/>
      <c r="D4" s="49"/>
      <c r="E4" s="49"/>
      <c r="F4" s="75"/>
      <c r="G4" s="75"/>
      <c r="H4" s="175">
        <f>+F4*'Цени капацитети'!$F$49+G4*'Цени капацитети'!$F$63</f>
        <v>0</v>
      </c>
      <c r="I4" s="175">
        <f>+F4*'Цени капацитети'!$E$49+G4*'Цени капацитети'!$E$63</f>
        <v>0</v>
      </c>
      <c r="J4" s="115">
        <f>$M$3*'Цени капацитети'!$E$24+$L$3*'Цени капацитети'!$E$4+$N$3*'Цени капацитети'!$E$9+I4</f>
        <v>0</v>
      </c>
      <c r="K4" s="125"/>
    </row>
    <row r="5" spans="2:14" x14ac:dyDescent="0.25">
      <c r="B5" s="47">
        <f>+B4+1</f>
        <v>45384</v>
      </c>
      <c r="C5" s="49"/>
      <c r="D5" s="49"/>
      <c r="E5" s="49"/>
      <c r="F5" s="224"/>
      <c r="G5" s="224"/>
      <c r="H5" s="175">
        <f>+F5*'Цени капацитети'!$F$49+G5*'Цени капацитети'!$F$63</f>
        <v>0</v>
      </c>
      <c r="I5" s="175">
        <f>+F5*'Цени капацитети'!$E$49+G5*'Цени капацитети'!$E$63</f>
        <v>0</v>
      </c>
      <c r="J5" s="115">
        <f>$M$3*'Цени капацитети'!$E$24+$L$3*'Цени капацитети'!$E$4+$N$3*'Цени капацитети'!$E$9+I5</f>
        <v>0</v>
      </c>
      <c r="K5" s="125"/>
    </row>
    <row r="6" spans="2:14" ht="13.9" customHeight="1" x14ac:dyDescent="0.25">
      <c r="B6" s="47">
        <f t="shared" ref="B6:B33" si="0">+B5+1</f>
        <v>45385</v>
      </c>
      <c r="C6" s="49"/>
      <c r="D6" s="49"/>
      <c r="E6" s="49"/>
      <c r="F6" s="224"/>
      <c r="G6" s="224"/>
      <c r="H6" s="175">
        <f>+F6*'Цени капацитети'!$F$49+G6*'Цени капацитети'!$F$63</f>
        <v>0</v>
      </c>
      <c r="I6" s="175">
        <f>+F6*'Цени капацитети'!$E$49+G6*'Цени капацитети'!$E$63</f>
        <v>0</v>
      </c>
      <c r="J6" s="115">
        <f>$M$3*'Цени капацитети'!$E$24+$L$3*'Цени капацитети'!$E$4+$N$3*'Цени капацитети'!$E$9+I6</f>
        <v>0</v>
      </c>
      <c r="K6" s="125"/>
    </row>
    <row r="7" spans="2:14" x14ac:dyDescent="0.25">
      <c r="B7" s="47">
        <f t="shared" si="0"/>
        <v>45386</v>
      </c>
      <c r="C7" s="49"/>
      <c r="D7" s="49"/>
      <c r="E7" s="49"/>
      <c r="F7" s="224"/>
      <c r="G7" s="224"/>
      <c r="H7" s="175">
        <f>+F7*'Цени капацитети'!$F$49+G7*'Цени капацитети'!$F$63</f>
        <v>0</v>
      </c>
      <c r="I7" s="175">
        <f>+F7*'Цени капацитети'!$E$49+G7*'Цени капацитети'!$E$63</f>
        <v>0</v>
      </c>
      <c r="J7" s="115">
        <f>$M$3*'Цени капацитети'!$E$24+$L$3*'Цени капацитети'!$E$4+$N$3*'Цени капацитети'!$E$9+I7</f>
        <v>0</v>
      </c>
      <c r="K7" s="125"/>
    </row>
    <row r="8" spans="2:14" x14ac:dyDescent="0.25">
      <c r="B8" s="47">
        <f t="shared" si="0"/>
        <v>45387</v>
      </c>
      <c r="C8" s="49"/>
      <c r="D8" s="49"/>
      <c r="E8" s="49"/>
      <c r="F8" s="224"/>
      <c r="G8" s="224"/>
      <c r="H8" s="175">
        <f>+F8*'Цени капацитети'!$F$49+G8*'Цени капацитети'!$F$63</f>
        <v>0</v>
      </c>
      <c r="I8" s="175">
        <f>+F8*'Цени капацитети'!$E$49+G8*'Цени капацитети'!$E$63</f>
        <v>0</v>
      </c>
      <c r="J8" s="115">
        <f>$M$3*'Цени капацитети'!$E$24+$L$3*'Цени капацитети'!$E$4+$N$3*'Цени капацитети'!$E$9+I8</f>
        <v>0</v>
      </c>
      <c r="K8" s="125"/>
    </row>
    <row r="9" spans="2:14" x14ac:dyDescent="0.25">
      <c r="B9" s="47">
        <f t="shared" si="0"/>
        <v>45388</v>
      </c>
      <c r="C9" s="49"/>
      <c r="D9" s="49"/>
      <c r="E9" s="49"/>
      <c r="F9" s="224"/>
      <c r="G9" s="224"/>
      <c r="H9" s="175">
        <f>+F9*'Цени капацитети'!$F$49+G9*'Цени капацитети'!$F$63</f>
        <v>0</v>
      </c>
      <c r="I9" s="175">
        <f>+F9*'Цени капацитети'!$E$49+G9*'Цени капацитети'!$E$63</f>
        <v>0</v>
      </c>
      <c r="J9" s="115">
        <f>$M$3*'Цени капацитети'!$E$24+$L$3*'Цени капацитети'!$E$4+$N$3*'Цени капацитети'!$E$9+I9</f>
        <v>0</v>
      </c>
      <c r="K9" s="125"/>
    </row>
    <row r="10" spans="2:14" x14ac:dyDescent="0.25">
      <c r="B10" s="47">
        <f t="shared" si="0"/>
        <v>45389</v>
      </c>
      <c r="C10" s="49"/>
      <c r="D10" s="49"/>
      <c r="E10" s="49"/>
      <c r="F10" s="224"/>
      <c r="G10" s="224"/>
      <c r="H10" s="175">
        <f>+F10*'Цени капацитети'!$F$49+G10*'Цени капацитети'!$F$63</f>
        <v>0</v>
      </c>
      <c r="I10" s="175">
        <f>+F10*'Цени капацитети'!$E$49+G10*'Цени капацитети'!$E$63</f>
        <v>0</v>
      </c>
      <c r="J10" s="115">
        <f>$M$3*'Цени капацитети'!$E$24+$L$3*'Цени капацитети'!$E$4+$N$3*'Цени капацитети'!$E$9+I10</f>
        <v>0</v>
      </c>
      <c r="K10" s="125"/>
    </row>
    <row r="11" spans="2:14" x14ac:dyDescent="0.25">
      <c r="B11" s="47">
        <f t="shared" si="0"/>
        <v>45390</v>
      </c>
      <c r="C11" s="49"/>
      <c r="D11" s="49"/>
      <c r="E11" s="49"/>
      <c r="F11" s="224"/>
      <c r="G11" s="224"/>
      <c r="H11" s="175">
        <f>+F11*'Цени капацитети'!$F$49+G11*'Цени капацитети'!$F$63</f>
        <v>0</v>
      </c>
      <c r="I11" s="175">
        <f>+F11*'Цени капацитети'!$E$49+G11*'Цени капацитети'!$E$63</f>
        <v>0</v>
      </c>
      <c r="J11" s="115">
        <f>$M$3*'Цени капацитети'!$E$24+$L$3*'Цени капацитети'!$E$4+$N$3*'Цени капацитети'!$E$9+I11</f>
        <v>0</v>
      </c>
      <c r="K11" s="125"/>
    </row>
    <row r="12" spans="2:14" x14ac:dyDescent="0.25">
      <c r="B12" s="47">
        <f t="shared" si="0"/>
        <v>45391</v>
      </c>
      <c r="C12" s="49"/>
      <c r="D12" s="49"/>
      <c r="E12" s="49"/>
      <c r="F12" s="224"/>
      <c r="G12" s="224"/>
      <c r="H12" s="175">
        <f>+F12*'Цени капацитети'!$F$49+G12*'Цени капацитети'!$F$63</f>
        <v>0</v>
      </c>
      <c r="I12" s="175">
        <f>+F12*'Цени капацитети'!$E$49+G12*'Цени капацитети'!$E$63</f>
        <v>0</v>
      </c>
      <c r="J12" s="115">
        <f>$M$3*'Цени капацитети'!$E$24+$L$3*'Цени капацитети'!$E$4+$N$3*'Цени капацитети'!$E$9+I12</f>
        <v>0</v>
      </c>
      <c r="K12" s="125"/>
    </row>
    <row r="13" spans="2:14" x14ac:dyDescent="0.25">
      <c r="B13" s="47">
        <f t="shared" si="0"/>
        <v>45392</v>
      </c>
      <c r="C13" s="49"/>
      <c r="D13" s="49"/>
      <c r="E13" s="49"/>
      <c r="F13" s="224"/>
      <c r="G13" s="224"/>
      <c r="H13" s="175">
        <f>+F13*'Цени капацитети'!$F$49+G13*'Цени капацитети'!$F$63</f>
        <v>0</v>
      </c>
      <c r="I13" s="175">
        <f>+F13*'Цени капацитети'!$E$49+G13*'Цени капацитети'!$E$63</f>
        <v>0</v>
      </c>
      <c r="J13" s="115">
        <f>$M$3*'Цени капацитети'!$E$24+$L$3*'Цени капацитети'!$E$4+$N$3*'Цени капацитети'!$E$9+I13</f>
        <v>0</v>
      </c>
      <c r="K13" s="125"/>
      <c r="L13" s="23"/>
    </row>
    <row r="14" spans="2:14" x14ac:dyDescent="0.25">
      <c r="B14" s="47">
        <f t="shared" si="0"/>
        <v>45393</v>
      </c>
      <c r="C14" s="49"/>
      <c r="D14" s="49"/>
      <c r="E14" s="49"/>
      <c r="F14" s="224"/>
      <c r="G14" s="224"/>
      <c r="H14" s="175">
        <f>+F14*'Цени капацитети'!$F$49+G14*'Цени капацитети'!$F$63</f>
        <v>0</v>
      </c>
      <c r="I14" s="175">
        <f>+F14*'Цени капацитети'!$E$49+G14*'Цени капацитети'!$E$63</f>
        <v>0</v>
      </c>
      <c r="J14" s="115">
        <f>$M$3*'Цени капацитети'!$E$24+$L$3*'Цени капацитети'!$E$4+$N$3*'Цени капацитети'!$E$9+I14</f>
        <v>0</v>
      </c>
      <c r="K14" s="125"/>
    </row>
    <row r="15" spans="2:14" x14ac:dyDescent="0.25">
      <c r="B15" s="47">
        <f t="shared" si="0"/>
        <v>45394</v>
      </c>
      <c r="C15" s="49"/>
      <c r="D15" s="49"/>
      <c r="E15" s="49"/>
      <c r="F15" s="224"/>
      <c r="G15" s="224"/>
      <c r="H15" s="175">
        <f>+F15*'Цени капацитети'!$F$49+G15*'Цени капацитети'!$F$63</f>
        <v>0</v>
      </c>
      <c r="I15" s="175">
        <f>+F15*'Цени капацитети'!$E$49+G15*'Цени капацитети'!$E$63</f>
        <v>0</v>
      </c>
      <c r="J15" s="115">
        <f>$M$3*'Цени капацитети'!$E$24+$L$3*'Цени капацитети'!$E$4+$N$3*'Цени капацитети'!$E$9+I15</f>
        <v>0</v>
      </c>
      <c r="K15" s="125"/>
    </row>
    <row r="16" spans="2:14" x14ac:dyDescent="0.25">
      <c r="B16" s="47">
        <f t="shared" si="0"/>
        <v>45395</v>
      </c>
      <c r="C16" s="49"/>
      <c r="D16" s="49"/>
      <c r="E16" s="49"/>
      <c r="F16" s="224"/>
      <c r="G16" s="224"/>
      <c r="H16" s="175">
        <f>+F16*'Цени капацитети'!$F$49+G16*'Цени капацитети'!$F$63</f>
        <v>0</v>
      </c>
      <c r="I16" s="175">
        <f>+F16*'Цени капацитети'!$E$49+G16*'Цени капацитети'!$E$63</f>
        <v>0</v>
      </c>
      <c r="J16" s="115">
        <f>$M$3*'Цени капацитети'!$E$24+$L$3*'Цени капацитети'!$E$4+$N$3*'Цени капацитети'!$E$9+I16</f>
        <v>0</v>
      </c>
      <c r="K16" s="125"/>
    </row>
    <row r="17" spans="2:13" x14ac:dyDescent="0.25">
      <c r="B17" s="47">
        <f t="shared" si="0"/>
        <v>45396</v>
      </c>
      <c r="C17" s="49"/>
      <c r="D17" s="49"/>
      <c r="E17" s="49"/>
      <c r="F17" s="224"/>
      <c r="G17" s="224"/>
      <c r="H17" s="175">
        <f>+F17*'Цени капацитети'!$F$49+G17*'Цени капацитети'!$F$63</f>
        <v>0</v>
      </c>
      <c r="I17" s="175">
        <f>+F17*'Цени капацитети'!$E$49+G17*'Цени капацитети'!$E$63</f>
        <v>0</v>
      </c>
      <c r="J17" s="115">
        <f>$M$3*'Цени капацитети'!$E$24+$L$3*'Цени капацитети'!$E$4+$N$3*'Цени капацитети'!$E$9+I17</f>
        <v>0</v>
      </c>
      <c r="K17" s="125"/>
    </row>
    <row r="18" spans="2:13" x14ac:dyDescent="0.25">
      <c r="B18" s="47">
        <f t="shared" si="0"/>
        <v>45397</v>
      </c>
      <c r="C18" s="49"/>
      <c r="D18" s="49"/>
      <c r="E18" s="49"/>
      <c r="F18" s="224"/>
      <c r="G18" s="224"/>
      <c r="H18" s="175">
        <f>+F18*'Цени капацитети'!$F$49+G18*'Цени капацитети'!$F$63</f>
        <v>0</v>
      </c>
      <c r="I18" s="175">
        <f>+F18*'Цени капацитети'!$E$49+G18*'Цени капацитети'!$E$63</f>
        <v>0</v>
      </c>
      <c r="J18" s="115">
        <f>$M$3*'Цени капацитети'!$E$24+$L$3*'Цени капацитети'!$E$4+$N$3*'Цени капацитети'!$E$9+I18</f>
        <v>0</v>
      </c>
      <c r="K18" s="125"/>
    </row>
    <row r="19" spans="2:13" x14ac:dyDescent="0.25">
      <c r="B19" s="47">
        <f t="shared" si="0"/>
        <v>45398</v>
      </c>
      <c r="C19" s="49"/>
      <c r="D19" s="49"/>
      <c r="E19" s="49"/>
      <c r="F19" s="224"/>
      <c r="G19" s="224"/>
      <c r="H19" s="175">
        <f>+F19*'Цени капацитети'!$F$49+G19*'Цени капацитети'!$F$63</f>
        <v>0</v>
      </c>
      <c r="I19" s="175">
        <f>+F19*'Цени капацитети'!$E$49+G19*'Цени капацитети'!$E$63</f>
        <v>0</v>
      </c>
      <c r="J19" s="115">
        <f>$M$3*'Цени капацитети'!$E$24+$L$3*'Цени капацитети'!$E$4+$N$3*'Цени капацитети'!$E$9+I19</f>
        <v>0</v>
      </c>
      <c r="K19" s="125"/>
      <c r="M19" s="3"/>
    </row>
    <row r="20" spans="2:13" x14ac:dyDescent="0.25">
      <c r="B20" s="47">
        <f t="shared" si="0"/>
        <v>45399</v>
      </c>
      <c r="C20" s="49"/>
      <c r="D20" s="49"/>
      <c r="E20" s="49"/>
      <c r="F20" s="224"/>
      <c r="G20" s="224"/>
      <c r="H20" s="175">
        <f>+F20*'Цени капацитети'!$F$49+G20*'Цени капацитети'!$F$63</f>
        <v>0</v>
      </c>
      <c r="I20" s="175">
        <f>+F20*'Цени капацитети'!$E$49+G20*'Цени капацитети'!$E$63</f>
        <v>0</v>
      </c>
      <c r="J20" s="115">
        <f>$M$3*'Цени капацитети'!$E$24+$L$3*'Цени капацитети'!$E$4+$N$3*'Цени капацитети'!$E$9+I20</f>
        <v>0</v>
      </c>
      <c r="K20" s="125"/>
      <c r="M20" s="17"/>
    </row>
    <row r="21" spans="2:13" x14ac:dyDescent="0.25">
      <c r="B21" s="47">
        <f t="shared" si="0"/>
        <v>45400</v>
      </c>
      <c r="C21" s="49"/>
      <c r="D21" s="49"/>
      <c r="E21" s="49"/>
      <c r="F21" s="224"/>
      <c r="G21" s="224"/>
      <c r="H21" s="175">
        <f>+F21*'Цени капацитети'!$F$49+G21*'Цени капацитети'!$F$63</f>
        <v>0</v>
      </c>
      <c r="I21" s="175">
        <f>+F21*'Цени капацитети'!$E$49+G21*'Цени капацитети'!$E$63</f>
        <v>0</v>
      </c>
      <c r="J21" s="115">
        <f>$M$3*'Цени капацитети'!$E$24+$L$3*'Цени капацитети'!$E$4+$N$3*'Цени капацитети'!$E$9+I21</f>
        <v>0</v>
      </c>
      <c r="K21" s="125"/>
      <c r="M21" s="17"/>
    </row>
    <row r="22" spans="2:13" x14ac:dyDescent="0.25">
      <c r="B22" s="47">
        <f t="shared" si="0"/>
        <v>45401</v>
      </c>
      <c r="C22" s="49"/>
      <c r="D22" s="49"/>
      <c r="E22" s="49"/>
      <c r="F22" s="224"/>
      <c r="G22" s="224"/>
      <c r="H22" s="175">
        <f>+F22*'Цени капацитети'!$F$49+G22*'Цени капацитети'!$F$63</f>
        <v>0</v>
      </c>
      <c r="I22" s="175">
        <f>+F22*'Цени капацитети'!$E$49+G22*'Цени капацитети'!$E$63</f>
        <v>0</v>
      </c>
      <c r="J22" s="115">
        <f>$M$3*'Цени капацитети'!$E$24+$L$3*'Цени капацитети'!$E$4+$N$3*'Цени капацитети'!$E$9+I22</f>
        <v>0</v>
      </c>
      <c r="K22" s="125"/>
    </row>
    <row r="23" spans="2:13" x14ac:dyDescent="0.25">
      <c r="B23" s="47">
        <f t="shared" si="0"/>
        <v>45402</v>
      </c>
      <c r="C23" s="49"/>
      <c r="D23" s="49"/>
      <c r="E23" s="49"/>
      <c r="F23" s="224"/>
      <c r="G23" s="224"/>
      <c r="H23" s="175">
        <f>+F23*'Цени капацитети'!$F$49+G23*'Цени капацитети'!$F$63</f>
        <v>0</v>
      </c>
      <c r="I23" s="175">
        <f>+F23*'Цени капацитети'!$E$49+G23*'Цени капацитети'!$E$63</f>
        <v>0</v>
      </c>
      <c r="J23" s="115">
        <f>$M$3*'Цени капацитети'!$E$24+$L$3*'Цени капацитети'!$E$4+$N$3*'Цени капацитети'!$E$9+I23</f>
        <v>0</v>
      </c>
      <c r="K23" s="125"/>
    </row>
    <row r="24" spans="2:13" x14ac:dyDescent="0.25">
      <c r="B24" s="47">
        <f t="shared" si="0"/>
        <v>45403</v>
      </c>
      <c r="C24" s="49"/>
      <c r="D24" s="49"/>
      <c r="E24" s="49"/>
      <c r="F24" s="224"/>
      <c r="G24" s="224"/>
      <c r="H24" s="175">
        <f>+F24*'Цени капацитети'!$F$49+G24*'Цени капацитети'!$F$63</f>
        <v>0</v>
      </c>
      <c r="I24" s="175">
        <f>+F24*'Цени капацитети'!$E$49+G24*'Цени капацитети'!$E$63</f>
        <v>0</v>
      </c>
      <c r="J24" s="115">
        <f>$M$3*'Цени капацитети'!$E$24+$L$3*'Цени капацитети'!$E$4+$N$3*'Цени капацитети'!$E$9+I24</f>
        <v>0</v>
      </c>
      <c r="K24" s="125"/>
    </row>
    <row r="25" spans="2:13" x14ac:dyDescent="0.25">
      <c r="B25" s="47">
        <f t="shared" si="0"/>
        <v>45404</v>
      </c>
      <c r="C25" s="49"/>
      <c r="D25" s="49"/>
      <c r="E25" s="49"/>
      <c r="F25" s="57"/>
      <c r="G25" s="57"/>
      <c r="H25" s="175">
        <f>+F25*'Цени капацитети'!$F$49+G25*'Цени капацитети'!$F$63</f>
        <v>0</v>
      </c>
      <c r="I25" s="175">
        <f>+F25*'Цени капацитети'!$E$49+G25*'Цени капацитети'!$E$63</f>
        <v>0</v>
      </c>
      <c r="J25" s="115">
        <f>$M$3*'Цени капацитети'!$E$24+$L$3*'Цени капацитети'!$E$4+$N$3*'Цени капацитети'!$E$9+I25</f>
        <v>0</v>
      </c>
      <c r="K25" s="125"/>
    </row>
    <row r="26" spans="2:13" x14ac:dyDescent="0.25">
      <c r="B26" s="47">
        <f t="shared" si="0"/>
        <v>45405</v>
      </c>
      <c r="C26" s="49"/>
      <c r="D26" s="49"/>
      <c r="E26" s="49"/>
      <c r="F26" s="57"/>
      <c r="G26" s="57"/>
      <c r="H26" s="175">
        <f>+F26*'Цени капацитети'!$F$49+G26*'Цени капацитети'!$F$63</f>
        <v>0</v>
      </c>
      <c r="I26" s="175">
        <f>+F26*'Цени капацитети'!$E$49+G26*'Цени капацитети'!$E$63</f>
        <v>0</v>
      </c>
      <c r="J26" s="115">
        <f>$M$3*'Цени капацитети'!$E$24+$L$3*'Цени капацитети'!$E$4+$N$3*'Цени капацитети'!$E$9+I26</f>
        <v>0</v>
      </c>
      <c r="K26" s="125"/>
    </row>
    <row r="27" spans="2:13" x14ac:dyDescent="0.25">
      <c r="B27" s="47">
        <f t="shared" si="0"/>
        <v>45406</v>
      </c>
      <c r="C27" s="49"/>
      <c r="D27" s="49"/>
      <c r="E27" s="49"/>
      <c r="F27" s="57"/>
      <c r="G27" s="57"/>
      <c r="H27" s="175">
        <f>+F27*'Цени капацитети'!$F$49+G27*'Цени капацитети'!$F$63</f>
        <v>0</v>
      </c>
      <c r="I27" s="175">
        <f>+F27*'Цени капацитети'!$E$49+G27*'Цени капацитети'!$E$63</f>
        <v>0</v>
      </c>
      <c r="J27" s="115">
        <f>$M$3*'Цени капацитети'!$E$24+$L$3*'Цени капацитети'!$E$4+$N$3*'Цени капацитети'!$E$9+I27</f>
        <v>0</v>
      </c>
      <c r="K27" s="125"/>
    </row>
    <row r="28" spans="2:13" x14ac:dyDescent="0.25">
      <c r="B28" s="47">
        <f t="shared" si="0"/>
        <v>45407</v>
      </c>
      <c r="C28" s="49"/>
      <c r="D28" s="49"/>
      <c r="E28" s="49"/>
      <c r="F28" s="57"/>
      <c r="G28" s="57"/>
      <c r="H28" s="175">
        <f>+F28*'Цени капацитети'!$F$49+G28*'Цени капацитети'!$F$63</f>
        <v>0</v>
      </c>
      <c r="I28" s="175">
        <f>+F28*'Цени капацитети'!$E$49+G28*'Цени капацитети'!$E$63</f>
        <v>0</v>
      </c>
      <c r="J28" s="115">
        <f>$M$3*'Цени капацитети'!$E$24+$L$3*'Цени капацитети'!$E$4+$N$3*'Цени капацитети'!$E$9+I28</f>
        <v>0</v>
      </c>
      <c r="K28" s="125"/>
    </row>
    <row r="29" spans="2:13" x14ac:dyDescent="0.25">
      <c r="B29" s="47">
        <f t="shared" si="0"/>
        <v>45408</v>
      </c>
      <c r="C29" s="49"/>
      <c r="D29" s="49"/>
      <c r="E29" s="49"/>
      <c r="F29" s="57"/>
      <c r="G29" s="57"/>
      <c r="H29" s="175">
        <f>+F29*'Цени капацитети'!$F$49+G29*'Цени капацитети'!$F$63</f>
        <v>0</v>
      </c>
      <c r="I29" s="175">
        <f>+F29*'Цени капацитети'!$E$49+G29*'Цени капацитети'!$E$63</f>
        <v>0</v>
      </c>
      <c r="J29" s="115">
        <f>$M$3*'Цени капацитети'!$E$24+$L$3*'Цени капацитети'!$E$4+$N$3*'Цени капацитети'!$E$9+I29</f>
        <v>0</v>
      </c>
      <c r="K29" s="125"/>
    </row>
    <row r="30" spans="2:13" x14ac:dyDescent="0.25">
      <c r="B30" s="47">
        <f t="shared" si="0"/>
        <v>45409</v>
      </c>
      <c r="C30" s="49"/>
      <c r="D30" s="49"/>
      <c r="E30" s="49"/>
      <c r="F30" s="57"/>
      <c r="G30" s="57"/>
      <c r="H30" s="175">
        <f>+F30*'Цени капацитети'!$F$49+G30*'Цени капацитети'!$F$63</f>
        <v>0</v>
      </c>
      <c r="I30" s="175">
        <f>+F30*'Цени капацитети'!$E$49+G30*'Цени капацитети'!$E$63</f>
        <v>0</v>
      </c>
      <c r="J30" s="115">
        <f>$M$3*'Цени капацитети'!$E$24+$L$3*'Цени капацитети'!$E$4+$N$3*'Цени капацитети'!$E$9+I30</f>
        <v>0</v>
      </c>
      <c r="K30" s="125"/>
    </row>
    <row r="31" spans="2:13" x14ac:dyDescent="0.25">
      <c r="B31" s="47">
        <f t="shared" si="0"/>
        <v>45410</v>
      </c>
      <c r="C31" s="49"/>
      <c r="D31" s="49"/>
      <c r="E31" s="49"/>
      <c r="F31" s="57"/>
      <c r="G31" s="57"/>
      <c r="H31" s="175">
        <f>+F31*'Цени капацитети'!$F$49+G31*'Цени капацитети'!$F$63</f>
        <v>0</v>
      </c>
      <c r="I31" s="175">
        <f>+F31*'Цени капацитети'!$E$49+G31*'Цени капацитети'!$E$63</f>
        <v>0</v>
      </c>
      <c r="J31" s="115">
        <f>$M$3*'Цени капацитети'!$E$24+$L$3*'Цени капацитети'!$E$4+$N$3*'Цени капацитети'!$E$9+I31</f>
        <v>0</v>
      </c>
      <c r="K31" s="125"/>
    </row>
    <row r="32" spans="2:13" x14ac:dyDescent="0.25">
      <c r="B32" s="47">
        <f t="shared" si="0"/>
        <v>45411</v>
      </c>
      <c r="C32" s="49"/>
      <c r="D32" s="49"/>
      <c r="E32" s="49"/>
      <c r="F32" s="57"/>
      <c r="G32" s="57"/>
      <c r="H32" s="175">
        <f>+F32*'Цени капацитети'!$F$49+G32*'Цени капацитети'!$F$63</f>
        <v>0</v>
      </c>
      <c r="I32" s="175">
        <f>+F32*'Цени капацитети'!$E$49+G32*'Цени капацитети'!$E$63</f>
        <v>0</v>
      </c>
      <c r="J32" s="115">
        <f>$M$3*'Цени капацитети'!$E$24+$L$3*'Цени капацитети'!$E$4+$N$3*'Цени капацитети'!$E$9+I32</f>
        <v>0</v>
      </c>
      <c r="K32" s="125"/>
    </row>
    <row r="33" spans="2:11" x14ac:dyDescent="0.25">
      <c r="B33" s="47">
        <f t="shared" si="0"/>
        <v>45412</v>
      </c>
      <c r="C33" s="49"/>
      <c r="D33" s="49"/>
      <c r="E33" s="49"/>
      <c r="F33" s="57"/>
      <c r="G33" s="57"/>
      <c r="H33" s="175">
        <f>+F33*'Цени капацитети'!$F$49+G33*'Цени капацитети'!$F$63</f>
        <v>0</v>
      </c>
      <c r="I33" s="175">
        <f>+F33*'Цени капацитети'!$E$49+G33*'Цени капацитети'!$E$63</f>
        <v>0</v>
      </c>
      <c r="J33" s="115">
        <f>$M$3*'Цени капацитети'!$E$24+$L$3*'Цени капацитети'!$E$4+$N$3*'Цени капацитети'!$E$9+I33</f>
        <v>0</v>
      </c>
      <c r="K33" s="125"/>
    </row>
    <row r="34" spans="2:11" x14ac:dyDescent="0.25">
      <c r="E34" s="16">
        <f>SUM(E4:E33)</f>
        <v>0</v>
      </c>
      <c r="F34" s="16"/>
      <c r="G34" s="16">
        <f>SUM(G4:G33)</f>
        <v>0</v>
      </c>
      <c r="H34" s="16">
        <f>SUM(H4:H33)</f>
        <v>0</v>
      </c>
      <c r="K34" s="256">
        <f>SUM(K4:K33)</f>
        <v>0</v>
      </c>
    </row>
  </sheetData>
  <mergeCells count="3">
    <mergeCell ref="L1:M1"/>
    <mergeCell ref="B2:E2"/>
    <mergeCell ref="G2:I2"/>
  </mergeCell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0000"/>
  </sheetPr>
  <dimension ref="B1:N34"/>
  <sheetViews>
    <sheetView zoomScale="70" zoomScaleNormal="70" workbookViewId="0">
      <selection activeCell="H19" sqref="H19"/>
    </sheetView>
  </sheetViews>
  <sheetFormatPr defaultColWidth="8.85546875" defaultRowHeight="15" x14ac:dyDescent="0.25"/>
  <cols>
    <col min="1" max="1" width="8.85546875" style="1"/>
    <col min="2" max="2" width="12" style="1" bestFit="1" customWidth="1"/>
    <col min="3" max="3" width="9.7109375" style="1" bestFit="1" customWidth="1"/>
    <col min="4" max="4" width="12.140625" style="1" bestFit="1" customWidth="1"/>
    <col min="5" max="5" width="10.140625" style="1" bestFit="1" customWidth="1"/>
    <col min="6" max="6" width="5.140625" style="1" bestFit="1" customWidth="1"/>
    <col min="7" max="7" width="10.7109375" style="1" bestFit="1" customWidth="1"/>
    <col min="8" max="9" width="15.42578125" style="1" bestFit="1" customWidth="1"/>
    <col min="10" max="10" width="13" style="1" customWidth="1"/>
    <col min="11" max="11" width="17.5703125" style="69" customWidth="1"/>
    <col min="12" max="12" width="13.28515625" style="1" customWidth="1"/>
    <col min="13" max="13" width="17.42578125" style="1" customWidth="1"/>
    <col min="14" max="14" width="19.140625" style="1" bestFit="1" customWidth="1"/>
    <col min="15" max="15" width="12.5703125" style="1" bestFit="1" customWidth="1"/>
    <col min="16" max="16384" width="8.85546875" style="1"/>
  </cols>
  <sheetData>
    <row r="1" spans="2:14" ht="15.75" thickBot="1" x14ac:dyDescent="0.3">
      <c r="H1" s="81"/>
      <c r="I1" s="81"/>
      <c r="J1" s="78"/>
      <c r="K1" s="78"/>
      <c r="M1" s="680" t="s">
        <v>29</v>
      </c>
      <c r="N1" s="680"/>
    </row>
    <row r="2" spans="2:14" ht="15.75" thickBot="1" x14ac:dyDescent="0.3">
      <c r="B2" s="688" t="s">
        <v>135</v>
      </c>
      <c r="C2" s="689"/>
      <c r="D2" s="689"/>
      <c r="E2" s="689"/>
      <c r="F2" s="689"/>
      <c r="G2" s="690"/>
      <c r="H2" s="252"/>
      <c r="I2" s="691" t="s">
        <v>71</v>
      </c>
      <c r="J2" s="679"/>
      <c r="K2" s="692"/>
      <c r="M2" s="2" t="s">
        <v>100</v>
      </c>
      <c r="N2" s="2" t="s">
        <v>81</v>
      </c>
    </row>
    <row r="3" spans="2:14" ht="43.5" x14ac:dyDescent="0.25">
      <c r="B3" s="26" t="s">
        <v>8</v>
      </c>
      <c r="C3" s="46" t="s">
        <v>22</v>
      </c>
      <c r="D3" s="52" t="s">
        <v>27</v>
      </c>
      <c r="E3" s="52" t="s">
        <v>6</v>
      </c>
      <c r="F3" s="52" t="s">
        <v>21</v>
      </c>
      <c r="G3" s="35" t="s">
        <v>28</v>
      </c>
      <c r="H3" s="121" t="s">
        <v>137</v>
      </c>
      <c r="I3" s="121" t="s">
        <v>138</v>
      </c>
      <c r="J3" s="81" t="s">
        <v>105</v>
      </c>
      <c r="K3" s="35" t="s">
        <v>72</v>
      </c>
      <c r="L3" s="69"/>
      <c r="M3" s="111"/>
      <c r="N3" s="111">
        <v>1</v>
      </c>
    </row>
    <row r="4" spans="2:14" x14ac:dyDescent="0.25">
      <c r="B4" s="47">
        <v>45383</v>
      </c>
      <c r="C4" s="49">
        <v>43</v>
      </c>
      <c r="D4" s="49">
        <v>40</v>
      </c>
      <c r="E4" s="49">
        <v>20.934000000000001</v>
      </c>
      <c r="F4" s="145"/>
      <c r="G4" s="160"/>
      <c r="H4" s="75">
        <v>42</v>
      </c>
      <c r="I4" s="75"/>
      <c r="J4" s="76"/>
      <c r="K4" s="73"/>
      <c r="L4" s="125"/>
    </row>
    <row r="5" spans="2:14" x14ac:dyDescent="0.25">
      <c r="B5" s="47">
        <f>+B4+1</f>
        <v>45384</v>
      </c>
      <c r="C5" s="49">
        <v>43</v>
      </c>
      <c r="D5" s="49">
        <v>1</v>
      </c>
      <c r="E5" s="49">
        <v>2.242</v>
      </c>
      <c r="F5" s="145"/>
      <c r="G5" s="160"/>
      <c r="H5" s="75"/>
      <c r="I5" s="75"/>
      <c r="J5" s="76"/>
      <c r="K5" s="73"/>
      <c r="L5" s="125"/>
    </row>
    <row r="6" spans="2:14" x14ac:dyDescent="0.25">
      <c r="B6" s="47">
        <f t="shared" ref="B6:B33" si="0">+B5+1</f>
        <v>45385</v>
      </c>
      <c r="C6" s="49">
        <v>0</v>
      </c>
      <c r="D6" s="49">
        <v>3</v>
      </c>
      <c r="E6" s="49">
        <v>3.17</v>
      </c>
      <c r="F6" s="145"/>
      <c r="G6" s="160"/>
      <c r="H6" s="75"/>
      <c r="I6" s="75">
        <v>2.1749999999999998</v>
      </c>
      <c r="J6" s="76"/>
      <c r="K6" s="73"/>
      <c r="L6" s="125"/>
    </row>
    <row r="7" spans="2:14" x14ac:dyDescent="0.25">
      <c r="B7" s="47">
        <f t="shared" si="0"/>
        <v>45386</v>
      </c>
      <c r="C7" s="49">
        <v>0</v>
      </c>
      <c r="D7" s="49">
        <v>12</v>
      </c>
      <c r="E7" s="49">
        <v>12.789</v>
      </c>
      <c r="F7" s="145"/>
      <c r="G7" s="160"/>
      <c r="H7" s="75"/>
      <c r="I7" s="75">
        <v>11.715</v>
      </c>
      <c r="J7" s="76"/>
      <c r="K7" s="73"/>
      <c r="L7" s="125"/>
    </row>
    <row r="8" spans="2:14" x14ac:dyDescent="0.25">
      <c r="B8" s="47">
        <f t="shared" si="0"/>
        <v>45387</v>
      </c>
      <c r="C8" s="49">
        <v>0</v>
      </c>
      <c r="D8" s="49">
        <v>2</v>
      </c>
      <c r="E8" s="49">
        <v>2.5190000000000001</v>
      </c>
      <c r="F8" s="145"/>
      <c r="G8" s="160"/>
      <c r="H8" s="75"/>
      <c r="I8" s="75">
        <v>1.52</v>
      </c>
      <c r="J8" s="76"/>
      <c r="K8" s="73"/>
      <c r="L8" s="125"/>
    </row>
    <row r="9" spans="2:14" x14ac:dyDescent="0.25">
      <c r="B9" s="47">
        <f t="shared" si="0"/>
        <v>45388</v>
      </c>
      <c r="C9" s="49">
        <v>0</v>
      </c>
      <c r="D9" s="49">
        <v>15</v>
      </c>
      <c r="E9" s="49">
        <v>15.65</v>
      </c>
      <c r="F9" s="145"/>
      <c r="G9" s="160"/>
      <c r="H9" s="75"/>
      <c r="I9" s="75">
        <v>14.65</v>
      </c>
      <c r="J9" s="76"/>
      <c r="K9" s="73"/>
      <c r="L9" s="125"/>
    </row>
    <row r="10" spans="2:14" x14ac:dyDescent="0.25">
      <c r="B10" s="47">
        <f t="shared" si="0"/>
        <v>45389</v>
      </c>
      <c r="C10" s="49">
        <v>0</v>
      </c>
      <c r="D10" s="49">
        <v>0</v>
      </c>
      <c r="E10" s="49">
        <v>0</v>
      </c>
      <c r="F10" s="145"/>
      <c r="G10" s="160"/>
      <c r="H10" s="75"/>
      <c r="I10" s="75"/>
      <c r="J10" s="76"/>
      <c r="K10" s="73"/>
      <c r="L10" s="125"/>
    </row>
    <row r="11" spans="2:14" x14ac:dyDescent="0.25">
      <c r="B11" s="47">
        <f t="shared" si="0"/>
        <v>45390</v>
      </c>
      <c r="C11" s="49">
        <v>0</v>
      </c>
      <c r="D11" s="49">
        <v>1</v>
      </c>
      <c r="E11" s="49">
        <v>2.0179999999999998</v>
      </c>
      <c r="F11" s="145"/>
      <c r="G11" s="160"/>
      <c r="H11" s="75"/>
      <c r="I11" s="75">
        <v>0.54</v>
      </c>
      <c r="J11" s="76"/>
      <c r="K11" s="73"/>
      <c r="L11" s="125"/>
    </row>
    <row r="12" spans="2:14" x14ac:dyDescent="0.25">
      <c r="B12" s="47">
        <f t="shared" si="0"/>
        <v>45391</v>
      </c>
      <c r="C12" s="49">
        <v>0</v>
      </c>
      <c r="D12" s="49">
        <v>2</v>
      </c>
      <c r="E12" s="49">
        <v>2.69</v>
      </c>
      <c r="F12" s="145"/>
      <c r="G12" s="160"/>
      <c r="H12" s="75"/>
      <c r="I12" s="75">
        <v>1.615</v>
      </c>
      <c r="J12" s="76"/>
      <c r="K12" s="73"/>
      <c r="L12" s="125"/>
    </row>
    <row r="13" spans="2:14" x14ac:dyDescent="0.25">
      <c r="B13" s="47">
        <f t="shared" si="0"/>
        <v>45392</v>
      </c>
      <c r="C13" s="49">
        <v>0</v>
      </c>
      <c r="D13" s="49">
        <v>4</v>
      </c>
      <c r="E13" s="49">
        <v>4.9210000000000003</v>
      </c>
      <c r="F13" s="145"/>
      <c r="G13" s="160"/>
      <c r="H13" s="75"/>
      <c r="I13" s="75">
        <v>3.9249999999999998</v>
      </c>
      <c r="J13" s="76"/>
      <c r="K13" s="73"/>
      <c r="L13" s="125"/>
    </row>
    <row r="14" spans="2:14" x14ac:dyDescent="0.25">
      <c r="B14" s="47">
        <f t="shared" si="0"/>
        <v>45393</v>
      </c>
      <c r="C14" s="49">
        <v>0</v>
      </c>
      <c r="D14" s="49">
        <v>3</v>
      </c>
      <c r="E14" s="49">
        <v>8.07</v>
      </c>
      <c r="F14" s="145"/>
      <c r="G14" s="160"/>
      <c r="H14" s="75"/>
      <c r="I14" s="75">
        <v>2.1</v>
      </c>
      <c r="J14" s="76"/>
      <c r="K14" s="73"/>
      <c r="L14" s="125"/>
    </row>
    <row r="15" spans="2:14" x14ac:dyDescent="0.25">
      <c r="B15" s="47">
        <f t="shared" si="0"/>
        <v>45394</v>
      </c>
      <c r="C15" s="49">
        <v>54</v>
      </c>
      <c r="D15" s="49">
        <v>50</v>
      </c>
      <c r="E15" s="49">
        <v>47.930999999999997</v>
      </c>
      <c r="F15" s="145"/>
      <c r="G15" s="160"/>
      <c r="H15" s="75">
        <v>53</v>
      </c>
      <c r="I15" s="75"/>
      <c r="J15" s="76"/>
      <c r="K15" s="73"/>
      <c r="L15" s="125"/>
    </row>
    <row r="16" spans="2:14" x14ac:dyDescent="0.25">
      <c r="B16" s="47">
        <f t="shared" si="0"/>
        <v>45395</v>
      </c>
      <c r="C16" s="49">
        <v>0</v>
      </c>
      <c r="D16" s="49">
        <v>3</v>
      </c>
      <c r="E16" s="49">
        <v>3.992</v>
      </c>
      <c r="F16" s="145"/>
      <c r="G16" s="160"/>
      <c r="H16" s="75"/>
      <c r="I16" s="75">
        <v>2.9940000000000002</v>
      </c>
      <c r="J16" s="76"/>
      <c r="K16" s="73"/>
      <c r="L16" s="125"/>
    </row>
    <row r="17" spans="2:13" x14ac:dyDescent="0.25">
      <c r="B17" s="47">
        <f t="shared" si="0"/>
        <v>45396</v>
      </c>
      <c r="C17" s="49">
        <v>5.0999999999999996</v>
      </c>
      <c r="D17" s="49">
        <v>5</v>
      </c>
      <c r="E17" s="49">
        <v>5.1559999999999997</v>
      </c>
      <c r="F17" s="145"/>
      <c r="G17" s="160"/>
      <c r="H17" s="75"/>
      <c r="I17" s="75">
        <v>4.0999999999999996</v>
      </c>
      <c r="J17" s="76"/>
      <c r="K17" s="73"/>
      <c r="L17" s="125"/>
      <c r="M17" s="1" t="s">
        <v>74</v>
      </c>
    </row>
    <row r="18" spans="2:13" x14ac:dyDescent="0.25">
      <c r="B18" s="47">
        <f t="shared" si="0"/>
        <v>45397</v>
      </c>
      <c r="C18" s="49">
        <v>54</v>
      </c>
      <c r="D18" s="49">
        <v>50</v>
      </c>
      <c r="E18" s="49">
        <v>53.258000000000003</v>
      </c>
      <c r="F18" s="145"/>
      <c r="G18" s="160"/>
      <c r="H18" s="75">
        <v>53</v>
      </c>
      <c r="I18" s="75"/>
      <c r="J18" s="76"/>
      <c r="K18" s="73"/>
      <c r="L18" s="125"/>
    </row>
    <row r="19" spans="2:13" x14ac:dyDescent="0.25">
      <c r="B19" s="47">
        <f t="shared" si="0"/>
        <v>45398</v>
      </c>
      <c r="C19" s="49"/>
      <c r="D19" s="49"/>
      <c r="E19" s="49"/>
      <c r="F19" s="145"/>
      <c r="G19" s="160"/>
      <c r="H19" s="75"/>
      <c r="I19" s="75"/>
      <c r="J19" s="76"/>
      <c r="K19" s="73"/>
      <c r="L19" s="125"/>
    </row>
    <row r="20" spans="2:13" x14ac:dyDescent="0.25">
      <c r="B20" s="47">
        <f t="shared" si="0"/>
        <v>45399</v>
      </c>
      <c r="C20" s="49"/>
      <c r="D20" s="49"/>
      <c r="E20" s="49"/>
      <c r="F20" s="145"/>
      <c r="G20" s="160"/>
      <c r="H20" s="75"/>
      <c r="I20" s="75"/>
      <c r="J20" s="76"/>
      <c r="K20" s="73"/>
      <c r="L20" s="125"/>
    </row>
    <row r="21" spans="2:13" x14ac:dyDescent="0.25">
      <c r="B21" s="47">
        <f t="shared" si="0"/>
        <v>45400</v>
      </c>
      <c r="C21" s="49"/>
      <c r="D21" s="49"/>
      <c r="E21" s="49"/>
      <c r="F21" s="145"/>
      <c r="G21" s="160"/>
      <c r="H21" s="75"/>
      <c r="I21" s="75"/>
      <c r="J21" s="76"/>
      <c r="K21" s="73"/>
      <c r="L21" s="125"/>
    </row>
    <row r="22" spans="2:13" x14ac:dyDescent="0.25">
      <c r="B22" s="47">
        <f t="shared" si="0"/>
        <v>45401</v>
      </c>
      <c r="C22" s="49"/>
      <c r="D22" s="49"/>
      <c r="E22" s="49"/>
      <c r="F22" s="145"/>
      <c r="G22" s="160"/>
      <c r="H22" s="75"/>
      <c r="I22" s="75"/>
      <c r="J22" s="76"/>
      <c r="K22" s="73"/>
      <c r="L22" s="125"/>
    </row>
    <row r="23" spans="2:13" x14ac:dyDescent="0.25">
      <c r="B23" s="47">
        <f t="shared" si="0"/>
        <v>45402</v>
      </c>
      <c r="C23" s="49"/>
      <c r="D23" s="49"/>
      <c r="E23" s="49"/>
      <c r="F23" s="145"/>
      <c r="G23" s="160"/>
      <c r="H23" s="75"/>
      <c r="I23" s="75"/>
      <c r="J23" s="76"/>
      <c r="K23" s="73"/>
      <c r="L23" s="125"/>
    </row>
    <row r="24" spans="2:13" x14ac:dyDescent="0.25">
      <c r="B24" s="47">
        <f t="shared" si="0"/>
        <v>45403</v>
      </c>
      <c r="C24" s="49"/>
      <c r="D24" s="49"/>
      <c r="E24" s="49"/>
      <c r="F24" s="145"/>
      <c r="G24" s="160"/>
      <c r="H24" s="75"/>
      <c r="I24" s="75"/>
      <c r="J24" s="76"/>
      <c r="K24" s="73"/>
      <c r="L24" s="125"/>
    </row>
    <row r="25" spans="2:13" x14ac:dyDescent="0.25">
      <c r="B25" s="47">
        <f t="shared" si="0"/>
        <v>45404</v>
      </c>
      <c r="C25" s="49"/>
      <c r="D25" s="49"/>
      <c r="E25" s="49"/>
      <c r="F25" s="145"/>
      <c r="G25" s="160"/>
      <c r="H25" s="75"/>
      <c r="I25" s="75"/>
      <c r="J25" s="76"/>
      <c r="K25" s="73"/>
      <c r="L25" s="125"/>
    </row>
    <row r="26" spans="2:13" x14ac:dyDescent="0.25">
      <c r="B26" s="47">
        <f t="shared" si="0"/>
        <v>45405</v>
      </c>
      <c r="C26" s="49"/>
      <c r="D26" s="49"/>
      <c r="E26" s="49"/>
      <c r="F26" s="145"/>
      <c r="G26" s="160"/>
      <c r="H26" s="75"/>
      <c r="I26" s="75"/>
      <c r="J26" s="76"/>
      <c r="K26" s="73"/>
      <c r="L26" s="125"/>
    </row>
    <row r="27" spans="2:13" x14ac:dyDescent="0.25">
      <c r="B27" s="47">
        <f t="shared" si="0"/>
        <v>45406</v>
      </c>
      <c r="C27" s="49"/>
      <c r="D27" s="49"/>
      <c r="E27" s="49"/>
      <c r="F27" s="145"/>
      <c r="G27" s="160"/>
      <c r="H27" s="75"/>
      <c r="I27" s="75"/>
      <c r="J27" s="76"/>
      <c r="K27" s="73"/>
      <c r="L27" s="125"/>
    </row>
    <row r="28" spans="2:13" x14ac:dyDescent="0.25">
      <c r="B28" s="47">
        <f t="shared" si="0"/>
        <v>45407</v>
      </c>
      <c r="C28" s="49"/>
      <c r="D28" s="49"/>
      <c r="E28" s="49"/>
      <c r="F28" s="145"/>
      <c r="G28" s="160"/>
      <c r="H28" s="75"/>
      <c r="I28" s="75"/>
      <c r="J28" s="76"/>
      <c r="K28" s="73"/>
      <c r="L28" s="125"/>
    </row>
    <row r="29" spans="2:13" x14ac:dyDescent="0.25">
      <c r="B29" s="47">
        <f t="shared" si="0"/>
        <v>45408</v>
      </c>
      <c r="C29" s="49"/>
      <c r="D29" s="49"/>
      <c r="E29" s="49"/>
      <c r="F29" s="145"/>
      <c r="G29" s="160"/>
      <c r="H29" s="75"/>
      <c r="I29" s="75"/>
      <c r="J29" s="76"/>
      <c r="K29" s="73"/>
      <c r="L29" s="125"/>
    </row>
    <row r="30" spans="2:13" x14ac:dyDescent="0.25">
      <c r="B30" s="47">
        <f t="shared" si="0"/>
        <v>45409</v>
      </c>
      <c r="C30" s="49"/>
      <c r="D30" s="49"/>
      <c r="E30" s="49"/>
      <c r="F30" s="145"/>
      <c r="G30" s="160"/>
      <c r="H30" s="75"/>
      <c r="I30" s="75"/>
      <c r="J30" s="76"/>
      <c r="K30" s="73"/>
      <c r="L30" s="125"/>
    </row>
    <row r="31" spans="2:13" x14ac:dyDescent="0.25">
      <c r="B31" s="47">
        <f t="shared" si="0"/>
        <v>45410</v>
      </c>
      <c r="C31" s="49"/>
      <c r="D31" s="49"/>
      <c r="E31" s="49"/>
      <c r="F31" s="145"/>
      <c r="G31" s="160"/>
      <c r="H31" s="75"/>
      <c r="I31" s="75"/>
      <c r="J31" s="76"/>
      <c r="K31" s="73"/>
      <c r="L31" s="125"/>
    </row>
    <row r="32" spans="2:13" x14ac:dyDescent="0.25">
      <c r="B32" s="47">
        <f t="shared" si="0"/>
        <v>45411</v>
      </c>
      <c r="C32" s="49"/>
      <c r="D32" s="49"/>
      <c r="E32" s="49"/>
      <c r="F32" s="145"/>
      <c r="G32" s="160"/>
      <c r="H32" s="75"/>
      <c r="I32" s="75"/>
      <c r="J32" s="76"/>
      <c r="K32" s="73"/>
      <c r="L32" s="125"/>
    </row>
    <row r="33" spans="2:12" x14ac:dyDescent="0.25">
      <c r="B33" s="47">
        <f t="shared" si="0"/>
        <v>45412</v>
      </c>
      <c r="C33" s="49"/>
      <c r="D33" s="49"/>
      <c r="E33" s="49"/>
      <c r="F33" s="145"/>
      <c r="G33" s="160"/>
      <c r="H33" s="75"/>
      <c r="I33" s="75"/>
      <c r="J33" s="76"/>
      <c r="K33" s="73"/>
      <c r="L33" s="125"/>
    </row>
    <row r="34" spans="2:12" x14ac:dyDescent="0.25">
      <c r="E34" s="16">
        <f>SUM(E4:E33)</f>
        <v>185.34000000000003</v>
      </c>
      <c r="F34" s="16"/>
      <c r="G34" s="18">
        <f>SUM(G4:G33)</f>
        <v>0</v>
      </c>
      <c r="H34" s="18">
        <f>SUM(H4:H33)</f>
        <v>148</v>
      </c>
      <c r="I34" s="18">
        <f>SUM(I4:I33)</f>
        <v>45.334000000000003</v>
      </c>
      <c r="J34" s="18">
        <f>SUM(J4:J33)</f>
        <v>0</v>
      </c>
      <c r="L34" s="186">
        <f>SUM(L4:L33)</f>
        <v>0</v>
      </c>
    </row>
  </sheetData>
  <mergeCells count="3">
    <mergeCell ref="M1:N1"/>
    <mergeCell ref="B2:G2"/>
    <mergeCell ref="I2:K2"/>
  </mergeCell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0000"/>
  </sheetPr>
  <dimension ref="B1:N34"/>
  <sheetViews>
    <sheetView zoomScale="70" zoomScaleNormal="70" workbookViewId="0">
      <selection activeCell="D41" sqref="D41:E41"/>
    </sheetView>
  </sheetViews>
  <sheetFormatPr defaultColWidth="8.85546875" defaultRowHeight="15" x14ac:dyDescent="0.25"/>
  <cols>
    <col min="1" max="1" width="8.85546875" style="1"/>
    <col min="2" max="2" width="12" style="1" bestFit="1" customWidth="1"/>
    <col min="3" max="3" width="9.7109375" style="1" bestFit="1" customWidth="1"/>
    <col min="4" max="4" width="12.140625" style="1" bestFit="1" customWidth="1"/>
    <col min="5" max="5" width="10.140625" style="1" bestFit="1" customWidth="1"/>
    <col min="6" max="6" width="5.140625" style="1" bestFit="1" customWidth="1"/>
    <col min="7" max="7" width="10.7109375" style="1" bestFit="1" customWidth="1"/>
    <col min="8" max="9" width="15.42578125" style="1" bestFit="1" customWidth="1"/>
    <col min="10" max="10" width="13" style="1" customWidth="1"/>
    <col min="11" max="11" width="17.5703125" style="69" customWidth="1"/>
    <col min="12" max="12" width="13.28515625" style="1" customWidth="1"/>
    <col min="13" max="13" width="17.42578125" style="1" customWidth="1"/>
    <col min="14" max="14" width="19.140625" style="1" bestFit="1" customWidth="1"/>
    <col min="15" max="15" width="12.5703125" style="1" bestFit="1" customWidth="1"/>
    <col min="16" max="16384" width="8.85546875" style="1"/>
  </cols>
  <sheetData>
    <row r="1" spans="2:14" ht="15.75" thickBot="1" x14ac:dyDescent="0.3">
      <c r="H1" s="81"/>
      <c r="I1" s="81"/>
      <c r="J1" s="78"/>
      <c r="K1" s="78"/>
      <c r="M1" s="680" t="s">
        <v>29</v>
      </c>
      <c r="N1" s="680"/>
    </row>
    <row r="2" spans="2:14" ht="15.75" thickBot="1" x14ac:dyDescent="0.3">
      <c r="B2" s="688" t="s">
        <v>172</v>
      </c>
      <c r="C2" s="689"/>
      <c r="D2" s="689"/>
      <c r="E2" s="689"/>
      <c r="F2" s="689"/>
      <c r="G2" s="690"/>
      <c r="H2" s="252"/>
      <c r="I2" s="691" t="s">
        <v>71</v>
      </c>
      <c r="J2" s="679"/>
      <c r="K2" s="692"/>
      <c r="M2" s="2" t="s">
        <v>100</v>
      </c>
      <c r="N2" s="2" t="s">
        <v>81</v>
      </c>
    </row>
    <row r="3" spans="2:14" ht="43.5" x14ac:dyDescent="0.25">
      <c r="B3" s="26" t="s">
        <v>8</v>
      </c>
      <c r="C3" s="46" t="s">
        <v>22</v>
      </c>
      <c r="D3" s="52" t="s">
        <v>27</v>
      </c>
      <c r="E3" s="52" t="s">
        <v>6</v>
      </c>
      <c r="F3" s="52" t="s">
        <v>21</v>
      </c>
      <c r="G3" s="35" t="s">
        <v>28</v>
      </c>
      <c r="H3" s="121" t="s">
        <v>137</v>
      </c>
      <c r="I3" s="121" t="s">
        <v>138</v>
      </c>
      <c r="J3" s="81" t="s">
        <v>105</v>
      </c>
      <c r="K3" s="35" t="s">
        <v>72</v>
      </c>
      <c r="L3" s="69"/>
      <c r="M3" s="111"/>
      <c r="N3" s="122">
        <v>0</v>
      </c>
    </row>
    <row r="4" spans="2:14" x14ac:dyDescent="0.25">
      <c r="B4" s="47">
        <v>45383</v>
      </c>
      <c r="C4" s="49"/>
      <c r="D4" s="49"/>
      <c r="E4" s="49"/>
      <c r="F4" s="145"/>
      <c r="G4" s="48"/>
      <c r="H4" s="57"/>
      <c r="I4" s="57"/>
      <c r="J4" s="76"/>
      <c r="K4" s="73"/>
      <c r="L4" s="125"/>
    </row>
    <row r="5" spans="2:14" x14ac:dyDescent="0.25">
      <c r="B5" s="47">
        <f>+B4+1</f>
        <v>45384</v>
      </c>
      <c r="C5" s="49"/>
      <c r="D5" s="49"/>
      <c r="E5" s="49"/>
      <c r="F5" s="145"/>
      <c r="G5" s="48"/>
      <c r="H5" s="57"/>
      <c r="I5" s="57"/>
      <c r="J5" s="76"/>
      <c r="K5" s="73"/>
      <c r="L5" s="125"/>
    </row>
    <row r="6" spans="2:14" x14ac:dyDescent="0.25">
      <c r="B6" s="47">
        <f t="shared" ref="B6:B33" si="0">+B5+1</f>
        <v>45385</v>
      </c>
      <c r="C6" s="49"/>
      <c r="D6" s="49"/>
      <c r="E6" s="49"/>
      <c r="F6" s="145"/>
      <c r="G6" s="48"/>
      <c r="H6" s="57"/>
      <c r="I6" s="57"/>
      <c r="J6" s="76"/>
      <c r="K6" s="73"/>
      <c r="L6" s="125"/>
    </row>
    <row r="7" spans="2:14" x14ac:dyDescent="0.25">
      <c r="B7" s="47">
        <f t="shared" si="0"/>
        <v>45386</v>
      </c>
      <c r="C7" s="49"/>
      <c r="D7" s="49"/>
      <c r="E7" s="49"/>
      <c r="F7" s="145"/>
      <c r="G7" s="48"/>
      <c r="H7" s="57"/>
      <c r="I7" s="57"/>
      <c r="J7" s="76"/>
      <c r="K7" s="73"/>
      <c r="L7" s="125"/>
    </row>
    <row r="8" spans="2:14" x14ac:dyDescent="0.25">
      <c r="B8" s="47">
        <f t="shared" si="0"/>
        <v>45387</v>
      </c>
      <c r="C8" s="49"/>
      <c r="D8" s="49"/>
      <c r="E8" s="49"/>
      <c r="F8" s="145"/>
      <c r="G8" s="48"/>
      <c r="H8" s="57"/>
      <c r="I8" s="57"/>
      <c r="J8" s="76"/>
      <c r="K8" s="73"/>
      <c r="L8" s="125"/>
    </row>
    <row r="9" spans="2:14" x14ac:dyDescent="0.25">
      <c r="B9" s="47">
        <f t="shared" si="0"/>
        <v>45388</v>
      </c>
      <c r="C9" s="49"/>
      <c r="D9" s="49"/>
      <c r="E9" s="49"/>
      <c r="F9" s="145"/>
      <c r="G9" s="48"/>
      <c r="H9" s="57"/>
      <c r="I9" s="57"/>
      <c r="J9" s="76"/>
      <c r="K9" s="73"/>
      <c r="L9" s="125"/>
    </row>
    <row r="10" spans="2:14" x14ac:dyDescent="0.25">
      <c r="B10" s="47">
        <f t="shared" si="0"/>
        <v>45389</v>
      </c>
      <c r="C10" s="49"/>
      <c r="D10" s="49"/>
      <c r="E10" s="49"/>
      <c r="F10" s="145"/>
      <c r="G10" s="48"/>
      <c r="H10" s="57"/>
      <c r="I10" s="57"/>
      <c r="J10" s="76"/>
      <c r="K10" s="73"/>
      <c r="L10" s="125"/>
    </row>
    <row r="11" spans="2:14" x14ac:dyDescent="0.25">
      <c r="B11" s="47">
        <f t="shared" si="0"/>
        <v>45390</v>
      </c>
      <c r="C11" s="49"/>
      <c r="D11" s="49"/>
      <c r="E11" s="49"/>
      <c r="F11" s="145"/>
      <c r="G11" s="48"/>
      <c r="H11" s="57"/>
      <c r="I11" s="57"/>
      <c r="J11" s="76"/>
      <c r="K11" s="73"/>
      <c r="L11" s="125"/>
    </row>
    <row r="12" spans="2:14" x14ac:dyDescent="0.25">
      <c r="B12" s="47">
        <f t="shared" si="0"/>
        <v>45391</v>
      </c>
      <c r="C12" s="49"/>
      <c r="D12" s="49"/>
      <c r="E12" s="49"/>
      <c r="F12" s="145"/>
      <c r="G12" s="48"/>
      <c r="H12" s="57"/>
      <c r="I12" s="57"/>
      <c r="J12" s="76"/>
      <c r="K12" s="73"/>
      <c r="L12" s="125"/>
    </row>
    <row r="13" spans="2:14" x14ac:dyDescent="0.25">
      <c r="B13" s="47">
        <f t="shared" si="0"/>
        <v>45392</v>
      </c>
      <c r="C13" s="49"/>
      <c r="D13" s="49"/>
      <c r="E13" s="49"/>
      <c r="F13" s="145"/>
      <c r="G13" s="48"/>
      <c r="H13" s="57"/>
      <c r="I13" s="57"/>
      <c r="J13" s="76"/>
      <c r="K13" s="73"/>
      <c r="L13" s="125"/>
    </row>
    <row r="14" spans="2:14" x14ac:dyDescent="0.25">
      <c r="B14" s="47">
        <f t="shared" si="0"/>
        <v>45393</v>
      </c>
      <c r="C14" s="49"/>
      <c r="D14" s="49"/>
      <c r="E14" s="49"/>
      <c r="F14" s="145"/>
      <c r="G14" s="48"/>
      <c r="H14" s="57"/>
      <c r="I14" s="57"/>
      <c r="J14" s="76"/>
      <c r="K14" s="73"/>
      <c r="L14" s="125"/>
    </row>
    <row r="15" spans="2:14" x14ac:dyDescent="0.25">
      <c r="B15" s="47">
        <f t="shared" si="0"/>
        <v>45394</v>
      </c>
      <c r="C15" s="49"/>
      <c r="D15" s="49"/>
      <c r="E15" s="49"/>
      <c r="F15" s="145"/>
      <c r="G15" s="48"/>
      <c r="H15" s="57"/>
      <c r="I15" s="57"/>
      <c r="J15" s="76"/>
      <c r="K15" s="73"/>
      <c r="L15" s="125"/>
    </row>
    <row r="16" spans="2:14" x14ac:dyDescent="0.25">
      <c r="B16" s="47">
        <f t="shared" si="0"/>
        <v>45395</v>
      </c>
      <c r="C16" s="49"/>
      <c r="D16" s="49"/>
      <c r="E16" s="49"/>
      <c r="F16" s="145"/>
      <c r="G16" s="48"/>
      <c r="H16" s="57"/>
      <c r="I16" s="57"/>
      <c r="J16" s="76"/>
      <c r="K16" s="73"/>
      <c r="L16" s="125"/>
    </row>
    <row r="17" spans="2:12" x14ac:dyDescent="0.25">
      <c r="B17" s="47">
        <f t="shared" si="0"/>
        <v>45396</v>
      </c>
      <c r="C17" s="49"/>
      <c r="D17" s="49"/>
      <c r="E17" s="49"/>
      <c r="F17" s="145"/>
      <c r="G17" s="48"/>
      <c r="H17" s="57"/>
      <c r="I17" s="57"/>
      <c r="J17" s="76"/>
      <c r="K17" s="73"/>
      <c r="L17" s="125"/>
    </row>
    <row r="18" spans="2:12" x14ac:dyDescent="0.25">
      <c r="B18" s="47">
        <f t="shared" si="0"/>
        <v>45397</v>
      </c>
      <c r="C18" s="49"/>
      <c r="D18" s="49"/>
      <c r="E18" s="49"/>
      <c r="F18" s="145"/>
      <c r="G18" s="48"/>
      <c r="H18" s="57"/>
      <c r="I18" s="57"/>
      <c r="J18" s="76"/>
      <c r="K18" s="73"/>
      <c r="L18" s="125"/>
    </row>
    <row r="19" spans="2:12" x14ac:dyDescent="0.25">
      <c r="B19" s="47">
        <f t="shared" si="0"/>
        <v>45398</v>
      </c>
      <c r="C19" s="49"/>
      <c r="D19" s="49"/>
      <c r="E19" s="49"/>
      <c r="F19" s="145"/>
      <c r="G19" s="48"/>
      <c r="H19" s="57"/>
      <c r="I19" s="57"/>
      <c r="J19" s="76"/>
      <c r="K19" s="73"/>
      <c r="L19" s="125"/>
    </row>
    <row r="20" spans="2:12" x14ac:dyDescent="0.25">
      <c r="B20" s="47">
        <f t="shared" si="0"/>
        <v>45399</v>
      </c>
      <c r="C20" s="49"/>
      <c r="D20" s="49"/>
      <c r="E20" s="49"/>
      <c r="F20" s="145"/>
      <c r="G20" s="48"/>
      <c r="H20" s="57"/>
      <c r="I20" s="57"/>
      <c r="J20" s="76"/>
      <c r="K20" s="73"/>
      <c r="L20" s="125"/>
    </row>
    <row r="21" spans="2:12" x14ac:dyDescent="0.25">
      <c r="B21" s="47">
        <f t="shared" si="0"/>
        <v>45400</v>
      </c>
      <c r="C21" s="49"/>
      <c r="D21" s="49"/>
      <c r="E21" s="49"/>
      <c r="F21" s="145"/>
      <c r="G21" s="48"/>
      <c r="H21" s="57"/>
      <c r="I21" s="57"/>
      <c r="J21" s="76"/>
      <c r="K21" s="73"/>
      <c r="L21" s="125"/>
    </row>
    <row r="22" spans="2:12" x14ac:dyDescent="0.25">
      <c r="B22" s="47">
        <f t="shared" si="0"/>
        <v>45401</v>
      </c>
      <c r="C22" s="49"/>
      <c r="D22" s="49"/>
      <c r="E22" s="49"/>
      <c r="F22" s="145"/>
      <c r="G22" s="48"/>
      <c r="H22" s="57"/>
      <c r="I22" s="57"/>
      <c r="J22" s="76"/>
      <c r="K22" s="73"/>
      <c r="L22" s="125"/>
    </row>
    <row r="23" spans="2:12" x14ac:dyDescent="0.25">
      <c r="B23" s="47">
        <f t="shared" si="0"/>
        <v>45402</v>
      </c>
      <c r="C23" s="49"/>
      <c r="D23" s="49"/>
      <c r="E23" s="49"/>
      <c r="F23" s="145"/>
      <c r="G23" s="48"/>
      <c r="H23" s="57"/>
      <c r="I23" s="57"/>
      <c r="J23" s="76"/>
      <c r="K23" s="73"/>
      <c r="L23" s="125"/>
    </row>
    <row r="24" spans="2:12" x14ac:dyDescent="0.25">
      <c r="B24" s="47">
        <f t="shared" si="0"/>
        <v>45403</v>
      </c>
      <c r="C24" s="49"/>
      <c r="D24" s="49"/>
      <c r="E24" s="49"/>
      <c r="F24" s="145"/>
      <c r="G24" s="48"/>
      <c r="H24" s="57"/>
      <c r="I24" s="57"/>
      <c r="J24" s="76"/>
      <c r="K24" s="73"/>
      <c r="L24" s="125"/>
    </row>
    <row r="25" spans="2:12" x14ac:dyDescent="0.25">
      <c r="B25" s="47">
        <f t="shared" si="0"/>
        <v>45404</v>
      </c>
      <c r="C25" s="49"/>
      <c r="D25" s="49"/>
      <c r="E25" s="49"/>
      <c r="F25" s="145"/>
      <c r="G25" s="48"/>
      <c r="H25" s="57"/>
      <c r="I25" s="57"/>
      <c r="J25" s="76"/>
      <c r="K25" s="73"/>
      <c r="L25" s="125"/>
    </row>
    <row r="26" spans="2:12" x14ac:dyDescent="0.25">
      <c r="B26" s="47">
        <f t="shared" si="0"/>
        <v>45405</v>
      </c>
      <c r="C26" s="49"/>
      <c r="D26" s="49"/>
      <c r="E26" s="49"/>
      <c r="F26" s="145"/>
      <c r="G26" s="48"/>
      <c r="H26" s="57"/>
      <c r="I26" s="57"/>
      <c r="J26" s="76"/>
      <c r="K26" s="73"/>
      <c r="L26" s="125"/>
    </row>
    <row r="27" spans="2:12" x14ac:dyDescent="0.25">
      <c r="B27" s="47">
        <f t="shared" si="0"/>
        <v>45406</v>
      </c>
      <c r="C27" s="49"/>
      <c r="D27" s="49"/>
      <c r="E27" s="49"/>
      <c r="F27" s="145"/>
      <c r="G27" s="48"/>
      <c r="H27" s="57"/>
      <c r="I27" s="57"/>
      <c r="J27" s="76"/>
      <c r="K27" s="73"/>
      <c r="L27" s="125"/>
    </row>
    <row r="28" spans="2:12" x14ac:dyDescent="0.25">
      <c r="B28" s="47">
        <f t="shared" si="0"/>
        <v>45407</v>
      </c>
      <c r="C28" s="49"/>
      <c r="D28" s="49"/>
      <c r="E28" s="49"/>
      <c r="F28" s="145"/>
      <c r="G28" s="48"/>
      <c r="H28" s="57"/>
      <c r="I28" s="57"/>
      <c r="J28" s="76"/>
      <c r="K28" s="73"/>
      <c r="L28" s="125"/>
    </row>
    <row r="29" spans="2:12" x14ac:dyDescent="0.25">
      <c r="B29" s="47">
        <f t="shared" si="0"/>
        <v>45408</v>
      </c>
      <c r="C29" s="49"/>
      <c r="D29" s="49"/>
      <c r="E29" s="49"/>
      <c r="F29" s="145"/>
      <c r="G29" s="48"/>
      <c r="H29" s="57"/>
      <c r="I29" s="57"/>
      <c r="J29" s="76"/>
      <c r="K29" s="73"/>
      <c r="L29" s="125"/>
    </row>
    <row r="30" spans="2:12" x14ac:dyDescent="0.25">
      <c r="B30" s="47">
        <f t="shared" si="0"/>
        <v>45409</v>
      </c>
      <c r="C30" s="49"/>
      <c r="D30" s="49"/>
      <c r="E30" s="49"/>
      <c r="F30" s="145"/>
      <c r="G30" s="48"/>
      <c r="H30" s="57"/>
      <c r="I30" s="57"/>
      <c r="J30" s="76"/>
      <c r="K30" s="73"/>
      <c r="L30" s="125"/>
    </row>
    <row r="31" spans="2:12" x14ac:dyDescent="0.25">
      <c r="B31" s="47">
        <f t="shared" si="0"/>
        <v>45410</v>
      </c>
      <c r="C31" s="49"/>
      <c r="D31" s="49"/>
      <c r="E31" s="49"/>
      <c r="F31" s="145"/>
      <c r="G31" s="48"/>
      <c r="H31" s="57"/>
      <c r="I31" s="57"/>
      <c r="J31" s="76"/>
      <c r="K31" s="73"/>
      <c r="L31" s="125"/>
    </row>
    <row r="32" spans="2:12" x14ac:dyDescent="0.25">
      <c r="B32" s="47">
        <f t="shared" si="0"/>
        <v>45411</v>
      </c>
      <c r="C32" s="49"/>
      <c r="D32" s="49"/>
      <c r="E32" s="49"/>
      <c r="F32" s="145"/>
      <c r="G32" s="48"/>
      <c r="H32" s="57"/>
      <c r="I32" s="57"/>
      <c r="J32" s="76"/>
      <c r="K32" s="73"/>
      <c r="L32" s="125"/>
    </row>
    <row r="33" spans="2:12" x14ac:dyDescent="0.25">
      <c r="B33" s="47">
        <f t="shared" si="0"/>
        <v>45412</v>
      </c>
      <c r="C33" s="49"/>
      <c r="D33" s="49"/>
      <c r="E33" s="49"/>
      <c r="F33" s="145"/>
      <c r="G33" s="48"/>
      <c r="H33" s="57"/>
      <c r="I33" s="57"/>
      <c r="J33" s="76"/>
      <c r="K33" s="73"/>
      <c r="L33" s="125"/>
    </row>
    <row r="34" spans="2:12" x14ac:dyDescent="0.25">
      <c r="E34" s="16">
        <f>SUM(E4:E33)</f>
        <v>0</v>
      </c>
      <c r="F34" s="16"/>
      <c r="G34" s="18">
        <f>SUM(G4:G33)</f>
        <v>0</v>
      </c>
      <c r="H34" s="18"/>
      <c r="I34" s="18">
        <f>SUM(I4:I33)</f>
        <v>0</v>
      </c>
      <c r="J34" s="18">
        <f>SUM(J4:J33)</f>
        <v>0</v>
      </c>
      <c r="L34" s="185">
        <f>SUM(L4:L33)</f>
        <v>0</v>
      </c>
    </row>
  </sheetData>
  <mergeCells count="3">
    <mergeCell ref="M1:N1"/>
    <mergeCell ref="B2:G2"/>
    <mergeCell ref="I2:K2"/>
  </mergeCell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FF0000"/>
  </sheetPr>
  <dimension ref="B1:J34"/>
  <sheetViews>
    <sheetView zoomScale="85" zoomScaleNormal="85" workbookViewId="0">
      <selection activeCell="G4" sqref="G4"/>
    </sheetView>
  </sheetViews>
  <sheetFormatPr defaultColWidth="8.85546875" defaultRowHeight="15" x14ac:dyDescent="0.25"/>
  <cols>
    <col min="1" max="1" width="8.85546875" style="1"/>
    <col min="2" max="2" width="12.42578125" style="1" bestFit="1" customWidth="1"/>
    <col min="3" max="3" width="12.140625" style="1" bestFit="1" customWidth="1"/>
    <col min="4" max="4" width="10.140625" style="1" bestFit="1" customWidth="1"/>
    <col min="5" max="5" width="10.7109375" style="1" bestFit="1" customWidth="1"/>
    <col min="6" max="6" width="12.5703125" style="1" bestFit="1" customWidth="1"/>
    <col min="7" max="7" width="12.42578125" style="1" bestFit="1" customWidth="1"/>
    <col min="8" max="8" width="12.140625" style="1" bestFit="1" customWidth="1"/>
    <col min="9" max="9" width="10.140625" style="1" bestFit="1" customWidth="1"/>
    <col min="10" max="10" width="10.7109375" style="1" bestFit="1" customWidth="1"/>
    <col min="11" max="11" width="9.5703125" style="1" bestFit="1" customWidth="1"/>
    <col min="12" max="12" width="14.7109375" style="1" bestFit="1" customWidth="1"/>
    <col min="13" max="13" width="19.28515625" style="1" bestFit="1" customWidth="1"/>
    <col min="14" max="14" width="11.28515625" style="1" bestFit="1" customWidth="1"/>
    <col min="15" max="16384" width="8.85546875" style="1"/>
  </cols>
  <sheetData>
    <row r="1" spans="2:10" ht="15.75" thickBot="1" x14ac:dyDescent="0.3"/>
    <row r="2" spans="2:10" x14ac:dyDescent="0.25">
      <c r="B2" s="688" t="s">
        <v>148</v>
      </c>
      <c r="C2" s="689"/>
      <c r="D2" s="689"/>
      <c r="E2" s="690"/>
      <c r="G2" s="688" t="s">
        <v>149</v>
      </c>
      <c r="H2" s="689"/>
      <c r="I2" s="689"/>
      <c r="J2" s="690"/>
    </row>
    <row r="3" spans="2:10" x14ac:dyDescent="0.25">
      <c r="B3" s="26" t="s">
        <v>8</v>
      </c>
      <c r="C3" s="52" t="s">
        <v>27</v>
      </c>
      <c r="D3" s="52" t="s">
        <v>6</v>
      </c>
      <c r="E3" s="35" t="s">
        <v>144</v>
      </c>
      <c r="G3" s="26" t="s">
        <v>8</v>
      </c>
      <c r="H3" s="52" t="s">
        <v>27</v>
      </c>
      <c r="I3" s="52" t="s">
        <v>6</v>
      </c>
      <c r="J3" s="35" t="s">
        <v>144</v>
      </c>
    </row>
    <row r="4" spans="2:10" x14ac:dyDescent="0.25">
      <c r="B4" s="47">
        <v>45383</v>
      </c>
      <c r="C4" s="49"/>
      <c r="D4" s="49"/>
      <c r="E4" s="48"/>
      <c r="F4" s="3"/>
      <c r="G4" s="47">
        <v>45383</v>
      </c>
      <c r="H4" s="49"/>
      <c r="I4" s="49"/>
      <c r="J4" s="48"/>
    </row>
    <row r="5" spans="2:10" x14ac:dyDescent="0.25">
      <c r="B5" s="47">
        <f>+B4+1</f>
        <v>45384</v>
      </c>
      <c r="C5" s="49"/>
      <c r="D5" s="49"/>
      <c r="E5" s="48"/>
      <c r="F5" s="3"/>
      <c r="G5" s="47">
        <f>+G4+1</f>
        <v>45384</v>
      </c>
      <c r="H5" s="49"/>
      <c r="I5" s="49"/>
      <c r="J5" s="48"/>
    </row>
    <row r="6" spans="2:10" x14ac:dyDescent="0.25">
      <c r="B6" s="47">
        <f t="shared" ref="B6:B33" si="0">+B5+1</f>
        <v>45385</v>
      </c>
      <c r="C6" s="49"/>
      <c r="D6" s="49"/>
      <c r="E6" s="48"/>
      <c r="F6" s="3"/>
      <c r="G6" s="47">
        <f t="shared" ref="G6:G33" si="1">+G5+1</f>
        <v>45385</v>
      </c>
      <c r="H6" s="49"/>
      <c r="I6" s="49"/>
      <c r="J6" s="48"/>
    </row>
    <row r="7" spans="2:10" x14ac:dyDescent="0.25">
      <c r="B7" s="47">
        <f t="shared" si="0"/>
        <v>45386</v>
      </c>
      <c r="C7" s="49"/>
      <c r="D7" s="49"/>
      <c r="E7" s="48"/>
      <c r="F7" s="3"/>
      <c r="G7" s="47">
        <f t="shared" si="1"/>
        <v>45386</v>
      </c>
      <c r="H7" s="49"/>
      <c r="I7" s="49"/>
      <c r="J7" s="48"/>
    </row>
    <row r="8" spans="2:10" x14ac:dyDescent="0.25">
      <c r="B8" s="47">
        <f t="shared" si="0"/>
        <v>45387</v>
      </c>
      <c r="C8" s="49"/>
      <c r="D8" s="49"/>
      <c r="E8" s="48"/>
      <c r="F8" s="3"/>
      <c r="G8" s="47">
        <f t="shared" si="1"/>
        <v>45387</v>
      </c>
      <c r="H8" s="49"/>
      <c r="I8" s="49"/>
      <c r="J8" s="48"/>
    </row>
    <row r="9" spans="2:10" x14ac:dyDescent="0.25">
      <c r="B9" s="47">
        <f t="shared" si="0"/>
        <v>45388</v>
      </c>
      <c r="C9" s="49"/>
      <c r="D9" s="49"/>
      <c r="E9" s="48"/>
      <c r="F9" s="3"/>
      <c r="G9" s="47">
        <f t="shared" si="1"/>
        <v>45388</v>
      </c>
      <c r="H9" s="49"/>
      <c r="I9" s="49"/>
      <c r="J9" s="48"/>
    </row>
    <row r="10" spans="2:10" x14ac:dyDescent="0.25">
      <c r="B10" s="47">
        <f t="shared" si="0"/>
        <v>45389</v>
      </c>
      <c r="C10" s="49"/>
      <c r="D10" s="49"/>
      <c r="E10" s="48"/>
      <c r="F10" s="3"/>
      <c r="G10" s="47">
        <f t="shared" si="1"/>
        <v>45389</v>
      </c>
      <c r="H10" s="49"/>
      <c r="I10" s="49"/>
      <c r="J10" s="48"/>
    </row>
    <row r="11" spans="2:10" x14ac:dyDescent="0.25">
      <c r="B11" s="47">
        <f t="shared" si="0"/>
        <v>45390</v>
      </c>
      <c r="C11" s="49"/>
      <c r="D11" s="49"/>
      <c r="E11" s="48"/>
      <c r="F11" s="3"/>
      <c r="G11" s="47">
        <f t="shared" si="1"/>
        <v>45390</v>
      </c>
      <c r="H11" s="49"/>
      <c r="I11" s="49"/>
      <c r="J11" s="48"/>
    </row>
    <row r="12" spans="2:10" x14ac:dyDescent="0.25">
      <c r="B12" s="47">
        <f t="shared" si="0"/>
        <v>45391</v>
      </c>
      <c r="C12" s="49"/>
      <c r="D12" s="49"/>
      <c r="E12" s="48"/>
      <c r="F12" s="3"/>
      <c r="G12" s="47">
        <f t="shared" si="1"/>
        <v>45391</v>
      </c>
      <c r="H12" s="49"/>
      <c r="I12" s="49"/>
      <c r="J12" s="48"/>
    </row>
    <row r="13" spans="2:10" x14ac:dyDescent="0.25">
      <c r="B13" s="47">
        <f t="shared" si="0"/>
        <v>45392</v>
      </c>
      <c r="C13" s="49"/>
      <c r="D13" s="49"/>
      <c r="E13" s="48"/>
      <c r="F13" s="3"/>
      <c r="G13" s="47">
        <f t="shared" si="1"/>
        <v>45392</v>
      </c>
      <c r="H13" s="49"/>
      <c r="I13" s="49"/>
      <c r="J13" s="48"/>
    </row>
    <row r="14" spans="2:10" x14ac:dyDescent="0.25">
      <c r="B14" s="47">
        <f t="shared" si="0"/>
        <v>45393</v>
      </c>
      <c r="C14" s="49"/>
      <c r="D14" s="49"/>
      <c r="E14" s="48"/>
      <c r="F14" s="3"/>
      <c r="G14" s="47">
        <f t="shared" si="1"/>
        <v>45393</v>
      </c>
      <c r="H14" s="49"/>
      <c r="I14" s="49"/>
      <c r="J14" s="48"/>
    </row>
    <row r="15" spans="2:10" x14ac:dyDescent="0.25">
      <c r="B15" s="47">
        <f t="shared" si="0"/>
        <v>45394</v>
      </c>
      <c r="C15" s="49"/>
      <c r="D15" s="49"/>
      <c r="E15" s="48"/>
      <c r="F15" s="3"/>
      <c r="G15" s="47">
        <f t="shared" si="1"/>
        <v>45394</v>
      </c>
      <c r="H15" s="49"/>
      <c r="I15" s="49"/>
      <c r="J15" s="48"/>
    </row>
    <row r="16" spans="2:10" x14ac:dyDescent="0.25">
      <c r="B16" s="47">
        <f t="shared" si="0"/>
        <v>45395</v>
      </c>
      <c r="C16" s="49"/>
      <c r="D16" s="49"/>
      <c r="E16" s="48"/>
      <c r="F16" s="3"/>
      <c r="G16" s="47">
        <f t="shared" si="1"/>
        <v>45395</v>
      </c>
      <c r="H16" s="49"/>
      <c r="I16" s="49"/>
      <c r="J16" s="48"/>
    </row>
    <row r="17" spans="2:10" x14ac:dyDescent="0.25">
      <c r="B17" s="47">
        <f t="shared" si="0"/>
        <v>45396</v>
      </c>
      <c r="C17" s="49"/>
      <c r="D17" s="49"/>
      <c r="E17" s="48"/>
      <c r="F17" s="3"/>
      <c r="G17" s="47">
        <f t="shared" si="1"/>
        <v>45396</v>
      </c>
      <c r="H17" s="49"/>
      <c r="I17" s="49"/>
      <c r="J17" s="48"/>
    </row>
    <row r="18" spans="2:10" x14ac:dyDescent="0.25">
      <c r="B18" s="47">
        <f t="shared" si="0"/>
        <v>45397</v>
      </c>
      <c r="C18" s="49"/>
      <c r="D18" s="49"/>
      <c r="E18" s="48"/>
      <c r="F18" s="3"/>
      <c r="G18" s="47">
        <f t="shared" si="1"/>
        <v>45397</v>
      </c>
      <c r="H18" s="49"/>
      <c r="I18" s="49"/>
      <c r="J18" s="48"/>
    </row>
    <row r="19" spans="2:10" x14ac:dyDescent="0.25">
      <c r="B19" s="47">
        <f t="shared" si="0"/>
        <v>45398</v>
      </c>
      <c r="C19" s="49"/>
      <c r="D19" s="49"/>
      <c r="E19" s="48"/>
      <c r="F19" s="3"/>
      <c r="G19" s="47">
        <f t="shared" si="1"/>
        <v>45398</v>
      </c>
      <c r="H19" s="49"/>
      <c r="I19" s="49"/>
      <c r="J19" s="48"/>
    </row>
    <row r="20" spans="2:10" x14ac:dyDescent="0.25">
      <c r="B20" s="47">
        <f t="shared" si="0"/>
        <v>45399</v>
      </c>
      <c r="C20" s="49"/>
      <c r="D20" s="49"/>
      <c r="E20" s="48"/>
      <c r="F20" s="3"/>
      <c r="G20" s="47">
        <f t="shared" si="1"/>
        <v>45399</v>
      </c>
      <c r="H20" s="49"/>
      <c r="I20" s="49"/>
      <c r="J20" s="48"/>
    </row>
    <row r="21" spans="2:10" x14ac:dyDescent="0.25">
      <c r="B21" s="47">
        <f t="shared" si="0"/>
        <v>45400</v>
      </c>
      <c r="C21" s="49"/>
      <c r="D21" s="49"/>
      <c r="E21" s="48"/>
      <c r="F21" s="3"/>
      <c r="G21" s="47">
        <f t="shared" si="1"/>
        <v>45400</v>
      </c>
      <c r="H21" s="49"/>
      <c r="I21" s="49"/>
      <c r="J21" s="48"/>
    </row>
    <row r="22" spans="2:10" x14ac:dyDescent="0.25">
      <c r="B22" s="47">
        <f t="shared" si="0"/>
        <v>45401</v>
      </c>
      <c r="C22" s="49"/>
      <c r="D22" s="49"/>
      <c r="E22" s="48"/>
      <c r="F22" s="3"/>
      <c r="G22" s="47">
        <f t="shared" si="1"/>
        <v>45401</v>
      </c>
      <c r="H22" s="49"/>
      <c r="I22" s="49"/>
      <c r="J22" s="48"/>
    </row>
    <row r="23" spans="2:10" x14ac:dyDescent="0.25">
      <c r="B23" s="47">
        <f t="shared" si="0"/>
        <v>45402</v>
      </c>
      <c r="C23" s="49"/>
      <c r="D23" s="49"/>
      <c r="E23" s="48"/>
      <c r="F23" s="3"/>
      <c r="G23" s="47">
        <f t="shared" si="1"/>
        <v>45402</v>
      </c>
      <c r="H23" s="49"/>
      <c r="I23" s="49"/>
      <c r="J23" s="48"/>
    </row>
    <row r="24" spans="2:10" x14ac:dyDescent="0.25">
      <c r="B24" s="47">
        <f t="shared" si="0"/>
        <v>45403</v>
      </c>
      <c r="C24" s="49"/>
      <c r="D24" s="49"/>
      <c r="E24" s="48"/>
      <c r="F24" s="3"/>
      <c r="G24" s="47">
        <f t="shared" si="1"/>
        <v>45403</v>
      </c>
      <c r="H24" s="49"/>
      <c r="I24" s="49"/>
      <c r="J24" s="48"/>
    </row>
    <row r="25" spans="2:10" x14ac:dyDescent="0.25">
      <c r="B25" s="47">
        <f t="shared" si="0"/>
        <v>45404</v>
      </c>
      <c r="C25" s="49"/>
      <c r="D25" s="49"/>
      <c r="E25" s="48"/>
      <c r="F25" s="3"/>
      <c r="G25" s="47">
        <f t="shared" si="1"/>
        <v>45404</v>
      </c>
      <c r="H25" s="49"/>
      <c r="I25" s="49"/>
      <c r="J25" s="48"/>
    </row>
    <row r="26" spans="2:10" x14ac:dyDescent="0.25">
      <c r="B26" s="47">
        <f t="shared" si="0"/>
        <v>45405</v>
      </c>
      <c r="C26" s="49"/>
      <c r="D26" s="49"/>
      <c r="E26" s="48"/>
      <c r="F26" s="3"/>
      <c r="G26" s="47">
        <f t="shared" si="1"/>
        <v>45405</v>
      </c>
      <c r="H26" s="49"/>
      <c r="I26" s="49"/>
      <c r="J26" s="48"/>
    </row>
    <row r="27" spans="2:10" x14ac:dyDescent="0.25">
      <c r="B27" s="47">
        <f t="shared" si="0"/>
        <v>45406</v>
      </c>
      <c r="C27" s="49"/>
      <c r="D27" s="49"/>
      <c r="E27" s="48"/>
      <c r="F27" s="3"/>
      <c r="G27" s="47">
        <f t="shared" si="1"/>
        <v>45406</v>
      </c>
      <c r="H27" s="49"/>
      <c r="I27" s="49"/>
      <c r="J27" s="48"/>
    </row>
    <row r="28" spans="2:10" x14ac:dyDescent="0.25">
      <c r="B28" s="47">
        <f t="shared" si="0"/>
        <v>45407</v>
      </c>
      <c r="C28" s="49"/>
      <c r="D28" s="49"/>
      <c r="E28" s="48"/>
      <c r="F28" s="3"/>
      <c r="G28" s="47">
        <f t="shared" si="1"/>
        <v>45407</v>
      </c>
      <c r="H28" s="49"/>
      <c r="I28" s="49"/>
      <c r="J28" s="48"/>
    </row>
    <row r="29" spans="2:10" x14ac:dyDescent="0.25">
      <c r="B29" s="47">
        <f t="shared" si="0"/>
        <v>45408</v>
      </c>
      <c r="C29" s="49"/>
      <c r="D29" s="49"/>
      <c r="E29" s="48"/>
      <c r="F29" s="3"/>
      <c r="G29" s="47">
        <f t="shared" si="1"/>
        <v>45408</v>
      </c>
      <c r="H29" s="49"/>
      <c r="I29" s="49"/>
      <c r="J29" s="48"/>
    </row>
    <row r="30" spans="2:10" x14ac:dyDescent="0.25">
      <c r="B30" s="47">
        <f t="shared" si="0"/>
        <v>45409</v>
      </c>
      <c r="C30" s="49"/>
      <c r="D30" s="49"/>
      <c r="E30" s="48"/>
      <c r="F30" s="3"/>
      <c r="G30" s="47">
        <f t="shared" si="1"/>
        <v>45409</v>
      </c>
      <c r="H30" s="49"/>
      <c r="I30" s="49"/>
      <c r="J30" s="48"/>
    </row>
    <row r="31" spans="2:10" x14ac:dyDescent="0.25">
      <c r="B31" s="47">
        <f t="shared" si="0"/>
        <v>45410</v>
      </c>
      <c r="C31" s="49"/>
      <c r="D31" s="49"/>
      <c r="E31" s="48"/>
      <c r="F31" s="3"/>
      <c r="G31" s="47">
        <f t="shared" si="1"/>
        <v>45410</v>
      </c>
      <c r="H31" s="49"/>
      <c r="I31" s="49"/>
      <c r="J31" s="48"/>
    </row>
    <row r="32" spans="2:10" x14ac:dyDescent="0.25">
      <c r="B32" s="47">
        <f t="shared" si="0"/>
        <v>45411</v>
      </c>
      <c r="C32" s="49"/>
      <c r="D32" s="49"/>
      <c r="E32" s="48"/>
      <c r="F32" s="3"/>
      <c r="G32" s="47">
        <f t="shared" si="1"/>
        <v>45411</v>
      </c>
      <c r="H32" s="49"/>
      <c r="I32" s="49"/>
      <c r="J32" s="48"/>
    </row>
    <row r="33" spans="2:10" x14ac:dyDescent="0.25">
      <c r="B33" s="47">
        <f t="shared" si="0"/>
        <v>45412</v>
      </c>
      <c r="C33" s="49"/>
      <c r="D33" s="49"/>
      <c r="E33" s="48"/>
      <c r="F33" s="3"/>
      <c r="G33" s="47">
        <f t="shared" si="1"/>
        <v>45412</v>
      </c>
      <c r="H33" s="49"/>
      <c r="I33" s="49"/>
      <c r="J33" s="48"/>
    </row>
    <row r="34" spans="2:10" x14ac:dyDescent="0.25">
      <c r="D34" s="16">
        <f>SUM(D4:D33)</f>
        <v>0</v>
      </c>
      <c r="E34" s="185" t="e">
        <f>+F34/D34</f>
        <v>#DIV/0!</v>
      </c>
      <c r="F34" s="16"/>
      <c r="I34" s="16">
        <f>SUM(I4:I33)</f>
        <v>0</v>
      </c>
      <c r="J34" s="185" t="e">
        <f>+K34/I34</f>
        <v>#DIV/0!</v>
      </c>
    </row>
  </sheetData>
  <mergeCells count="2">
    <mergeCell ref="B2:E2"/>
    <mergeCell ref="G2:J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M69"/>
  <sheetViews>
    <sheetView workbookViewId="0">
      <pane ySplit="2" topLeftCell="A18" activePane="bottomLeft" state="frozen"/>
      <selection pane="bottomLeft" activeCell="H79" sqref="H79"/>
    </sheetView>
  </sheetViews>
  <sheetFormatPr defaultRowHeight="15" x14ac:dyDescent="0.25"/>
  <cols>
    <col min="1" max="1" width="30.28515625" customWidth="1"/>
    <col min="2" max="2" width="10.42578125" bestFit="1" customWidth="1"/>
    <col min="3" max="3" width="11.5703125" bestFit="1" customWidth="1"/>
    <col min="4" max="5" width="9.28515625" bestFit="1" customWidth="1"/>
    <col min="6" max="6" width="10.42578125" bestFit="1" customWidth="1"/>
    <col min="7" max="7" width="9.7109375" customWidth="1"/>
    <col min="8" max="8" width="8.140625" customWidth="1"/>
    <col min="257" max="257" width="30.28515625" customWidth="1"/>
    <col min="258" max="258" width="10.42578125" bestFit="1" customWidth="1"/>
    <col min="259" max="259" width="11.5703125" bestFit="1" customWidth="1"/>
    <col min="260" max="261" width="9.28515625" bestFit="1" customWidth="1"/>
    <col min="262" max="262" width="10.42578125" bestFit="1" customWidth="1"/>
    <col min="263" max="263" width="9.7109375" customWidth="1"/>
    <col min="264" max="264" width="8.140625" customWidth="1"/>
    <col min="513" max="513" width="30.28515625" customWidth="1"/>
    <col min="514" max="514" width="10.42578125" bestFit="1" customWidth="1"/>
    <col min="515" max="515" width="11.5703125" bestFit="1" customWidth="1"/>
    <col min="516" max="517" width="9.28515625" bestFit="1" customWidth="1"/>
    <col min="518" max="518" width="10.42578125" bestFit="1" customWidth="1"/>
    <col min="519" max="519" width="9.7109375" customWidth="1"/>
    <col min="520" max="520" width="8.140625" customWidth="1"/>
    <col min="769" max="769" width="30.28515625" customWidth="1"/>
    <col min="770" max="770" width="10.42578125" bestFit="1" customWidth="1"/>
    <col min="771" max="771" width="11.5703125" bestFit="1" customWidth="1"/>
    <col min="772" max="773" width="9.28515625" bestFit="1" customWidth="1"/>
    <col min="774" max="774" width="10.42578125" bestFit="1" customWidth="1"/>
    <col min="775" max="775" width="9.7109375" customWidth="1"/>
    <col min="776" max="776" width="8.140625" customWidth="1"/>
    <col min="1025" max="1025" width="30.28515625" customWidth="1"/>
    <col min="1026" max="1026" width="10.42578125" bestFit="1" customWidth="1"/>
    <col min="1027" max="1027" width="11.5703125" bestFit="1" customWidth="1"/>
    <col min="1028" max="1029" width="9.28515625" bestFit="1" customWidth="1"/>
    <col min="1030" max="1030" width="10.42578125" bestFit="1" customWidth="1"/>
    <col min="1031" max="1031" width="9.7109375" customWidth="1"/>
    <col min="1032" max="1032" width="8.140625" customWidth="1"/>
    <col min="1281" max="1281" width="30.28515625" customWidth="1"/>
    <col min="1282" max="1282" width="10.42578125" bestFit="1" customWidth="1"/>
    <col min="1283" max="1283" width="11.5703125" bestFit="1" customWidth="1"/>
    <col min="1284" max="1285" width="9.28515625" bestFit="1" customWidth="1"/>
    <col min="1286" max="1286" width="10.42578125" bestFit="1" customWidth="1"/>
    <col min="1287" max="1287" width="9.7109375" customWidth="1"/>
    <col min="1288" max="1288" width="8.140625" customWidth="1"/>
    <col min="1537" max="1537" width="30.28515625" customWidth="1"/>
    <col min="1538" max="1538" width="10.42578125" bestFit="1" customWidth="1"/>
    <col min="1539" max="1539" width="11.5703125" bestFit="1" customWidth="1"/>
    <col min="1540" max="1541" width="9.28515625" bestFit="1" customWidth="1"/>
    <col min="1542" max="1542" width="10.42578125" bestFit="1" customWidth="1"/>
    <col min="1543" max="1543" width="9.7109375" customWidth="1"/>
    <col min="1544" max="1544" width="8.140625" customWidth="1"/>
    <col min="1793" max="1793" width="30.28515625" customWidth="1"/>
    <col min="1794" max="1794" width="10.42578125" bestFit="1" customWidth="1"/>
    <col min="1795" max="1795" width="11.5703125" bestFit="1" customWidth="1"/>
    <col min="1796" max="1797" width="9.28515625" bestFit="1" customWidth="1"/>
    <col min="1798" max="1798" width="10.42578125" bestFit="1" customWidth="1"/>
    <col min="1799" max="1799" width="9.7109375" customWidth="1"/>
    <col min="1800" max="1800" width="8.140625" customWidth="1"/>
    <col min="2049" max="2049" width="30.28515625" customWidth="1"/>
    <col min="2050" max="2050" width="10.42578125" bestFit="1" customWidth="1"/>
    <col min="2051" max="2051" width="11.5703125" bestFit="1" customWidth="1"/>
    <col min="2052" max="2053" width="9.28515625" bestFit="1" customWidth="1"/>
    <col min="2054" max="2054" width="10.42578125" bestFit="1" customWidth="1"/>
    <col min="2055" max="2055" width="9.7109375" customWidth="1"/>
    <col min="2056" max="2056" width="8.140625" customWidth="1"/>
    <col min="2305" max="2305" width="30.28515625" customWidth="1"/>
    <col min="2306" max="2306" width="10.42578125" bestFit="1" customWidth="1"/>
    <col min="2307" max="2307" width="11.5703125" bestFit="1" customWidth="1"/>
    <col min="2308" max="2309" width="9.28515625" bestFit="1" customWidth="1"/>
    <col min="2310" max="2310" width="10.42578125" bestFit="1" customWidth="1"/>
    <col min="2311" max="2311" width="9.7109375" customWidth="1"/>
    <col min="2312" max="2312" width="8.140625" customWidth="1"/>
    <col min="2561" max="2561" width="30.28515625" customWidth="1"/>
    <col min="2562" max="2562" width="10.42578125" bestFit="1" customWidth="1"/>
    <col min="2563" max="2563" width="11.5703125" bestFit="1" customWidth="1"/>
    <col min="2564" max="2565" width="9.28515625" bestFit="1" customWidth="1"/>
    <col min="2566" max="2566" width="10.42578125" bestFit="1" customWidth="1"/>
    <col min="2567" max="2567" width="9.7109375" customWidth="1"/>
    <col min="2568" max="2568" width="8.140625" customWidth="1"/>
    <col min="2817" max="2817" width="30.28515625" customWidth="1"/>
    <col min="2818" max="2818" width="10.42578125" bestFit="1" customWidth="1"/>
    <col min="2819" max="2819" width="11.5703125" bestFit="1" customWidth="1"/>
    <col min="2820" max="2821" width="9.28515625" bestFit="1" customWidth="1"/>
    <col min="2822" max="2822" width="10.42578125" bestFit="1" customWidth="1"/>
    <col min="2823" max="2823" width="9.7109375" customWidth="1"/>
    <col min="2824" max="2824" width="8.140625" customWidth="1"/>
    <col min="3073" max="3073" width="30.28515625" customWidth="1"/>
    <col min="3074" max="3074" width="10.42578125" bestFit="1" customWidth="1"/>
    <col min="3075" max="3075" width="11.5703125" bestFit="1" customWidth="1"/>
    <col min="3076" max="3077" width="9.28515625" bestFit="1" customWidth="1"/>
    <col min="3078" max="3078" width="10.42578125" bestFit="1" customWidth="1"/>
    <col min="3079" max="3079" width="9.7109375" customWidth="1"/>
    <col min="3080" max="3080" width="8.140625" customWidth="1"/>
    <col min="3329" max="3329" width="30.28515625" customWidth="1"/>
    <col min="3330" max="3330" width="10.42578125" bestFit="1" customWidth="1"/>
    <col min="3331" max="3331" width="11.5703125" bestFit="1" customWidth="1"/>
    <col min="3332" max="3333" width="9.28515625" bestFit="1" customWidth="1"/>
    <col min="3334" max="3334" width="10.42578125" bestFit="1" customWidth="1"/>
    <col min="3335" max="3335" width="9.7109375" customWidth="1"/>
    <col min="3336" max="3336" width="8.140625" customWidth="1"/>
    <col min="3585" max="3585" width="30.28515625" customWidth="1"/>
    <col min="3586" max="3586" width="10.42578125" bestFit="1" customWidth="1"/>
    <col min="3587" max="3587" width="11.5703125" bestFit="1" customWidth="1"/>
    <col min="3588" max="3589" width="9.28515625" bestFit="1" customWidth="1"/>
    <col min="3590" max="3590" width="10.42578125" bestFit="1" customWidth="1"/>
    <col min="3591" max="3591" width="9.7109375" customWidth="1"/>
    <col min="3592" max="3592" width="8.140625" customWidth="1"/>
    <col min="3841" max="3841" width="30.28515625" customWidth="1"/>
    <col min="3842" max="3842" width="10.42578125" bestFit="1" customWidth="1"/>
    <col min="3843" max="3843" width="11.5703125" bestFit="1" customWidth="1"/>
    <col min="3844" max="3845" width="9.28515625" bestFit="1" customWidth="1"/>
    <col min="3846" max="3846" width="10.42578125" bestFit="1" customWidth="1"/>
    <col min="3847" max="3847" width="9.7109375" customWidth="1"/>
    <col min="3848" max="3848" width="8.140625" customWidth="1"/>
    <col min="4097" max="4097" width="30.28515625" customWidth="1"/>
    <col min="4098" max="4098" width="10.42578125" bestFit="1" customWidth="1"/>
    <col min="4099" max="4099" width="11.5703125" bestFit="1" customWidth="1"/>
    <col min="4100" max="4101" width="9.28515625" bestFit="1" customWidth="1"/>
    <col min="4102" max="4102" width="10.42578125" bestFit="1" customWidth="1"/>
    <col min="4103" max="4103" width="9.7109375" customWidth="1"/>
    <col min="4104" max="4104" width="8.140625" customWidth="1"/>
    <col min="4353" max="4353" width="30.28515625" customWidth="1"/>
    <col min="4354" max="4354" width="10.42578125" bestFit="1" customWidth="1"/>
    <col min="4355" max="4355" width="11.5703125" bestFit="1" customWidth="1"/>
    <col min="4356" max="4357" width="9.28515625" bestFit="1" customWidth="1"/>
    <col min="4358" max="4358" width="10.42578125" bestFit="1" customWidth="1"/>
    <col min="4359" max="4359" width="9.7109375" customWidth="1"/>
    <col min="4360" max="4360" width="8.140625" customWidth="1"/>
    <col min="4609" max="4609" width="30.28515625" customWidth="1"/>
    <col min="4610" max="4610" width="10.42578125" bestFit="1" customWidth="1"/>
    <col min="4611" max="4611" width="11.5703125" bestFit="1" customWidth="1"/>
    <col min="4612" max="4613" width="9.28515625" bestFit="1" customWidth="1"/>
    <col min="4614" max="4614" width="10.42578125" bestFit="1" customWidth="1"/>
    <col min="4615" max="4615" width="9.7109375" customWidth="1"/>
    <col min="4616" max="4616" width="8.140625" customWidth="1"/>
    <col min="4865" max="4865" width="30.28515625" customWidth="1"/>
    <col min="4866" max="4866" width="10.42578125" bestFit="1" customWidth="1"/>
    <col min="4867" max="4867" width="11.5703125" bestFit="1" customWidth="1"/>
    <col min="4868" max="4869" width="9.28515625" bestFit="1" customWidth="1"/>
    <col min="4870" max="4870" width="10.42578125" bestFit="1" customWidth="1"/>
    <col min="4871" max="4871" width="9.7109375" customWidth="1"/>
    <col min="4872" max="4872" width="8.140625" customWidth="1"/>
    <col min="5121" max="5121" width="30.28515625" customWidth="1"/>
    <col min="5122" max="5122" width="10.42578125" bestFit="1" customWidth="1"/>
    <col min="5123" max="5123" width="11.5703125" bestFit="1" customWidth="1"/>
    <col min="5124" max="5125" width="9.28515625" bestFit="1" customWidth="1"/>
    <col min="5126" max="5126" width="10.42578125" bestFit="1" customWidth="1"/>
    <col min="5127" max="5127" width="9.7109375" customWidth="1"/>
    <col min="5128" max="5128" width="8.140625" customWidth="1"/>
    <col min="5377" max="5377" width="30.28515625" customWidth="1"/>
    <col min="5378" max="5378" width="10.42578125" bestFit="1" customWidth="1"/>
    <col min="5379" max="5379" width="11.5703125" bestFit="1" customWidth="1"/>
    <col min="5380" max="5381" width="9.28515625" bestFit="1" customWidth="1"/>
    <col min="5382" max="5382" width="10.42578125" bestFit="1" customWidth="1"/>
    <col min="5383" max="5383" width="9.7109375" customWidth="1"/>
    <col min="5384" max="5384" width="8.140625" customWidth="1"/>
    <col min="5633" max="5633" width="30.28515625" customWidth="1"/>
    <col min="5634" max="5634" width="10.42578125" bestFit="1" customWidth="1"/>
    <col min="5635" max="5635" width="11.5703125" bestFit="1" customWidth="1"/>
    <col min="5636" max="5637" width="9.28515625" bestFit="1" customWidth="1"/>
    <col min="5638" max="5638" width="10.42578125" bestFit="1" customWidth="1"/>
    <col min="5639" max="5639" width="9.7109375" customWidth="1"/>
    <col min="5640" max="5640" width="8.140625" customWidth="1"/>
    <col min="5889" max="5889" width="30.28515625" customWidth="1"/>
    <col min="5890" max="5890" width="10.42578125" bestFit="1" customWidth="1"/>
    <col min="5891" max="5891" width="11.5703125" bestFit="1" customWidth="1"/>
    <col min="5892" max="5893" width="9.28515625" bestFit="1" customWidth="1"/>
    <col min="5894" max="5894" width="10.42578125" bestFit="1" customWidth="1"/>
    <col min="5895" max="5895" width="9.7109375" customWidth="1"/>
    <col min="5896" max="5896" width="8.140625" customWidth="1"/>
    <col min="6145" max="6145" width="30.28515625" customWidth="1"/>
    <col min="6146" max="6146" width="10.42578125" bestFit="1" customWidth="1"/>
    <col min="6147" max="6147" width="11.5703125" bestFit="1" customWidth="1"/>
    <col min="6148" max="6149" width="9.28515625" bestFit="1" customWidth="1"/>
    <col min="6150" max="6150" width="10.42578125" bestFit="1" customWidth="1"/>
    <col min="6151" max="6151" width="9.7109375" customWidth="1"/>
    <col min="6152" max="6152" width="8.140625" customWidth="1"/>
    <col min="6401" max="6401" width="30.28515625" customWidth="1"/>
    <col min="6402" max="6402" width="10.42578125" bestFit="1" customWidth="1"/>
    <col min="6403" max="6403" width="11.5703125" bestFit="1" customWidth="1"/>
    <col min="6404" max="6405" width="9.28515625" bestFit="1" customWidth="1"/>
    <col min="6406" max="6406" width="10.42578125" bestFit="1" customWidth="1"/>
    <col min="6407" max="6407" width="9.7109375" customWidth="1"/>
    <col min="6408" max="6408" width="8.140625" customWidth="1"/>
    <col min="6657" max="6657" width="30.28515625" customWidth="1"/>
    <col min="6658" max="6658" width="10.42578125" bestFit="1" customWidth="1"/>
    <col min="6659" max="6659" width="11.5703125" bestFit="1" customWidth="1"/>
    <col min="6660" max="6661" width="9.28515625" bestFit="1" customWidth="1"/>
    <col min="6662" max="6662" width="10.42578125" bestFit="1" customWidth="1"/>
    <col min="6663" max="6663" width="9.7109375" customWidth="1"/>
    <col min="6664" max="6664" width="8.140625" customWidth="1"/>
    <col min="6913" max="6913" width="30.28515625" customWidth="1"/>
    <col min="6914" max="6914" width="10.42578125" bestFit="1" customWidth="1"/>
    <col min="6915" max="6915" width="11.5703125" bestFit="1" customWidth="1"/>
    <col min="6916" max="6917" width="9.28515625" bestFit="1" customWidth="1"/>
    <col min="6918" max="6918" width="10.42578125" bestFit="1" customWidth="1"/>
    <col min="6919" max="6919" width="9.7109375" customWidth="1"/>
    <col min="6920" max="6920" width="8.140625" customWidth="1"/>
    <col min="7169" max="7169" width="30.28515625" customWidth="1"/>
    <col min="7170" max="7170" width="10.42578125" bestFit="1" customWidth="1"/>
    <col min="7171" max="7171" width="11.5703125" bestFit="1" customWidth="1"/>
    <col min="7172" max="7173" width="9.28515625" bestFit="1" customWidth="1"/>
    <col min="7174" max="7174" width="10.42578125" bestFit="1" customWidth="1"/>
    <col min="7175" max="7175" width="9.7109375" customWidth="1"/>
    <col min="7176" max="7176" width="8.140625" customWidth="1"/>
    <col min="7425" max="7425" width="30.28515625" customWidth="1"/>
    <col min="7426" max="7426" width="10.42578125" bestFit="1" customWidth="1"/>
    <col min="7427" max="7427" width="11.5703125" bestFit="1" customWidth="1"/>
    <col min="7428" max="7429" width="9.28515625" bestFit="1" customWidth="1"/>
    <col min="7430" max="7430" width="10.42578125" bestFit="1" customWidth="1"/>
    <col min="7431" max="7431" width="9.7109375" customWidth="1"/>
    <col min="7432" max="7432" width="8.140625" customWidth="1"/>
    <col min="7681" max="7681" width="30.28515625" customWidth="1"/>
    <col min="7682" max="7682" width="10.42578125" bestFit="1" customWidth="1"/>
    <col min="7683" max="7683" width="11.5703125" bestFit="1" customWidth="1"/>
    <col min="7684" max="7685" width="9.28515625" bestFit="1" customWidth="1"/>
    <col min="7686" max="7686" width="10.42578125" bestFit="1" customWidth="1"/>
    <col min="7687" max="7687" width="9.7109375" customWidth="1"/>
    <col min="7688" max="7688" width="8.140625" customWidth="1"/>
    <col min="7937" max="7937" width="30.28515625" customWidth="1"/>
    <col min="7938" max="7938" width="10.42578125" bestFit="1" customWidth="1"/>
    <col min="7939" max="7939" width="11.5703125" bestFit="1" customWidth="1"/>
    <col min="7940" max="7941" width="9.28515625" bestFit="1" customWidth="1"/>
    <col min="7942" max="7942" width="10.42578125" bestFit="1" customWidth="1"/>
    <col min="7943" max="7943" width="9.7109375" customWidth="1"/>
    <col min="7944" max="7944" width="8.140625" customWidth="1"/>
    <col min="8193" max="8193" width="30.28515625" customWidth="1"/>
    <col min="8194" max="8194" width="10.42578125" bestFit="1" customWidth="1"/>
    <col min="8195" max="8195" width="11.5703125" bestFit="1" customWidth="1"/>
    <col min="8196" max="8197" width="9.28515625" bestFit="1" customWidth="1"/>
    <col min="8198" max="8198" width="10.42578125" bestFit="1" customWidth="1"/>
    <col min="8199" max="8199" width="9.7109375" customWidth="1"/>
    <col min="8200" max="8200" width="8.140625" customWidth="1"/>
    <col min="8449" max="8449" width="30.28515625" customWidth="1"/>
    <col min="8450" max="8450" width="10.42578125" bestFit="1" customWidth="1"/>
    <col min="8451" max="8451" width="11.5703125" bestFit="1" customWidth="1"/>
    <col min="8452" max="8453" width="9.28515625" bestFit="1" customWidth="1"/>
    <col min="8454" max="8454" width="10.42578125" bestFit="1" customWidth="1"/>
    <col min="8455" max="8455" width="9.7109375" customWidth="1"/>
    <col min="8456" max="8456" width="8.140625" customWidth="1"/>
    <col min="8705" max="8705" width="30.28515625" customWidth="1"/>
    <col min="8706" max="8706" width="10.42578125" bestFit="1" customWidth="1"/>
    <col min="8707" max="8707" width="11.5703125" bestFit="1" customWidth="1"/>
    <col min="8708" max="8709" width="9.28515625" bestFit="1" customWidth="1"/>
    <col min="8710" max="8710" width="10.42578125" bestFit="1" customWidth="1"/>
    <col min="8711" max="8711" width="9.7109375" customWidth="1"/>
    <col min="8712" max="8712" width="8.140625" customWidth="1"/>
    <col min="8961" max="8961" width="30.28515625" customWidth="1"/>
    <col min="8962" max="8962" width="10.42578125" bestFit="1" customWidth="1"/>
    <col min="8963" max="8963" width="11.5703125" bestFit="1" customWidth="1"/>
    <col min="8964" max="8965" width="9.28515625" bestFit="1" customWidth="1"/>
    <col min="8966" max="8966" width="10.42578125" bestFit="1" customWidth="1"/>
    <col min="8967" max="8967" width="9.7109375" customWidth="1"/>
    <col min="8968" max="8968" width="8.140625" customWidth="1"/>
    <col min="9217" max="9217" width="30.28515625" customWidth="1"/>
    <col min="9218" max="9218" width="10.42578125" bestFit="1" customWidth="1"/>
    <col min="9219" max="9219" width="11.5703125" bestFit="1" customWidth="1"/>
    <col min="9220" max="9221" width="9.28515625" bestFit="1" customWidth="1"/>
    <col min="9222" max="9222" width="10.42578125" bestFit="1" customWidth="1"/>
    <col min="9223" max="9223" width="9.7109375" customWidth="1"/>
    <col min="9224" max="9224" width="8.140625" customWidth="1"/>
    <col min="9473" max="9473" width="30.28515625" customWidth="1"/>
    <col min="9474" max="9474" width="10.42578125" bestFit="1" customWidth="1"/>
    <col min="9475" max="9475" width="11.5703125" bestFit="1" customWidth="1"/>
    <col min="9476" max="9477" width="9.28515625" bestFit="1" customWidth="1"/>
    <col min="9478" max="9478" width="10.42578125" bestFit="1" customWidth="1"/>
    <col min="9479" max="9479" width="9.7109375" customWidth="1"/>
    <col min="9480" max="9480" width="8.140625" customWidth="1"/>
    <col min="9729" max="9729" width="30.28515625" customWidth="1"/>
    <col min="9730" max="9730" width="10.42578125" bestFit="1" customWidth="1"/>
    <col min="9731" max="9731" width="11.5703125" bestFit="1" customWidth="1"/>
    <col min="9732" max="9733" width="9.28515625" bestFit="1" customWidth="1"/>
    <col min="9734" max="9734" width="10.42578125" bestFit="1" customWidth="1"/>
    <col min="9735" max="9735" width="9.7109375" customWidth="1"/>
    <col min="9736" max="9736" width="8.140625" customWidth="1"/>
    <col min="9985" max="9985" width="30.28515625" customWidth="1"/>
    <col min="9986" max="9986" width="10.42578125" bestFit="1" customWidth="1"/>
    <col min="9987" max="9987" width="11.5703125" bestFit="1" customWidth="1"/>
    <col min="9988" max="9989" width="9.28515625" bestFit="1" customWidth="1"/>
    <col min="9990" max="9990" width="10.42578125" bestFit="1" customWidth="1"/>
    <col min="9991" max="9991" width="9.7109375" customWidth="1"/>
    <col min="9992" max="9992" width="8.140625" customWidth="1"/>
    <col min="10241" max="10241" width="30.28515625" customWidth="1"/>
    <col min="10242" max="10242" width="10.42578125" bestFit="1" customWidth="1"/>
    <col min="10243" max="10243" width="11.5703125" bestFit="1" customWidth="1"/>
    <col min="10244" max="10245" width="9.28515625" bestFit="1" customWidth="1"/>
    <col min="10246" max="10246" width="10.42578125" bestFit="1" customWidth="1"/>
    <col min="10247" max="10247" width="9.7109375" customWidth="1"/>
    <col min="10248" max="10248" width="8.140625" customWidth="1"/>
    <col min="10497" max="10497" width="30.28515625" customWidth="1"/>
    <col min="10498" max="10498" width="10.42578125" bestFit="1" customWidth="1"/>
    <col min="10499" max="10499" width="11.5703125" bestFit="1" customWidth="1"/>
    <col min="10500" max="10501" width="9.28515625" bestFit="1" customWidth="1"/>
    <col min="10502" max="10502" width="10.42578125" bestFit="1" customWidth="1"/>
    <col min="10503" max="10503" width="9.7109375" customWidth="1"/>
    <col min="10504" max="10504" width="8.140625" customWidth="1"/>
    <col min="10753" max="10753" width="30.28515625" customWidth="1"/>
    <col min="10754" max="10754" width="10.42578125" bestFit="1" customWidth="1"/>
    <col min="10755" max="10755" width="11.5703125" bestFit="1" customWidth="1"/>
    <col min="10756" max="10757" width="9.28515625" bestFit="1" customWidth="1"/>
    <col min="10758" max="10758" width="10.42578125" bestFit="1" customWidth="1"/>
    <col min="10759" max="10759" width="9.7109375" customWidth="1"/>
    <col min="10760" max="10760" width="8.140625" customWidth="1"/>
    <col min="11009" max="11009" width="30.28515625" customWidth="1"/>
    <col min="11010" max="11010" width="10.42578125" bestFit="1" customWidth="1"/>
    <col min="11011" max="11011" width="11.5703125" bestFit="1" customWidth="1"/>
    <col min="11012" max="11013" width="9.28515625" bestFit="1" customWidth="1"/>
    <col min="11014" max="11014" width="10.42578125" bestFit="1" customWidth="1"/>
    <col min="11015" max="11015" width="9.7109375" customWidth="1"/>
    <col min="11016" max="11016" width="8.140625" customWidth="1"/>
    <col min="11265" max="11265" width="30.28515625" customWidth="1"/>
    <col min="11266" max="11266" width="10.42578125" bestFit="1" customWidth="1"/>
    <col min="11267" max="11267" width="11.5703125" bestFit="1" customWidth="1"/>
    <col min="11268" max="11269" width="9.28515625" bestFit="1" customWidth="1"/>
    <col min="11270" max="11270" width="10.42578125" bestFit="1" customWidth="1"/>
    <col min="11271" max="11271" width="9.7109375" customWidth="1"/>
    <col min="11272" max="11272" width="8.140625" customWidth="1"/>
    <col min="11521" max="11521" width="30.28515625" customWidth="1"/>
    <col min="11522" max="11522" width="10.42578125" bestFit="1" customWidth="1"/>
    <col min="11523" max="11523" width="11.5703125" bestFit="1" customWidth="1"/>
    <col min="11524" max="11525" width="9.28515625" bestFit="1" customWidth="1"/>
    <col min="11526" max="11526" width="10.42578125" bestFit="1" customWidth="1"/>
    <col min="11527" max="11527" width="9.7109375" customWidth="1"/>
    <col min="11528" max="11528" width="8.140625" customWidth="1"/>
    <col min="11777" max="11777" width="30.28515625" customWidth="1"/>
    <col min="11778" max="11778" width="10.42578125" bestFit="1" customWidth="1"/>
    <col min="11779" max="11779" width="11.5703125" bestFit="1" customWidth="1"/>
    <col min="11780" max="11781" width="9.28515625" bestFit="1" customWidth="1"/>
    <col min="11782" max="11782" width="10.42578125" bestFit="1" customWidth="1"/>
    <col min="11783" max="11783" width="9.7109375" customWidth="1"/>
    <col min="11784" max="11784" width="8.140625" customWidth="1"/>
    <col min="12033" max="12033" width="30.28515625" customWidth="1"/>
    <col min="12034" max="12034" width="10.42578125" bestFit="1" customWidth="1"/>
    <col min="12035" max="12035" width="11.5703125" bestFit="1" customWidth="1"/>
    <col min="12036" max="12037" width="9.28515625" bestFit="1" customWidth="1"/>
    <col min="12038" max="12038" width="10.42578125" bestFit="1" customWidth="1"/>
    <col min="12039" max="12039" width="9.7109375" customWidth="1"/>
    <col min="12040" max="12040" width="8.140625" customWidth="1"/>
    <col min="12289" max="12289" width="30.28515625" customWidth="1"/>
    <col min="12290" max="12290" width="10.42578125" bestFit="1" customWidth="1"/>
    <col min="12291" max="12291" width="11.5703125" bestFit="1" customWidth="1"/>
    <col min="12292" max="12293" width="9.28515625" bestFit="1" customWidth="1"/>
    <col min="12294" max="12294" width="10.42578125" bestFit="1" customWidth="1"/>
    <col min="12295" max="12295" width="9.7109375" customWidth="1"/>
    <col min="12296" max="12296" width="8.140625" customWidth="1"/>
    <col min="12545" max="12545" width="30.28515625" customWidth="1"/>
    <col min="12546" max="12546" width="10.42578125" bestFit="1" customWidth="1"/>
    <col min="12547" max="12547" width="11.5703125" bestFit="1" customWidth="1"/>
    <col min="12548" max="12549" width="9.28515625" bestFit="1" customWidth="1"/>
    <col min="12550" max="12550" width="10.42578125" bestFit="1" customWidth="1"/>
    <col min="12551" max="12551" width="9.7109375" customWidth="1"/>
    <col min="12552" max="12552" width="8.140625" customWidth="1"/>
    <col min="12801" max="12801" width="30.28515625" customWidth="1"/>
    <col min="12802" max="12802" width="10.42578125" bestFit="1" customWidth="1"/>
    <col min="12803" max="12803" width="11.5703125" bestFit="1" customWidth="1"/>
    <col min="12804" max="12805" width="9.28515625" bestFit="1" customWidth="1"/>
    <col min="12806" max="12806" width="10.42578125" bestFit="1" customWidth="1"/>
    <col min="12807" max="12807" width="9.7109375" customWidth="1"/>
    <col min="12808" max="12808" width="8.140625" customWidth="1"/>
    <col min="13057" max="13057" width="30.28515625" customWidth="1"/>
    <col min="13058" max="13058" width="10.42578125" bestFit="1" customWidth="1"/>
    <col min="13059" max="13059" width="11.5703125" bestFit="1" customWidth="1"/>
    <col min="13060" max="13061" width="9.28515625" bestFit="1" customWidth="1"/>
    <col min="13062" max="13062" width="10.42578125" bestFit="1" customWidth="1"/>
    <col min="13063" max="13063" width="9.7109375" customWidth="1"/>
    <col min="13064" max="13064" width="8.140625" customWidth="1"/>
    <col min="13313" max="13313" width="30.28515625" customWidth="1"/>
    <col min="13314" max="13314" width="10.42578125" bestFit="1" customWidth="1"/>
    <col min="13315" max="13315" width="11.5703125" bestFit="1" customWidth="1"/>
    <col min="13316" max="13317" width="9.28515625" bestFit="1" customWidth="1"/>
    <col min="13318" max="13318" width="10.42578125" bestFit="1" customWidth="1"/>
    <col min="13319" max="13319" width="9.7109375" customWidth="1"/>
    <col min="13320" max="13320" width="8.140625" customWidth="1"/>
    <col min="13569" max="13569" width="30.28515625" customWidth="1"/>
    <col min="13570" max="13570" width="10.42578125" bestFit="1" customWidth="1"/>
    <col min="13571" max="13571" width="11.5703125" bestFit="1" customWidth="1"/>
    <col min="13572" max="13573" width="9.28515625" bestFit="1" customWidth="1"/>
    <col min="13574" max="13574" width="10.42578125" bestFit="1" customWidth="1"/>
    <col min="13575" max="13575" width="9.7109375" customWidth="1"/>
    <col min="13576" max="13576" width="8.140625" customWidth="1"/>
    <col min="13825" max="13825" width="30.28515625" customWidth="1"/>
    <col min="13826" max="13826" width="10.42578125" bestFit="1" customWidth="1"/>
    <col min="13827" max="13827" width="11.5703125" bestFit="1" customWidth="1"/>
    <col min="13828" max="13829" width="9.28515625" bestFit="1" customWidth="1"/>
    <col min="13830" max="13830" width="10.42578125" bestFit="1" customWidth="1"/>
    <col min="13831" max="13831" width="9.7109375" customWidth="1"/>
    <col min="13832" max="13832" width="8.140625" customWidth="1"/>
    <col min="14081" max="14081" width="30.28515625" customWidth="1"/>
    <col min="14082" max="14082" width="10.42578125" bestFit="1" customWidth="1"/>
    <col min="14083" max="14083" width="11.5703125" bestFit="1" customWidth="1"/>
    <col min="14084" max="14085" width="9.28515625" bestFit="1" customWidth="1"/>
    <col min="14086" max="14086" width="10.42578125" bestFit="1" customWidth="1"/>
    <col min="14087" max="14087" width="9.7109375" customWidth="1"/>
    <col min="14088" max="14088" width="8.140625" customWidth="1"/>
    <col min="14337" max="14337" width="30.28515625" customWidth="1"/>
    <col min="14338" max="14338" width="10.42578125" bestFit="1" customWidth="1"/>
    <col min="14339" max="14339" width="11.5703125" bestFit="1" customWidth="1"/>
    <col min="14340" max="14341" width="9.28515625" bestFit="1" customWidth="1"/>
    <col min="14342" max="14342" width="10.42578125" bestFit="1" customWidth="1"/>
    <col min="14343" max="14343" width="9.7109375" customWidth="1"/>
    <col min="14344" max="14344" width="8.140625" customWidth="1"/>
    <col min="14593" max="14593" width="30.28515625" customWidth="1"/>
    <col min="14594" max="14594" width="10.42578125" bestFit="1" customWidth="1"/>
    <col min="14595" max="14595" width="11.5703125" bestFit="1" customWidth="1"/>
    <col min="14596" max="14597" width="9.28515625" bestFit="1" customWidth="1"/>
    <col min="14598" max="14598" width="10.42578125" bestFit="1" customWidth="1"/>
    <col min="14599" max="14599" width="9.7109375" customWidth="1"/>
    <col min="14600" max="14600" width="8.140625" customWidth="1"/>
    <col min="14849" max="14849" width="30.28515625" customWidth="1"/>
    <col min="14850" max="14850" width="10.42578125" bestFit="1" customWidth="1"/>
    <col min="14851" max="14851" width="11.5703125" bestFit="1" customWidth="1"/>
    <col min="14852" max="14853" width="9.28515625" bestFit="1" customWidth="1"/>
    <col min="14854" max="14854" width="10.42578125" bestFit="1" customWidth="1"/>
    <col min="14855" max="14855" width="9.7109375" customWidth="1"/>
    <col min="14856" max="14856" width="8.140625" customWidth="1"/>
    <col min="15105" max="15105" width="30.28515625" customWidth="1"/>
    <col min="15106" max="15106" width="10.42578125" bestFit="1" customWidth="1"/>
    <col min="15107" max="15107" width="11.5703125" bestFit="1" customWidth="1"/>
    <col min="15108" max="15109" width="9.28515625" bestFit="1" customWidth="1"/>
    <col min="15110" max="15110" width="10.42578125" bestFit="1" customWidth="1"/>
    <col min="15111" max="15111" width="9.7109375" customWidth="1"/>
    <col min="15112" max="15112" width="8.140625" customWidth="1"/>
    <col min="15361" max="15361" width="30.28515625" customWidth="1"/>
    <col min="15362" max="15362" width="10.42578125" bestFit="1" customWidth="1"/>
    <col min="15363" max="15363" width="11.5703125" bestFit="1" customWidth="1"/>
    <col min="15364" max="15365" width="9.28515625" bestFit="1" customWidth="1"/>
    <col min="15366" max="15366" width="10.42578125" bestFit="1" customWidth="1"/>
    <col min="15367" max="15367" width="9.7109375" customWidth="1"/>
    <col min="15368" max="15368" width="8.140625" customWidth="1"/>
    <col min="15617" max="15617" width="30.28515625" customWidth="1"/>
    <col min="15618" max="15618" width="10.42578125" bestFit="1" customWidth="1"/>
    <col min="15619" max="15619" width="11.5703125" bestFit="1" customWidth="1"/>
    <col min="15620" max="15621" width="9.28515625" bestFit="1" customWidth="1"/>
    <col min="15622" max="15622" width="10.42578125" bestFit="1" customWidth="1"/>
    <col min="15623" max="15623" width="9.7109375" customWidth="1"/>
    <col min="15624" max="15624" width="8.140625" customWidth="1"/>
    <col min="15873" max="15873" width="30.28515625" customWidth="1"/>
    <col min="15874" max="15874" width="10.42578125" bestFit="1" customWidth="1"/>
    <col min="15875" max="15875" width="11.5703125" bestFit="1" customWidth="1"/>
    <col min="15876" max="15877" width="9.28515625" bestFit="1" customWidth="1"/>
    <col min="15878" max="15878" width="10.42578125" bestFit="1" customWidth="1"/>
    <col min="15879" max="15879" width="9.7109375" customWidth="1"/>
    <col min="15880" max="15880" width="8.140625" customWidth="1"/>
    <col min="16129" max="16129" width="30.28515625" customWidth="1"/>
    <col min="16130" max="16130" width="10.42578125" bestFit="1" customWidth="1"/>
    <col min="16131" max="16131" width="11.5703125" bestFit="1" customWidth="1"/>
    <col min="16132" max="16133" width="9.28515625" bestFit="1" customWidth="1"/>
    <col min="16134" max="16134" width="10.42578125" bestFit="1" customWidth="1"/>
    <col min="16135" max="16135" width="9.7109375" customWidth="1"/>
    <col min="16136" max="16136" width="8.140625" customWidth="1"/>
  </cols>
  <sheetData>
    <row r="1" spans="1:13" ht="30.75" customHeight="1" x14ac:dyDescent="0.25">
      <c r="A1" s="673" t="s">
        <v>175</v>
      </c>
      <c r="B1" s="673"/>
      <c r="C1" s="673"/>
      <c r="D1" s="673"/>
      <c r="E1" s="673"/>
      <c r="F1" s="673"/>
      <c r="G1" s="673"/>
      <c r="H1" s="673"/>
    </row>
    <row r="2" spans="1:13" x14ac:dyDescent="0.25">
      <c r="B2" s="86" t="s">
        <v>85</v>
      </c>
      <c r="C2" s="86" t="s">
        <v>86</v>
      </c>
      <c r="D2" s="86"/>
      <c r="E2" s="86" t="s">
        <v>85</v>
      </c>
      <c r="F2" s="86" t="s">
        <v>86</v>
      </c>
      <c r="G2" s="87" t="s">
        <v>87</v>
      </c>
      <c r="H2" s="88" t="s">
        <v>88</v>
      </c>
    </row>
    <row r="3" spans="1:13" x14ac:dyDescent="0.25">
      <c r="A3" s="189" t="s">
        <v>89</v>
      </c>
      <c r="B3" s="86"/>
      <c r="C3" s="86"/>
      <c r="D3" s="86"/>
      <c r="E3" s="86"/>
      <c r="F3" s="86"/>
      <c r="G3" s="87"/>
      <c r="H3" s="88"/>
    </row>
    <row r="4" spans="1:13" x14ac:dyDescent="0.25">
      <c r="A4" s="190" t="s">
        <v>124</v>
      </c>
      <c r="B4" s="191">
        <v>462.67610000000002</v>
      </c>
      <c r="C4" s="191">
        <v>302.10340000000002</v>
      </c>
      <c r="D4" s="96"/>
      <c r="E4" s="192">
        <f>ROUND(B4/365,4)</f>
        <v>1.2676000000000001</v>
      </c>
      <c r="F4" s="192">
        <f>ROUND(C4/365,4)</f>
        <v>0.82769999999999999</v>
      </c>
      <c r="G4" s="193">
        <f>E4+F4</f>
        <v>2.0952999999999999</v>
      </c>
      <c r="H4" s="193">
        <v>2.0385999999999997</v>
      </c>
      <c r="I4">
        <f>+E4*31</f>
        <v>39.2956</v>
      </c>
      <c r="J4">
        <f>+F4*31</f>
        <v>25.6587</v>
      </c>
      <c r="K4">
        <f>+I4+J4</f>
        <v>64.954300000000003</v>
      </c>
      <c r="M4">
        <f>+B4/12</f>
        <v>38.556341666666668</v>
      </c>
    </row>
    <row r="5" spans="1:13" x14ac:dyDescent="0.25">
      <c r="A5" s="194"/>
      <c r="B5" s="195">
        <f>+B4/12</f>
        <v>38.556341666666668</v>
      </c>
      <c r="C5" s="195">
        <f>+C4/12</f>
        <v>25.175283333333336</v>
      </c>
      <c r="D5" s="90"/>
      <c r="E5" s="196"/>
      <c r="F5" s="196"/>
      <c r="G5" s="197"/>
      <c r="H5" s="92">
        <f>G4/H4-1</f>
        <v>2.7813205140782893E-2</v>
      </c>
    </row>
    <row r="6" spans="1:13" x14ac:dyDescent="0.25">
      <c r="B6" s="88"/>
      <c r="C6" s="88"/>
      <c r="D6" s="90"/>
      <c r="E6" s="88"/>
      <c r="F6" s="88"/>
      <c r="G6" s="91"/>
      <c r="H6" s="198"/>
    </row>
    <row r="7" spans="1:13" x14ac:dyDescent="0.25">
      <c r="A7" s="93" t="s">
        <v>90</v>
      </c>
      <c r="B7" s="88"/>
      <c r="C7" s="88"/>
      <c r="D7" s="88"/>
      <c r="E7" s="88"/>
      <c r="F7" s="88"/>
      <c r="G7" s="94"/>
      <c r="H7" s="92"/>
    </row>
    <row r="8" spans="1:13" x14ac:dyDescent="0.25">
      <c r="A8" s="95" t="s">
        <v>140</v>
      </c>
      <c r="B8" s="199">
        <v>175.38210000000001</v>
      </c>
      <c r="C8" s="199">
        <v>114.5153</v>
      </c>
      <c r="D8" s="191">
        <f>D19+D20+D21</f>
        <v>92</v>
      </c>
      <c r="E8" s="191">
        <f>B8/D8</f>
        <v>1.9063271739130436</v>
      </c>
      <c r="F8" s="191">
        <f>C8/D8</f>
        <v>1.2447315217391304</v>
      </c>
      <c r="G8" s="193">
        <f>ROUND(E8+F8,4)</f>
        <v>3.1511</v>
      </c>
      <c r="H8" s="200">
        <v>2.4218999999999999</v>
      </c>
    </row>
    <row r="9" spans="1:13" x14ac:dyDescent="0.25">
      <c r="A9" s="95" t="s">
        <v>141</v>
      </c>
      <c r="B9" s="199">
        <v>203.3853</v>
      </c>
      <c r="C9" s="199">
        <v>132.80000000000001</v>
      </c>
      <c r="D9" s="191">
        <f>D22+D23+D24</f>
        <v>90</v>
      </c>
      <c r="E9" s="191">
        <f>B9/D9</f>
        <v>2.2598366666666667</v>
      </c>
      <c r="F9" s="191">
        <f>C9/D9</f>
        <v>1.4755555555555557</v>
      </c>
      <c r="G9" s="193">
        <f>ROUND(E9+F9,4)</f>
        <v>3.7353999999999998</v>
      </c>
      <c r="H9" s="200">
        <v>3.0274000000000001</v>
      </c>
    </row>
    <row r="10" spans="1:13" x14ac:dyDescent="0.25">
      <c r="A10" s="95" t="s">
        <v>142</v>
      </c>
      <c r="B10" s="199">
        <v>125.6204</v>
      </c>
      <c r="C10" s="199">
        <v>82.023499999999999</v>
      </c>
      <c r="D10" s="191">
        <f>D25+D26+D27</f>
        <v>91</v>
      </c>
      <c r="E10" s="191">
        <f>B10/D10</f>
        <v>1.3804439560439561</v>
      </c>
      <c r="F10" s="191">
        <f>C10/D10</f>
        <v>0.90135714285714286</v>
      </c>
      <c r="G10" s="193">
        <f>ROUND(E10+F10,4)</f>
        <v>2.2818000000000001</v>
      </c>
      <c r="H10" s="200">
        <v>1.8613</v>
      </c>
    </row>
    <row r="11" spans="1:13" x14ac:dyDescent="0.25">
      <c r="A11" s="95" t="s">
        <v>143</v>
      </c>
      <c r="B11" s="201">
        <v>96.762500000000003</v>
      </c>
      <c r="C11" s="201">
        <v>63.180900000000001</v>
      </c>
      <c r="D11" s="202">
        <f>D28+D29+D30</f>
        <v>92</v>
      </c>
      <c r="E11" s="191">
        <f>B11/D11</f>
        <v>1.051766304347826</v>
      </c>
      <c r="F11" s="202">
        <f>C11/D11</f>
        <v>0.68674891304347829</v>
      </c>
      <c r="G11" s="203">
        <f>ROUND(E11+F11,4)</f>
        <v>1.7384999999999999</v>
      </c>
      <c r="H11" s="96">
        <v>1.6594</v>
      </c>
    </row>
    <row r="12" spans="1:13" x14ac:dyDescent="0.25">
      <c r="A12" s="95"/>
      <c r="B12" s="204"/>
      <c r="C12" s="204"/>
      <c r="D12" s="97"/>
      <c r="E12" s="204"/>
      <c r="F12" s="97"/>
      <c r="G12" s="205"/>
      <c r="H12" s="206"/>
    </row>
    <row r="13" spans="1:13" x14ac:dyDescent="0.25">
      <c r="B13" s="88">
        <f>+B9/3</f>
        <v>67.795100000000005</v>
      </c>
      <c r="C13" s="88">
        <f>+C9/3</f>
        <v>44.266666666666673</v>
      </c>
      <c r="D13" s="88"/>
      <c r="E13" s="88"/>
      <c r="F13" s="88"/>
      <c r="G13" s="94"/>
      <c r="H13" s="92">
        <f>G8/H8-1</f>
        <v>0.30108592427433001</v>
      </c>
    </row>
    <row r="14" spans="1:13" x14ac:dyDescent="0.25">
      <c r="B14" s="88"/>
      <c r="C14" s="88"/>
      <c r="D14" s="88"/>
      <c r="E14" s="88"/>
      <c r="F14" s="88"/>
      <c r="G14" s="94"/>
      <c r="H14" s="92">
        <f>G9/H9-1</f>
        <v>0.23386404175199837</v>
      </c>
    </row>
    <row r="15" spans="1:13" x14ac:dyDescent="0.25">
      <c r="B15" s="88"/>
      <c r="C15" s="88"/>
      <c r="D15" s="88"/>
      <c r="E15" s="88"/>
      <c r="F15" s="88"/>
      <c r="G15" s="94"/>
      <c r="H15" s="92">
        <f>G10/H10-1</f>
        <v>0.22591736958040087</v>
      </c>
    </row>
    <row r="16" spans="1:13" x14ac:dyDescent="0.25">
      <c r="B16" s="88"/>
      <c r="C16" s="88"/>
      <c r="D16" s="88"/>
      <c r="E16" s="88"/>
      <c r="F16" s="88"/>
      <c r="G16" s="94"/>
      <c r="H16" s="92">
        <f>G11/H11-1</f>
        <v>4.7667831746414313E-2</v>
      </c>
    </row>
    <row r="17" spans="1:10" x14ac:dyDescent="0.25">
      <c r="B17" s="88"/>
      <c r="C17" s="88"/>
      <c r="D17" s="88"/>
      <c r="E17" s="88"/>
      <c r="F17" s="88"/>
      <c r="G17" s="94"/>
      <c r="H17" s="92"/>
    </row>
    <row r="18" spans="1:10" x14ac:dyDescent="0.25">
      <c r="A18" s="93" t="s">
        <v>91</v>
      </c>
      <c r="B18" s="88"/>
      <c r="C18" s="88"/>
      <c r="D18" s="88"/>
      <c r="E18" s="88"/>
      <c r="F18" s="88"/>
      <c r="G18" s="94"/>
    </row>
    <row r="19" spans="1:10" x14ac:dyDescent="0.25">
      <c r="A19" s="98" t="s">
        <v>176</v>
      </c>
      <c r="B19" s="191">
        <v>52.669199999999996</v>
      </c>
      <c r="C19" s="192">
        <v>34.390300000000003</v>
      </c>
      <c r="D19" s="191">
        <v>31</v>
      </c>
      <c r="E19" s="192">
        <f>ROUND(B19/D19,4)</f>
        <v>1.6990000000000001</v>
      </c>
      <c r="F19" s="207">
        <f>ROUND(C19/D19,4)</f>
        <v>1.1093999999999999</v>
      </c>
      <c r="G19" s="193">
        <f>ROUND(E19+F19,4)</f>
        <v>2.8083999999999998</v>
      </c>
      <c r="H19" s="90">
        <v>2.0548999999999999</v>
      </c>
      <c r="J19" s="104"/>
    </row>
    <row r="20" spans="1:10" x14ac:dyDescent="0.25">
      <c r="A20" s="98" t="s">
        <v>177</v>
      </c>
      <c r="B20" s="191">
        <v>58.9343</v>
      </c>
      <c r="C20" s="192">
        <v>38.481000000000002</v>
      </c>
      <c r="D20" s="191">
        <v>30</v>
      </c>
      <c r="E20" s="192">
        <f t="shared" ref="E20:E30" si="0">ROUND(B20/D20,4)</f>
        <v>1.9644999999999999</v>
      </c>
      <c r="F20" s="207">
        <f t="shared" ref="F20:F30" si="1">ROUND(C20/D20,4)</f>
        <v>1.2827</v>
      </c>
      <c r="G20" s="193">
        <f>ROUND(E20+F20,4)</f>
        <v>3.2471999999999999</v>
      </c>
      <c r="H20" s="90">
        <v>2.6421000000000001</v>
      </c>
    </row>
    <row r="21" spans="1:10" x14ac:dyDescent="0.25">
      <c r="A21" s="98" t="s">
        <v>178</v>
      </c>
      <c r="B21" s="191">
        <v>77.906599999999997</v>
      </c>
      <c r="C21" s="192">
        <v>50.868899999999996</v>
      </c>
      <c r="D21" s="191">
        <v>31</v>
      </c>
      <c r="E21" s="192">
        <f t="shared" si="0"/>
        <v>2.5131000000000001</v>
      </c>
      <c r="F21" s="207">
        <f t="shared" si="1"/>
        <v>1.6409</v>
      </c>
      <c r="G21" s="193">
        <f>ROUND(E21+F21,4)</f>
        <v>4.1539999999999999</v>
      </c>
      <c r="H21" s="90">
        <v>2.8132999999999999</v>
      </c>
    </row>
    <row r="22" spans="1:10" x14ac:dyDescent="0.25">
      <c r="A22" s="98" t="s">
        <v>179</v>
      </c>
      <c r="B22" s="191">
        <v>85.587500000000006</v>
      </c>
      <c r="C22" s="192">
        <v>55.8842</v>
      </c>
      <c r="D22" s="191">
        <v>31</v>
      </c>
      <c r="E22" s="192">
        <f t="shared" si="0"/>
        <v>2.7608999999999999</v>
      </c>
      <c r="F22" s="207">
        <f t="shared" si="1"/>
        <v>1.8027</v>
      </c>
      <c r="G22" s="193">
        <f t="shared" ref="G22:G30" si="2">ROUND(E22+F22,4)</f>
        <v>4.5636000000000001</v>
      </c>
      <c r="H22" s="90">
        <v>2.8132999999999999</v>
      </c>
    </row>
    <row r="23" spans="1:10" x14ac:dyDescent="0.25">
      <c r="A23" s="100" t="s">
        <v>180</v>
      </c>
      <c r="B23" s="208">
        <v>72.367099999999994</v>
      </c>
      <c r="C23" s="209">
        <v>47.251899999999999</v>
      </c>
      <c r="D23" s="210">
        <v>28</v>
      </c>
      <c r="E23" s="192">
        <f t="shared" si="0"/>
        <v>2.5844999999999998</v>
      </c>
      <c r="F23" s="207">
        <f t="shared" si="1"/>
        <v>1.6876</v>
      </c>
      <c r="G23" s="193">
        <f t="shared" si="2"/>
        <v>4.2721</v>
      </c>
      <c r="H23" s="90">
        <v>2.8132999999999999</v>
      </c>
    </row>
    <row r="24" spans="1:10" x14ac:dyDescent="0.25">
      <c r="A24" s="98" t="s">
        <v>181</v>
      </c>
      <c r="B24" s="199">
        <v>60.350200000000001</v>
      </c>
      <c r="C24" s="192">
        <v>39.405500000000004</v>
      </c>
      <c r="D24" s="191">
        <v>31</v>
      </c>
      <c r="E24" s="192">
        <f t="shared" si="0"/>
        <v>1.9468000000000001</v>
      </c>
      <c r="F24" s="207">
        <f t="shared" si="1"/>
        <v>1.2710999999999999</v>
      </c>
      <c r="G24" s="193">
        <f t="shared" si="2"/>
        <v>3.2179000000000002</v>
      </c>
      <c r="H24" s="90">
        <v>2.8132999999999999</v>
      </c>
    </row>
    <row r="25" spans="1:10" x14ac:dyDescent="0.25">
      <c r="A25" s="98" t="s">
        <v>182</v>
      </c>
      <c r="B25" s="191">
        <v>54.155900000000003</v>
      </c>
      <c r="C25" s="192">
        <v>35.360999999999997</v>
      </c>
      <c r="D25" s="191">
        <v>30</v>
      </c>
      <c r="E25" s="192">
        <f t="shared" si="0"/>
        <v>1.8051999999999999</v>
      </c>
      <c r="F25" s="207">
        <f t="shared" si="1"/>
        <v>1.1787000000000001</v>
      </c>
      <c r="G25" s="193">
        <f t="shared" si="2"/>
        <v>2.9839000000000002</v>
      </c>
      <c r="H25" s="90">
        <v>2.3729</v>
      </c>
    </row>
    <row r="26" spans="1:10" x14ac:dyDescent="0.25">
      <c r="A26" s="98" t="s">
        <v>183</v>
      </c>
      <c r="B26" s="191">
        <v>47.731499999999997</v>
      </c>
      <c r="C26" s="192">
        <v>31.1662</v>
      </c>
      <c r="D26" s="191">
        <v>31</v>
      </c>
      <c r="E26" s="192">
        <f t="shared" si="0"/>
        <v>1.5397000000000001</v>
      </c>
      <c r="F26" s="207">
        <f t="shared" si="1"/>
        <v>1.0054000000000001</v>
      </c>
      <c r="G26" s="193">
        <f t="shared" si="2"/>
        <v>2.5451000000000001</v>
      </c>
      <c r="H26" s="90">
        <v>1.9816</v>
      </c>
    </row>
    <row r="27" spans="1:10" x14ac:dyDescent="0.25">
      <c r="A27" s="98" t="s">
        <v>184</v>
      </c>
      <c r="B27" s="191">
        <v>32.918300000000002</v>
      </c>
      <c r="C27" s="192">
        <v>21.4939</v>
      </c>
      <c r="D27" s="191">
        <v>30</v>
      </c>
      <c r="E27" s="192">
        <f t="shared" si="0"/>
        <v>1.0972999999999999</v>
      </c>
      <c r="F27" s="207">
        <f t="shared" si="1"/>
        <v>0.71650000000000003</v>
      </c>
      <c r="G27" s="193">
        <f t="shared" si="2"/>
        <v>1.8138000000000001</v>
      </c>
      <c r="H27" s="90">
        <v>1.7858000000000001</v>
      </c>
    </row>
    <row r="28" spans="1:10" x14ac:dyDescent="0.25">
      <c r="A28" s="98" t="s">
        <v>185</v>
      </c>
      <c r="B28" s="191">
        <v>34.5642</v>
      </c>
      <c r="C28" s="192">
        <v>22.5686</v>
      </c>
      <c r="D28" s="191">
        <v>31</v>
      </c>
      <c r="E28" s="192">
        <f t="shared" si="0"/>
        <v>1.115</v>
      </c>
      <c r="F28" s="207">
        <f t="shared" si="1"/>
        <v>0.72799999999999998</v>
      </c>
      <c r="G28" s="193">
        <f t="shared" si="2"/>
        <v>1.843</v>
      </c>
      <c r="H28" s="90">
        <v>1.8836999999999999</v>
      </c>
    </row>
    <row r="29" spans="1:10" x14ac:dyDescent="0.25">
      <c r="A29" s="100" t="s">
        <v>186</v>
      </c>
      <c r="B29" s="210">
        <v>30.1751</v>
      </c>
      <c r="C29" s="209">
        <v>19.7028</v>
      </c>
      <c r="D29" s="210">
        <v>31</v>
      </c>
      <c r="E29" s="192">
        <f t="shared" si="0"/>
        <v>0.97340000000000004</v>
      </c>
      <c r="F29" s="207">
        <f t="shared" si="1"/>
        <v>0.63560000000000005</v>
      </c>
      <c r="G29" s="193">
        <f t="shared" si="2"/>
        <v>1.609</v>
      </c>
      <c r="H29" s="90">
        <v>1.7614000000000001</v>
      </c>
    </row>
    <row r="30" spans="1:10" x14ac:dyDescent="0.25">
      <c r="A30" s="100" t="s">
        <v>187</v>
      </c>
      <c r="B30" s="210">
        <v>39.289499999999997</v>
      </c>
      <c r="C30" s="209">
        <v>25.654</v>
      </c>
      <c r="D30" s="210">
        <v>30</v>
      </c>
      <c r="E30" s="192">
        <f t="shared" si="0"/>
        <v>1.3097000000000001</v>
      </c>
      <c r="F30" s="207">
        <f t="shared" si="1"/>
        <v>0.85509999999999997</v>
      </c>
      <c r="G30" s="193">
        <f t="shared" si="2"/>
        <v>2.1648000000000001</v>
      </c>
      <c r="H30" s="90">
        <v>1.9326000000000001</v>
      </c>
    </row>
    <row r="31" spans="1:10" x14ac:dyDescent="0.25">
      <c r="A31" s="100"/>
      <c r="B31" s="88"/>
      <c r="C31" s="101"/>
      <c r="D31" s="88"/>
      <c r="E31" s="99"/>
      <c r="F31" s="211"/>
      <c r="G31" s="102">
        <f>AVERAGE(G19:G30)</f>
        <v>2.9352333333333331</v>
      </c>
      <c r="H31" s="88"/>
    </row>
    <row r="32" spans="1:10" x14ac:dyDescent="0.25">
      <c r="G32" s="103"/>
      <c r="H32" s="105">
        <f>G33/H33-1</f>
        <v>-7.2260647979614068E-2</v>
      </c>
    </row>
    <row r="33" spans="1:8" x14ac:dyDescent="0.25">
      <c r="A33" s="89" t="s">
        <v>92</v>
      </c>
      <c r="C33" s="212" t="s">
        <v>93</v>
      </c>
      <c r="E33" s="213">
        <f>B34+B35</f>
        <v>0.4965</v>
      </c>
      <c r="F33" s="213">
        <f>B34+B35+B36</f>
        <v>0.52290000000000003</v>
      </c>
      <c r="G33" s="214">
        <f>ROUND(E33+F33,4)</f>
        <v>1.0194000000000001</v>
      </c>
      <c r="H33" s="88">
        <v>1.0988</v>
      </c>
    </row>
    <row r="34" spans="1:8" x14ac:dyDescent="0.25">
      <c r="A34" t="s">
        <v>94</v>
      </c>
      <c r="B34" s="215">
        <v>0.20569999999999999</v>
      </c>
      <c r="C34" s="104">
        <v>0.1789</v>
      </c>
      <c r="D34" s="105">
        <f>B34/C34-1</f>
        <v>0.14980435997764108</v>
      </c>
      <c r="G34" s="103"/>
      <c r="H34" s="88"/>
    </row>
    <row r="35" spans="1:8" x14ac:dyDescent="0.25">
      <c r="A35" t="s">
        <v>95</v>
      </c>
      <c r="B35" s="215">
        <v>0.2908</v>
      </c>
      <c r="C35" s="104">
        <v>0.35849999999999999</v>
      </c>
      <c r="D35" s="105">
        <f>B35/C35-1</f>
        <v>-0.18884239888423981</v>
      </c>
      <c r="E35" s="104"/>
      <c r="G35" s="103"/>
      <c r="H35" s="101"/>
    </row>
    <row r="36" spans="1:8" ht="22.5" x14ac:dyDescent="0.25">
      <c r="A36" s="106" t="s">
        <v>96</v>
      </c>
      <c r="B36" s="215">
        <v>2.64E-2</v>
      </c>
      <c r="C36" s="104">
        <v>2.4E-2</v>
      </c>
      <c r="D36" s="105">
        <f>B36/C36-1</f>
        <v>9.9999999999999867E-2</v>
      </c>
      <c r="G36" s="103"/>
      <c r="H36" s="88"/>
    </row>
    <row r="37" spans="1:8" x14ac:dyDescent="0.25">
      <c r="A37" s="106"/>
      <c r="B37" s="104"/>
      <c r="D37" s="105"/>
      <c r="G37" s="103"/>
      <c r="H37" s="88"/>
    </row>
    <row r="38" spans="1:8" x14ac:dyDescent="0.25">
      <c r="B38" t="s">
        <v>85</v>
      </c>
      <c r="C38" t="s">
        <v>86</v>
      </c>
      <c r="E38" s="674" t="s">
        <v>97</v>
      </c>
      <c r="F38" s="674"/>
      <c r="G38" s="675"/>
      <c r="H38" s="105">
        <f>D40/H40-1</f>
        <v>2.499233552026503E-2</v>
      </c>
    </row>
    <row r="39" spans="1:8" x14ac:dyDescent="0.25">
      <c r="A39" s="107" t="s">
        <v>98</v>
      </c>
      <c r="E39" s="187"/>
      <c r="F39" s="187"/>
      <c r="G39" s="188"/>
      <c r="H39" s="105"/>
    </row>
    <row r="40" spans="1:8" x14ac:dyDescent="0.25">
      <c r="A40" s="190" t="s">
        <v>124</v>
      </c>
      <c r="B40" s="108">
        <v>5.0566000000000004</v>
      </c>
      <c r="C40" s="108">
        <v>3.3016999999999999</v>
      </c>
      <c r="D40" s="108">
        <f>B40+C40</f>
        <v>8.3582999999999998</v>
      </c>
      <c r="E40" s="216">
        <v>4.8072999999999997</v>
      </c>
      <c r="F40" s="216">
        <v>3.3472</v>
      </c>
      <c r="G40" s="217"/>
      <c r="H40" s="218">
        <v>8.1544999999999987</v>
      </c>
    </row>
    <row r="41" spans="1:8" x14ac:dyDescent="0.25">
      <c r="G41" s="103"/>
    </row>
    <row r="42" spans="1:8" x14ac:dyDescent="0.25">
      <c r="A42" s="93" t="s">
        <v>99</v>
      </c>
      <c r="G42" s="103"/>
      <c r="H42" s="105">
        <f>G43/H43-1</f>
        <v>0.17142106338871188</v>
      </c>
    </row>
    <row r="43" spans="1:8" x14ac:dyDescent="0.25">
      <c r="A43" s="98" t="s">
        <v>176</v>
      </c>
      <c r="B43" s="219">
        <v>2.4272</v>
      </c>
      <c r="C43" s="219">
        <v>1.5848</v>
      </c>
      <c r="D43" s="220">
        <v>1</v>
      </c>
      <c r="E43" s="220">
        <f>ROUND(B43/D43,4)</f>
        <v>2.4272</v>
      </c>
      <c r="F43" s="221">
        <f>ROUND(C43/D43,4)</f>
        <v>1.5848</v>
      </c>
      <c r="G43" s="214">
        <f>ROUND(E43+F43,4)</f>
        <v>4.0119999999999996</v>
      </c>
      <c r="H43" s="269">
        <v>3.4249000000000001</v>
      </c>
    </row>
    <row r="44" spans="1:8" x14ac:dyDescent="0.25">
      <c r="A44" s="98" t="s">
        <v>177</v>
      </c>
      <c r="B44" s="219">
        <v>2.8064</v>
      </c>
      <c r="C44" s="219">
        <v>1.8324</v>
      </c>
      <c r="D44" s="220">
        <v>1</v>
      </c>
      <c r="E44" s="220">
        <f>B44/D44</f>
        <v>2.8064</v>
      </c>
      <c r="F44" s="220">
        <f>C44/D44</f>
        <v>1.8324</v>
      </c>
      <c r="G44" s="214">
        <f>ROUND(E44+F44,4)</f>
        <v>4.6387999999999998</v>
      </c>
      <c r="H44" s="269">
        <v>4.4034000000000004</v>
      </c>
    </row>
    <row r="45" spans="1:8" x14ac:dyDescent="0.25">
      <c r="A45" s="98" t="s">
        <v>178</v>
      </c>
      <c r="B45" s="219">
        <v>3.5901999999999998</v>
      </c>
      <c r="C45" s="219">
        <v>2.3441999999999998</v>
      </c>
      <c r="D45" s="190">
        <v>1</v>
      </c>
      <c r="E45" s="190">
        <f>B45/D45</f>
        <v>3.5901999999999998</v>
      </c>
      <c r="F45" s="190">
        <f>C45/D45</f>
        <v>2.3441999999999998</v>
      </c>
      <c r="G45" s="214">
        <f>ROUND(E45+F45,4)</f>
        <v>5.9344000000000001</v>
      </c>
      <c r="H45" s="269">
        <v>4.6889000000000003</v>
      </c>
    </row>
    <row r="46" spans="1:8" x14ac:dyDescent="0.25">
      <c r="A46" s="98" t="s">
        <v>179</v>
      </c>
      <c r="B46" s="219">
        <v>3.9441000000000002</v>
      </c>
      <c r="C46" s="219">
        <v>2.5752999999999999</v>
      </c>
      <c r="D46" s="220">
        <v>1</v>
      </c>
      <c r="E46" s="220">
        <f>B46/D46</f>
        <v>3.9441000000000002</v>
      </c>
      <c r="F46" s="221">
        <f>C46/D46</f>
        <v>2.5752999999999999</v>
      </c>
      <c r="G46" s="214">
        <f>ROUND(E46+F46,4)</f>
        <v>6.5194000000000001</v>
      </c>
      <c r="H46" s="269">
        <v>4.6889000000000003</v>
      </c>
    </row>
    <row r="47" spans="1:8" x14ac:dyDescent="0.25">
      <c r="A47" s="100" t="s">
        <v>180</v>
      </c>
      <c r="B47" s="219">
        <v>3.5649000000000002</v>
      </c>
      <c r="C47" s="219">
        <v>2.3277000000000001</v>
      </c>
      <c r="D47" s="190">
        <v>1</v>
      </c>
      <c r="E47" s="190">
        <f t="shared" ref="E47:E54" si="3">B47/D47</f>
        <v>3.5649000000000002</v>
      </c>
      <c r="F47" s="190">
        <f t="shared" ref="F47:F54" si="4">C47/D47</f>
        <v>2.3277000000000001</v>
      </c>
      <c r="G47" s="214">
        <f t="shared" ref="G47:G54" si="5">ROUND(E47+F47,4)</f>
        <v>5.8925999999999998</v>
      </c>
      <c r="H47" s="269">
        <v>4.6889000000000003</v>
      </c>
    </row>
    <row r="48" spans="1:8" x14ac:dyDescent="0.25">
      <c r="A48" s="98" t="s">
        <v>181</v>
      </c>
      <c r="B48" s="219">
        <v>2.7810999999999999</v>
      </c>
      <c r="C48" s="219">
        <v>1.8159000000000001</v>
      </c>
      <c r="D48" s="220">
        <v>1</v>
      </c>
      <c r="E48" s="220">
        <f t="shared" si="3"/>
        <v>2.7810999999999999</v>
      </c>
      <c r="F48" s="220">
        <f t="shared" si="4"/>
        <v>1.8159000000000001</v>
      </c>
      <c r="G48" s="214">
        <f t="shared" si="5"/>
        <v>4.5970000000000004</v>
      </c>
      <c r="H48" s="269">
        <v>4.6889000000000003</v>
      </c>
    </row>
    <row r="49" spans="1:8" x14ac:dyDescent="0.25">
      <c r="A49" s="98" t="s">
        <v>182</v>
      </c>
      <c r="B49" s="219">
        <v>2.5789</v>
      </c>
      <c r="C49" s="219">
        <v>1.6839</v>
      </c>
      <c r="D49" s="220">
        <v>1</v>
      </c>
      <c r="E49" s="220">
        <f t="shared" si="3"/>
        <v>2.5789</v>
      </c>
      <c r="F49" s="220">
        <f t="shared" si="4"/>
        <v>1.6839</v>
      </c>
      <c r="G49" s="214">
        <f t="shared" si="5"/>
        <v>4.2628000000000004</v>
      </c>
      <c r="H49" s="270">
        <v>3.9548999999999999</v>
      </c>
    </row>
    <row r="50" spans="1:8" x14ac:dyDescent="0.25">
      <c r="A50" s="98" t="s">
        <v>183</v>
      </c>
      <c r="B50" s="219">
        <v>2.1996000000000002</v>
      </c>
      <c r="C50" s="219">
        <v>1.4361999999999999</v>
      </c>
      <c r="D50" s="220">
        <v>1</v>
      </c>
      <c r="E50" s="220">
        <f t="shared" si="3"/>
        <v>2.1996000000000002</v>
      </c>
      <c r="F50" s="220">
        <f t="shared" si="4"/>
        <v>1.4361999999999999</v>
      </c>
      <c r="G50" s="214">
        <f t="shared" si="5"/>
        <v>3.6358000000000001</v>
      </c>
      <c r="H50" s="270">
        <v>3.3025000000000002</v>
      </c>
    </row>
    <row r="51" spans="1:8" x14ac:dyDescent="0.25">
      <c r="A51" s="98" t="s">
        <v>184</v>
      </c>
      <c r="B51" s="219">
        <v>1.5674999999999999</v>
      </c>
      <c r="C51" s="219">
        <v>1.0235000000000001</v>
      </c>
      <c r="D51" s="220">
        <v>1</v>
      </c>
      <c r="E51" s="220">
        <f t="shared" si="3"/>
        <v>1.5674999999999999</v>
      </c>
      <c r="F51" s="220">
        <f t="shared" si="4"/>
        <v>1.0235000000000001</v>
      </c>
      <c r="G51" s="214">
        <f t="shared" si="5"/>
        <v>2.5910000000000002</v>
      </c>
      <c r="H51" s="270">
        <v>2.9763999999999999</v>
      </c>
    </row>
    <row r="52" spans="1:8" x14ac:dyDescent="0.25">
      <c r="A52" s="98" t="s">
        <v>185</v>
      </c>
      <c r="B52" s="219">
        <v>1.5928</v>
      </c>
      <c r="C52" s="219">
        <v>1.04</v>
      </c>
      <c r="D52" s="220">
        <v>1</v>
      </c>
      <c r="E52" s="220">
        <f t="shared" si="3"/>
        <v>1.5928</v>
      </c>
      <c r="F52" s="220">
        <f t="shared" si="4"/>
        <v>1.04</v>
      </c>
      <c r="G52" s="214">
        <f t="shared" si="5"/>
        <v>2.6328</v>
      </c>
      <c r="H52" s="270">
        <v>3.1395</v>
      </c>
    </row>
    <row r="53" spans="1:8" x14ac:dyDescent="0.25">
      <c r="A53" s="100" t="s">
        <v>186</v>
      </c>
      <c r="B53" s="219">
        <v>1.3906000000000001</v>
      </c>
      <c r="C53" s="219">
        <v>0.90800000000000003</v>
      </c>
      <c r="D53" s="190">
        <v>1</v>
      </c>
      <c r="E53" s="190">
        <f t="shared" si="3"/>
        <v>1.3906000000000001</v>
      </c>
      <c r="F53" s="190">
        <f t="shared" si="4"/>
        <v>0.90800000000000003</v>
      </c>
      <c r="G53" s="214">
        <f t="shared" si="5"/>
        <v>2.2986</v>
      </c>
      <c r="H53" s="270">
        <v>2.9356</v>
      </c>
    </row>
    <row r="54" spans="1:8" x14ac:dyDescent="0.25">
      <c r="A54" s="100" t="s">
        <v>187</v>
      </c>
      <c r="B54" s="219">
        <v>1.8709</v>
      </c>
      <c r="C54" s="219">
        <v>1.2216</v>
      </c>
      <c r="D54" s="190">
        <v>1</v>
      </c>
      <c r="E54" s="190">
        <f t="shared" si="3"/>
        <v>1.8709</v>
      </c>
      <c r="F54" s="190">
        <f t="shared" si="4"/>
        <v>1.2216</v>
      </c>
      <c r="G54" s="214">
        <f t="shared" si="5"/>
        <v>3.0924999999999998</v>
      </c>
      <c r="H54" s="270">
        <v>3.2210999999999999</v>
      </c>
    </row>
    <row r="55" spans="1:8" x14ac:dyDescent="0.25">
      <c r="A55" s="100"/>
      <c r="B55" s="109"/>
      <c r="C55" s="109"/>
      <c r="G55" s="110">
        <f>AVERAGE(G43:G54)</f>
        <v>4.1756416666666674</v>
      </c>
    </row>
    <row r="56" spans="1:8" x14ac:dyDescent="0.25">
      <c r="A56" s="93" t="s">
        <v>125</v>
      </c>
      <c r="G56" s="103"/>
      <c r="H56" s="105">
        <f>G57/H57-1</f>
        <v>0.17140454556072027</v>
      </c>
    </row>
    <row r="57" spans="1:8" x14ac:dyDescent="0.25">
      <c r="A57" s="98" t="s">
        <v>176</v>
      </c>
      <c r="B57" s="219">
        <v>3.0339</v>
      </c>
      <c r="C57" s="219">
        <v>1.9810000000000001</v>
      </c>
      <c r="D57" s="220">
        <v>1</v>
      </c>
      <c r="E57" s="220">
        <f>ROUND(B57/D57,4)</f>
        <v>3.0339</v>
      </c>
      <c r="F57" s="221">
        <f>ROUND(C57/D57,4)</f>
        <v>1.9810000000000001</v>
      </c>
      <c r="G57" s="214">
        <f>ROUND(E57+F57,4)</f>
        <v>5.0148999999999999</v>
      </c>
      <c r="H57">
        <v>4.2811000000000003</v>
      </c>
    </row>
    <row r="58" spans="1:8" x14ac:dyDescent="0.25">
      <c r="A58" s="98" t="s">
        <v>177</v>
      </c>
      <c r="B58" s="219">
        <v>3.508</v>
      </c>
      <c r="C58" s="219">
        <v>2.2905000000000002</v>
      </c>
      <c r="D58" s="220">
        <v>1</v>
      </c>
      <c r="E58" s="220">
        <f>B58/D58</f>
        <v>3.508</v>
      </c>
      <c r="F58" s="220">
        <f>C58/D58</f>
        <v>2.2905000000000002</v>
      </c>
      <c r="G58" s="214">
        <f>ROUND(E58+F58,4)</f>
        <v>5.7984999999999998</v>
      </c>
      <c r="H58">
        <v>5.5042999999999997</v>
      </c>
    </row>
    <row r="59" spans="1:8" x14ac:dyDescent="0.25">
      <c r="A59" s="98" t="s">
        <v>178</v>
      </c>
      <c r="B59" s="219">
        <v>4.4877000000000002</v>
      </c>
      <c r="C59" s="219">
        <v>2.9302000000000001</v>
      </c>
      <c r="D59" s="190">
        <v>1</v>
      </c>
      <c r="E59" s="190">
        <f>B59/D59</f>
        <v>4.4877000000000002</v>
      </c>
      <c r="F59" s="190">
        <f>C59/D59</f>
        <v>2.9302000000000001</v>
      </c>
      <c r="G59" s="214">
        <f>ROUND(E59+F59,4)</f>
        <v>7.4179000000000004</v>
      </c>
      <c r="H59">
        <v>5.8609999999999998</v>
      </c>
    </row>
    <row r="60" spans="1:8" x14ac:dyDescent="0.25">
      <c r="A60" s="98" t="s">
        <v>179</v>
      </c>
      <c r="B60" s="219">
        <v>4.9302000000000001</v>
      </c>
      <c r="C60" s="219">
        <v>3.2191000000000001</v>
      </c>
      <c r="D60" s="220">
        <v>1</v>
      </c>
      <c r="E60" s="220">
        <f>B60/D60</f>
        <v>4.9302000000000001</v>
      </c>
      <c r="F60" s="221">
        <f>C60/D60</f>
        <v>3.2191000000000001</v>
      </c>
      <c r="G60" s="214">
        <f>ROUND(E60+F60,4)</f>
        <v>8.1493000000000002</v>
      </c>
      <c r="H60">
        <v>5.8609999999999998</v>
      </c>
    </row>
    <row r="61" spans="1:8" x14ac:dyDescent="0.25">
      <c r="A61" s="100" t="s">
        <v>180</v>
      </c>
      <c r="B61" s="219">
        <v>4.4561000000000002</v>
      </c>
      <c r="C61" s="219">
        <v>2.9096000000000002</v>
      </c>
      <c r="D61" s="190">
        <v>1</v>
      </c>
      <c r="E61" s="190">
        <f t="shared" ref="E61:E68" si="6">B61/D61</f>
        <v>4.4561000000000002</v>
      </c>
      <c r="F61" s="190">
        <f t="shared" ref="F61:F68" si="7">C61/D61</f>
        <v>2.9096000000000002</v>
      </c>
      <c r="G61" s="214">
        <f t="shared" ref="G61:G68" si="8">ROUND(E61+F61,4)</f>
        <v>7.3657000000000004</v>
      </c>
      <c r="H61">
        <v>5.8609999999999998</v>
      </c>
    </row>
    <row r="62" spans="1:8" x14ac:dyDescent="0.25">
      <c r="A62" s="98" t="s">
        <v>181</v>
      </c>
      <c r="B62" s="219">
        <v>3.4763999999999999</v>
      </c>
      <c r="C62" s="219">
        <v>2.2698999999999998</v>
      </c>
      <c r="D62" s="220">
        <v>1</v>
      </c>
      <c r="E62" s="220">
        <f t="shared" si="6"/>
        <v>3.4763999999999999</v>
      </c>
      <c r="F62" s="220">
        <f t="shared" si="7"/>
        <v>2.2698999999999998</v>
      </c>
      <c r="G62" s="214">
        <f t="shared" si="8"/>
        <v>5.7462999999999997</v>
      </c>
      <c r="H62">
        <v>5.8609999999999998</v>
      </c>
    </row>
    <row r="63" spans="1:8" x14ac:dyDescent="0.25">
      <c r="A63" s="98" t="s">
        <v>182</v>
      </c>
      <c r="B63" s="219">
        <v>3.2235999999999998</v>
      </c>
      <c r="C63" s="219">
        <v>2.1048</v>
      </c>
      <c r="D63" s="220">
        <v>1</v>
      </c>
      <c r="E63" s="220">
        <f t="shared" si="6"/>
        <v>3.2235999999999998</v>
      </c>
      <c r="F63" s="220">
        <f t="shared" si="7"/>
        <v>2.1048</v>
      </c>
      <c r="G63" s="214">
        <f t="shared" si="8"/>
        <v>5.3284000000000002</v>
      </c>
      <c r="H63" s="222">
        <v>4.9436999999999998</v>
      </c>
    </row>
    <row r="64" spans="1:8" x14ac:dyDescent="0.25">
      <c r="A64" s="98" t="s">
        <v>183</v>
      </c>
      <c r="B64" s="219">
        <v>2.7494999999999998</v>
      </c>
      <c r="C64" s="219">
        <v>1.7952999999999999</v>
      </c>
      <c r="D64" s="220">
        <v>1</v>
      </c>
      <c r="E64" s="220">
        <f t="shared" si="6"/>
        <v>2.7494999999999998</v>
      </c>
      <c r="F64" s="220">
        <f t="shared" si="7"/>
        <v>1.7952999999999999</v>
      </c>
      <c r="G64" s="214">
        <f t="shared" si="8"/>
        <v>4.5448000000000004</v>
      </c>
      <c r="H64" s="222">
        <v>4.1281999999999996</v>
      </c>
    </row>
    <row r="65" spans="1:8" x14ac:dyDescent="0.25">
      <c r="A65" s="98" t="s">
        <v>184</v>
      </c>
      <c r="B65" s="219">
        <v>1.9594</v>
      </c>
      <c r="C65" s="219">
        <v>1.2794000000000001</v>
      </c>
      <c r="D65" s="220">
        <v>1</v>
      </c>
      <c r="E65" s="220">
        <f t="shared" si="6"/>
        <v>1.9594</v>
      </c>
      <c r="F65" s="220">
        <f t="shared" si="7"/>
        <v>1.2794000000000001</v>
      </c>
      <c r="G65" s="214">
        <f t="shared" si="8"/>
        <v>3.2387999999999999</v>
      </c>
      <c r="H65" s="222">
        <v>3.7204999999999999</v>
      </c>
    </row>
    <row r="66" spans="1:8" x14ac:dyDescent="0.25">
      <c r="A66" s="98" t="s">
        <v>185</v>
      </c>
      <c r="B66" s="219">
        <v>1.9910000000000001</v>
      </c>
      <c r="C66" s="219">
        <v>1.3</v>
      </c>
      <c r="D66" s="220">
        <v>1</v>
      </c>
      <c r="E66" s="220">
        <f t="shared" si="6"/>
        <v>1.9910000000000001</v>
      </c>
      <c r="F66" s="220">
        <f t="shared" si="7"/>
        <v>1.3</v>
      </c>
      <c r="G66" s="214">
        <f t="shared" si="8"/>
        <v>3.2909999999999999</v>
      </c>
      <c r="H66" s="222">
        <v>3.9243999999999999</v>
      </c>
    </row>
    <row r="67" spans="1:8" x14ac:dyDescent="0.25">
      <c r="A67" s="100" t="s">
        <v>186</v>
      </c>
      <c r="B67" s="219">
        <v>1.7382</v>
      </c>
      <c r="C67" s="219">
        <v>1.135</v>
      </c>
      <c r="D67" s="190">
        <v>1</v>
      </c>
      <c r="E67" s="190">
        <f t="shared" si="6"/>
        <v>1.7382</v>
      </c>
      <c r="F67" s="190">
        <f t="shared" si="7"/>
        <v>1.135</v>
      </c>
      <c r="G67" s="214">
        <f t="shared" si="8"/>
        <v>2.8732000000000002</v>
      </c>
      <c r="H67" s="222">
        <v>3.6696</v>
      </c>
    </row>
    <row r="68" spans="1:8" x14ac:dyDescent="0.25">
      <c r="A68" s="100" t="s">
        <v>187</v>
      </c>
      <c r="B68" s="219">
        <v>2.3386999999999998</v>
      </c>
      <c r="C68" s="219">
        <v>1.5269999999999999</v>
      </c>
      <c r="D68" s="190">
        <v>1</v>
      </c>
      <c r="E68" s="190">
        <f t="shared" si="6"/>
        <v>2.3386999999999998</v>
      </c>
      <c r="F68" s="190">
        <f t="shared" si="7"/>
        <v>1.5269999999999999</v>
      </c>
      <c r="G68" s="214">
        <f t="shared" si="8"/>
        <v>3.8656999999999999</v>
      </c>
      <c r="H68" s="222">
        <v>4.0263</v>
      </c>
    </row>
    <row r="69" spans="1:8" x14ac:dyDescent="0.25">
      <c r="G69">
        <f>AVERAGE(G57:G68)</f>
        <v>5.2195416666666663</v>
      </c>
      <c r="H69" s="89"/>
    </row>
  </sheetData>
  <mergeCells count="2">
    <mergeCell ref="A1:H1"/>
    <mergeCell ref="E38:G38"/>
  </mergeCells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FF0000"/>
  </sheetPr>
  <dimension ref="B1:F34"/>
  <sheetViews>
    <sheetView zoomScale="85" zoomScaleNormal="85" workbookViewId="0">
      <selection activeCell="B4" sqref="B4"/>
    </sheetView>
  </sheetViews>
  <sheetFormatPr defaultColWidth="8.85546875" defaultRowHeight="15" x14ac:dyDescent="0.25"/>
  <cols>
    <col min="1" max="1" width="8.85546875" style="1"/>
    <col min="2" max="2" width="12.42578125" style="1" bestFit="1" customWidth="1"/>
    <col min="3" max="3" width="12.140625" style="1" bestFit="1" customWidth="1"/>
    <col min="4" max="4" width="10.140625" style="1" bestFit="1" customWidth="1"/>
    <col min="5" max="5" width="10.7109375" style="1" bestFit="1" customWidth="1"/>
    <col min="6" max="6" width="12.5703125" style="1" bestFit="1" customWidth="1"/>
    <col min="7" max="7" width="9.5703125" style="1" bestFit="1" customWidth="1"/>
    <col min="8" max="8" width="14.7109375" style="1" bestFit="1" customWidth="1"/>
    <col min="9" max="9" width="19.28515625" style="1" bestFit="1" customWidth="1"/>
    <col min="10" max="10" width="11.28515625" style="1" bestFit="1" customWidth="1"/>
    <col min="11" max="16384" width="8.85546875" style="1"/>
  </cols>
  <sheetData>
    <row r="1" spans="2:6" ht="15.75" thickBot="1" x14ac:dyDescent="0.3"/>
    <row r="2" spans="2:6" x14ac:dyDescent="0.25">
      <c r="B2" s="688" t="s">
        <v>150</v>
      </c>
      <c r="C2" s="689"/>
      <c r="D2" s="689"/>
      <c r="E2" s="690"/>
    </row>
    <row r="3" spans="2:6" x14ac:dyDescent="0.25">
      <c r="B3" s="26" t="s">
        <v>8</v>
      </c>
      <c r="C3" s="52" t="s">
        <v>27</v>
      </c>
      <c r="D3" s="52" t="s">
        <v>6</v>
      </c>
      <c r="E3" s="35" t="s">
        <v>144</v>
      </c>
    </row>
    <row r="4" spans="2:6" x14ac:dyDescent="0.25">
      <c r="B4" s="47">
        <v>45383</v>
      </c>
      <c r="C4" s="49"/>
      <c r="D4" s="49"/>
      <c r="E4" s="48"/>
      <c r="F4" s="3"/>
    </row>
    <row r="5" spans="2:6" x14ac:dyDescent="0.25">
      <c r="B5" s="47">
        <f>+B4+1</f>
        <v>45384</v>
      </c>
      <c r="C5" s="49"/>
      <c r="D5" s="49"/>
      <c r="E5" s="48"/>
      <c r="F5" s="3"/>
    </row>
    <row r="6" spans="2:6" x14ac:dyDescent="0.25">
      <c r="B6" s="47">
        <f t="shared" ref="B6:B33" si="0">+B5+1</f>
        <v>45385</v>
      </c>
      <c r="C6" s="49"/>
      <c r="D6" s="49"/>
      <c r="E6" s="48"/>
      <c r="F6" s="3"/>
    </row>
    <row r="7" spans="2:6" x14ac:dyDescent="0.25">
      <c r="B7" s="47">
        <f t="shared" si="0"/>
        <v>45386</v>
      </c>
      <c r="C7" s="49"/>
      <c r="D7" s="49"/>
      <c r="E7" s="48"/>
      <c r="F7" s="3"/>
    </row>
    <row r="8" spans="2:6" x14ac:dyDescent="0.25">
      <c r="B8" s="47">
        <f t="shared" si="0"/>
        <v>45387</v>
      </c>
      <c r="C8" s="49"/>
      <c r="D8" s="49"/>
      <c r="E8" s="48"/>
      <c r="F8" s="3"/>
    </row>
    <row r="9" spans="2:6" x14ac:dyDescent="0.25">
      <c r="B9" s="47">
        <f t="shared" si="0"/>
        <v>45388</v>
      </c>
      <c r="C9" s="49"/>
      <c r="D9" s="49"/>
      <c r="E9" s="48"/>
      <c r="F9" s="3"/>
    </row>
    <row r="10" spans="2:6" x14ac:dyDescent="0.25">
      <c r="B10" s="47">
        <f t="shared" si="0"/>
        <v>45389</v>
      </c>
      <c r="C10" s="49"/>
      <c r="D10" s="49"/>
      <c r="E10" s="48"/>
      <c r="F10" s="3"/>
    </row>
    <row r="11" spans="2:6" x14ac:dyDescent="0.25">
      <c r="B11" s="47">
        <f t="shared" si="0"/>
        <v>45390</v>
      </c>
      <c r="C11" s="49"/>
      <c r="D11" s="49"/>
      <c r="E11" s="48"/>
      <c r="F11" s="3"/>
    </row>
    <row r="12" spans="2:6" x14ac:dyDescent="0.25">
      <c r="B12" s="47">
        <f t="shared" si="0"/>
        <v>45391</v>
      </c>
      <c r="C12" s="49"/>
      <c r="D12" s="49"/>
      <c r="E12" s="48"/>
      <c r="F12" s="3"/>
    </row>
    <row r="13" spans="2:6" x14ac:dyDescent="0.25">
      <c r="B13" s="47">
        <f t="shared" si="0"/>
        <v>45392</v>
      </c>
      <c r="C13" s="49"/>
      <c r="D13" s="49"/>
      <c r="E13" s="48"/>
      <c r="F13" s="3"/>
    </row>
    <row r="14" spans="2:6" x14ac:dyDescent="0.25">
      <c r="B14" s="47">
        <f t="shared" si="0"/>
        <v>45393</v>
      </c>
      <c r="C14" s="49"/>
      <c r="D14" s="49"/>
      <c r="E14" s="48"/>
      <c r="F14" s="3"/>
    </row>
    <row r="15" spans="2:6" x14ac:dyDescent="0.25">
      <c r="B15" s="47">
        <f t="shared" si="0"/>
        <v>45394</v>
      </c>
      <c r="C15" s="49"/>
      <c r="D15" s="49"/>
      <c r="E15" s="48"/>
      <c r="F15" s="3"/>
    </row>
    <row r="16" spans="2:6" x14ac:dyDescent="0.25">
      <c r="B16" s="47">
        <f t="shared" si="0"/>
        <v>45395</v>
      </c>
      <c r="C16" s="49"/>
      <c r="D16" s="49"/>
      <c r="E16" s="48"/>
      <c r="F16" s="3"/>
    </row>
    <row r="17" spans="2:6" x14ac:dyDescent="0.25">
      <c r="B17" s="47">
        <f t="shared" si="0"/>
        <v>45396</v>
      </c>
      <c r="C17" s="49"/>
      <c r="D17" s="49"/>
      <c r="E17" s="48"/>
      <c r="F17" s="3"/>
    </row>
    <row r="18" spans="2:6" x14ac:dyDescent="0.25">
      <c r="B18" s="47">
        <f t="shared" si="0"/>
        <v>45397</v>
      </c>
      <c r="C18" s="49"/>
      <c r="D18" s="49"/>
      <c r="E18" s="48"/>
      <c r="F18" s="3"/>
    </row>
    <row r="19" spans="2:6" x14ac:dyDescent="0.25">
      <c r="B19" s="47">
        <f t="shared" si="0"/>
        <v>45398</v>
      </c>
      <c r="C19" s="49"/>
      <c r="D19" s="49"/>
      <c r="E19" s="48"/>
      <c r="F19" s="3"/>
    </row>
    <row r="20" spans="2:6" x14ac:dyDescent="0.25">
      <c r="B20" s="47">
        <f t="shared" si="0"/>
        <v>45399</v>
      </c>
      <c r="C20" s="49"/>
      <c r="D20" s="49"/>
      <c r="E20" s="48"/>
      <c r="F20" s="3"/>
    </row>
    <row r="21" spans="2:6" x14ac:dyDescent="0.25">
      <c r="B21" s="47">
        <f t="shared" si="0"/>
        <v>45400</v>
      </c>
      <c r="C21" s="49"/>
      <c r="D21" s="49"/>
      <c r="E21" s="48"/>
      <c r="F21" s="3"/>
    </row>
    <row r="22" spans="2:6" x14ac:dyDescent="0.25">
      <c r="B22" s="47">
        <f t="shared" si="0"/>
        <v>45401</v>
      </c>
      <c r="C22" s="49"/>
      <c r="D22" s="49"/>
      <c r="E22" s="48"/>
      <c r="F22" s="3"/>
    </row>
    <row r="23" spans="2:6" x14ac:dyDescent="0.25">
      <c r="B23" s="47">
        <f t="shared" si="0"/>
        <v>45402</v>
      </c>
      <c r="C23" s="49"/>
      <c r="D23" s="49"/>
      <c r="E23" s="48"/>
      <c r="F23" s="3"/>
    </row>
    <row r="24" spans="2:6" x14ac:dyDescent="0.25">
      <c r="B24" s="47">
        <f t="shared" si="0"/>
        <v>45403</v>
      </c>
      <c r="C24" s="49"/>
      <c r="D24" s="49"/>
      <c r="E24" s="48"/>
      <c r="F24" s="3"/>
    </row>
    <row r="25" spans="2:6" x14ac:dyDescent="0.25">
      <c r="B25" s="47">
        <f t="shared" si="0"/>
        <v>45404</v>
      </c>
      <c r="C25" s="49"/>
      <c r="D25" s="49"/>
      <c r="E25" s="48"/>
      <c r="F25" s="3"/>
    </row>
    <row r="26" spans="2:6" x14ac:dyDescent="0.25">
      <c r="B26" s="47">
        <f t="shared" si="0"/>
        <v>45405</v>
      </c>
      <c r="C26" s="49"/>
      <c r="D26" s="49"/>
      <c r="E26" s="48"/>
      <c r="F26" s="3"/>
    </row>
    <row r="27" spans="2:6" x14ac:dyDescent="0.25">
      <c r="B27" s="47">
        <f t="shared" si="0"/>
        <v>45406</v>
      </c>
      <c r="C27" s="49"/>
      <c r="D27" s="49"/>
      <c r="E27" s="48"/>
      <c r="F27" s="3"/>
    </row>
    <row r="28" spans="2:6" x14ac:dyDescent="0.25">
      <c r="B28" s="47">
        <f t="shared" si="0"/>
        <v>45407</v>
      </c>
      <c r="C28" s="49"/>
      <c r="D28" s="49"/>
      <c r="E28" s="48"/>
      <c r="F28" s="3"/>
    </row>
    <row r="29" spans="2:6" x14ac:dyDescent="0.25">
      <c r="B29" s="47">
        <f t="shared" si="0"/>
        <v>45408</v>
      </c>
      <c r="C29" s="49"/>
      <c r="D29" s="49"/>
      <c r="E29" s="48"/>
      <c r="F29" s="3"/>
    </row>
    <row r="30" spans="2:6" x14ac:dyDescent="0.25">
      <c r="B30" s="47">
        <f t="shared" si="0"/>
        <v>45409</v>
      </c>
      <c r="C30" s="49"/>
      <c r="D30" s="49"/>
      <c r="E30" s="48"/>
      <c r="F30" s="3"/>
    </row>
    <row r="31" spans="2:6" x14ac:dyDescent="0.25">
      <c r="B31" s="47">
        <f t="shared" si="0"/>
        <v>45410</v>
      </c>
      <c r="C31" s="49"/>
      <c r="D31" s="49"/>
      <c r="E31" s="48"/>
      <c r="F31" s="3"/>
    </row>
    <row r="32" spans="2:6" x14ac:dyDescent="0.25">
      <c r="B32" s="47">
        <f t="shared" si="0"/>
        <v>45411</v>
      </c>
      <c r="C32" s="49"/>
      <c r="D32" s="49"/>
      <c r="E32" s="48"/>
      <c r="F32" s="3"/>
    </row>
    <row r="33" spans="2:6" x14ac:dyDescent="0.25">
      <c r="B33" s="47">
        <f t="shared" si="0"/>
        <v>45412</v>
      </c>
      <c r="C33" s="49"/>
      <c r="D33" s="49"/>
      <c r="E33" s="48"/>
      <c r="F33" s="3"/>
    </row>
    <row r="34" spans="2:6" x14ac:dyDescent="0.25">
      <c r="D34" s="16">
        <f>SUM(D4:D33)</f>
        <v>0</v>
      </c>
      <c r="E34" s="185" t="e">
        <f>+F34/D34</f>
        <v>#DIV/0!</v>
      </c>
      <c r="F34" s="16"/>
    </row>
  </sheetData>
  <mergeCells count="1">
    <mergeCell ref="B2:E2"/>
  </mergeCells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0000"/>
  </sheetPr>
  <dimension ref="B1:N34"/>
  <sheetViews>
    <sheetView zoomScale="70" zoomScaleNormal="70" workbookViewId="0">
      <selection activeCell="K31" sqref="K31"/>
    </sheetView>
  </sheetViews>
  <sheetFormatPr defaultColWidth="8.85546875" defaultRowHeight="15" x14ac:dyDescent="0.25"/>
  <cols>
    <col min="1" max="1" width="8.85546875" style="1"/>
    <col min="2" max="2" width="12" style="1" bestFit="1" customWidth="1"/>
    <col min="3" max="3" width="9.7109375" style="1" bestFit="1" customWidth="1"/>
    <col min="4" max="4" width="12.140625" style="1" bestFit="1" customWidth="1"/>
    <col min="5" max="5" width="10.140625" style="1" bestFit="1" customWidth="1"/>
    <col min="6" max="6" width="5.140625" style="1" bestFit="1" customWidth="1"/>
    <col min="7" max="7" width="10.7109375" style="1" bestFit="1" customWidth="1"/>
    <col min="8" max="8" width="15.42578125" style="1" bestFit="1" customWidth="1"/>
    <col min="9" max="9" width="13" style="1" customWidth="1"/>
    <col min="10" max="10" width="17.5703125" style="69" customWidth="1"/>
    <col min="11" max="11" width="13.28515625" style="1" customWidth="1"/>
    <col min="12" max="12" width="17.42578125" style="1" customWidth="1"/>
    <col min="13" max="13" width="19.140625" style="1" bestFit="1" customWidth="1"/>
    <col min="14" max="14" width="12.5703125" style="1" bestFit="1" customWidth="1"/>
    <col min="15" max="16384" width="8.85546875" style="1"/>
  </cols>
  <sheetData>
    <row r="1" spans="2:14" ht="58.5" thickBot="1" x14ac:dyDescent="0.3">
      <c r="H1" s="81" t="s">
        <v>102</v>
      </c>
      <c r="I1" s="78"/>
      <c r="J1" s="78"/>
      <c r="L1" s="680" t="s">
        <v>29</v>
      </c>
      <c r="M1" s="680"/>
    </row>
    <row r="2" spans="2:14" ht="15.75" thickBot="1" x14ac:dyDescent="0.3">
      <c r="B2" s="688" t="s">
        <v>131</v>
      </c>
      <c r="C2" s="689"/>
      <c r="D2" s="689"/>
      <c r="E2" s="689"/>
      <c r="F2" s="689"/>
      <c r="G2" s="690"/>
      <c r="H2" s="691" t="s">
        <v>71</v>
      </c>
      <c r="I2" s="679"/>
      <c r="J2" s="692"/>
      <c r="L2" s="2" t="s">
        <v>100</v>
      </c>
      <c r="M2" s="2" t="s">
        <v>81</v>
      </c>
      <c r="N2" s="1" t="s">
        <v>112</v>
      </c>
    </row>
    <row r="3" spans="2:14" ht="43.5" x14ac:dyDescent="0.25">
      <c r="B3" s="26" t="s">
        <v>8</v>
      </c>
      <c r="C3" s="46" t="s">
        <v>22</v>
      </c>
      <c r="D3" s="52" t="s">
        <v>27</v>
      </c>
      <c r="E3" s="52" t="s">
        <v>6</v>
      </c>
      <c r="F3" s="52" t="s">
        <v>21</v>
      </c>
      <c r="G3" s="35" t="s">
        <v>28</v>
      </c>
      <c r="H3" s="26" t="s">
        <v>65</v>
      </c>
      <c r="I3" s="81" t="s">
        <v>105</v>
      </c>
      <c r="J3" s="35" t="s">
        <v>72</v>
      </c>
      <c r="K3" s="69"/>
      <c r="L3" s="111"/>
      <c r="M3" s="111"/>
      <c r="N3" s="111"/>
    </row>
    <row r="4" spans="2:14" x14ac:dyDescent="0.25">
      <c r="B4" s="47">
        <v>45383</v>
      </c>
      <c r="C4" s="22"/>
      <c r="D4" s="22"/>
      <c r="E4" s="22">
        <f>+Плевен!E4</f>
        <v>0.85399999999999998</v>
      </c>
      <c r="F4" s="21"/>
      <c r="G4" s="48"/>
      <c r="H4" s="57"/>
      <c r="I4" s="76"/>
      <c r="J4" s="73"/>
      <c r="K4" s="124"/>
    </row>
    <row r="5" spans="2:14" x14ac:dyDescent="0.25">
      <c r="B5" s="47">
        <f>+B4+1</f>
        <v>45384</v>
      </c>
      <c r="C5" s="22"/>
      <c r="D5" s="22"/>
      <c r="E5" s="22">
        <f>+Плевен!E5</f>
        <v>0</v>
      </c>
      <c r="F5" s="21"/>
      <c r="G5" s="48"/>
      <c r="H5" s="57"/>
      <c r="I5" s="76"/>
      <c r="J5" s="73"/>
      <c r="K5" s="124"/>
    </row>
    <row r="6" spans="2:14" x14ac:dyDescent="0.25">
      <c r="B6" s="47">
        <f t="shared" ref="B6:B33" si="0">+B5+1</f>
        <v>45385</v>
      </c>
      <c r="C6" s="22"/>
      <c r="D6" s="22"/>
      <c r="E6" s="22">
        <f>+Плевен!E6</f>
        <v>1.153</v>
      </c>
      <c r="F6" s="21"/>
      <c r="G6" s="48"/>
      <c r="H6" s="57"/>
      <c r="I6" s="76"/>
      <c r="J6" s="73"/>
      <c r="K6" s="124"/>
    </row>
    <row r="7" spans="2:14" x14ac:dyDescent="0.25">
      <c r="B7" s="47">
        <f t="shared" si="0"/>
        <v>45386</v>
      </c>
      <c r="C7" s="22"/>
      <c r="D7" s="22"/>
      <c r="E7" s="22">
        <f>+Плевен!E7</f>
        <v>1.804</v>
      </c>
      <c r="F7" s="21"/>
      <c r="G7" s="48"/>
      <c r="H7" s="57"/>
      <c r="I7" s="76"/>
      <c r="J7" s="73"/>
      <c r="K7" s="124"/>
    </row>
    <row r="8" spans="2:14" x14ac:dyDescent="0.25">
      <c r="B8" s="47">
        <f t="shared" si="0"/>
        <v>45387</v>
      </c>
      <c r="C8" s="22"/>
      <c r="D8" s="22"/>
      <c r="E8" s="22">
        <f>+Плевен!E8</f>
        <v>0</v>
      </c>
      <c r="F8" s="21"/>
      <c r="G8" s="53"/>
      <c r="H8" s="57"/>
      <c r="I8" s="76"/>
      <c r="J8" s="73"/>
      <c r="K8" s="124"/>
    </row>
    <row r="9" spans="2:14" x14ac:dyDescent="0.25">
      <c r="B9" s="47">
        <f t="shared" si="0"/>
        <v>45388</v>
      </c>
      <c r="C9" s="22"/>
      <c r="D9" s="22"/>
      <c r="E9" s="22">
        <f>+Плевен!E9</f>
        <v>0</v>
      </c>
      <c r="F9" s="21"/>
      <c r="G9" s="53"/>
      <c r="H9" s="57"/>
      <c r="I9" s="76"/>
      <c r="J9" s="73"/>
      <c r="K9" s="124"/>
    </row>
    <row r="10" spans="2:14" x14ac:dyDescent="0.25">
      <c r="B10" s="47">
        <f t="shared" si="0"/>
        <v>45389</v>
      </c>
      <c r="C10" s="22"/>
      <c r="D10" s="22"/>
      <c r="E10" s="22">
        <f>+Плевен!E10</f>
        <v>0</v>
      </c>
      <c r="F10" s="21"/>
      <c r="G10" s="54"/>
      <c r="H10" s="57"/>
      <c r="I10" s="76"/>
      <c r="J10" s="73"/>
      <c r="K10" s="124"/>
    </row>
    <row r="11" spans="2:14" x14ac:dyDescent="0.25">
      <c r="B11" s="47">
        <f t="shared" si="0"/>
        <v>45390</v>
      </c>
      <c r="C11" s="22"/>
      <c r="D11" s="22"/>
      <c r="E11" s="22">
        <f>+Плевен!E11</f>
        <v>2.5190000000000001</v>
      </c>
      <c r="F11" s="21"/>
      <c r="G11" s="55"/>
      <c r="H11" s="57"/>
      <c r="I11" s="76"/>
      <c r="J11" s="73"/>
      <c r="K11" s="124"/>
    </row>
    <row r="12" spans="2:14" x14ac:dyDescent="0.25">
      <c r="B12" s="47">
        <f t="shared" si="0"/>
        <v>45391</v>
      </c>
      <c r="C12" s="22"/>
      <c r="D12" s="22"/>
      <c r="E12" s="22">
        <f>+Плевен!E12</f>
        <v>0.98199999999999998</v>
      </c>
      <c r="F12" s="21"/>
      <c r="G12" s="54"/>
      <c r="H12" s="57"/>
      <c r="I12" s="76"/>
      <c r="J12" s="73"/>
      <c r="K12" s="124"/>
    </row>
    <row r="13" spans="2:14" x14ac:dyDescent="0.25">
      <c r="B13" s="47">
        <f t="shared" si="0"/>
        <v>45392</v>
      </c>
      <c r="C13" s="22"/>
      <c r="D13" s="22"/>
      <c r="E13" s="22">
        <f>+Плевен!E13</f>
        <v>0.93899999999999995</v>
      </c>
      <c r="F13" s="21"/>
      <c r="G13" s="56"/>
      <c r="H13" s="57"/>
      <c r="I13" s="76"/>
      <c r="J13" s="73"/>
      <c r="K13" s="124"/>
    </row>
    <row r="14" spans="2:14" x14ac:dyDescent="0.25">
      <c r="B14" s="47">
        <f t="shared" si="0"/>
        <v>45393</v>
      </c>
      <c r="C14" s="22"/>
      <c r="D14" s="22"/>
      <c r="E14" s="22">
        <f>+Плевен!E14</f>
        <v>0.70499999999999996</v>
      </c>
      <c r="F14" s="21"/>
      <c r="G14" s="54"/>
      <c r="H14" s="57"/>
      <c r="I14" s="76"/>
      <c r="J14" s="73"/>
      <c r="K14" s="124"/>
    </row>
    <row r="15" spans="2:14" x14ac:dyDescent="0.25">
      <c r="B15" s="47">
        <f t="shared" si="0"/>
        <v>45394</v>
      </c>
      <c r="C15" s="22"/>
      <c r="D15" s="22"/>
      <c r="E15" s="22">
        <f>+Плевен!E15</f>
        <v>0</v>
      </c>
      <c r="F15" s="21"/>
      <c r="G15" s="54"/>
      <c r="H15" s="57"/>
      <c r="I15" s="76"/>
      <c r="J15" s="73"/>
      <c r="K15" s="124"/>
    </row>
    <row r="16" spans="2:14" x14ac:dyDescent="0.25">
      <c r="B16" s="47">
        <f t="shared" si="0"/>
        <v>45395</v>
      </c>
      <c r="C16" s="22"/>
      <c r="D16" s="22"/>
      <c r="E16" s="22">
        <f>+Плевен!E16</f>
        <v>0</v>
      </c>
      <c r="F16" s="21"/>
      <c r="G16" s="54"/>
      <c r="H16" s="57"/>
      <c r="I16" s="76"/>
      <c r="J16" s="73"/>
      <c r="K16" s="124"/>
    </row>
    <row r="17" spans="2:11" x14ac:dyDescent="0.25">
      <c r="B17" s="47">
        <f t="shared" si="0"/>
        <v>45396</v>
      </c>
      <c r="C17" s="22"/>
      <c r="D17" s="22"/>
      <c r="E17" s="22">
        <f>+Плевен!E17</f>
        <v>0</v>
      </c>
      <c r="F17" s="21"/>
      <c r="G17" s="54"/>
      <c r="H17" s="57"/>
      <c r="I17" s="76"/>
      <c r="J17" s="73"/>
      <c r="K17" s="124"/>
    </row>
    <row r="18" spans="2:11" x14ac:dyDescent="0.25">
      <c r="B18" s="47">
        <f t="shared" si="0"/>
        <v>45397</v>
      </c>
      <c r="C18" s="22"/>
      <c r="D18" s="22"/>
      <c r="E18" s="22">
        <f>+Плевен!E18</f>
        <v>1.591</v>
      </c>
      <c r="F18" s="21"/>
      <c r="G18" s="54"/>
      <c r="H18" s="57"/>
      <c r="I18" s="76"/>
      <c r="J18" s="73"/>
      <c r="K18" s="124"/>
    </row>
    <row r="19" spans="2:11" x14ac:dyDescent="0.25">
      <c r="B19" s="47">
        <f t="shared" si="0"/>
        <v>45398</v>
      </c>
      <c r="C19" s="22"/>
      <c r="D19" s="22"/>
      <c r="E19" s="22">
        <f>+Плевен!E19</f>
        <v>0</v>
      </c>
      <c r="F19" s="21"/>
      <c r="G19" s="54"/>
      <c r="H19" s="57"/>
      <c r="I19" s="76"/>
      <c r="J19" s="73"/>
      <c r="K19" s="124"/>
    </row>
    <row r="20" spans="2:11" x14ac:dyDescent="0.25">
      <c r="B20" s="47">
        <f t="shared" si="0"/>
        <v>45399</v>
      </c>
      <c r="C20" s="22"/>
      <c r="D20" s="22"/>
      <c r="E20" s="22">
        <f>+Плевен!E20</f>
        <v>0</v>
      </c>
      <c r="F20" s="21"/>
      <c r="G20" s="54"/>
      <c r="H20" s="57"/>
      <c r="I20" s="76"/>
      <c r="J20" s="73"/>
      <c r="K20" s="124"/>
    </row>
    <row r="21" spans="2:11" x14ac:dyDescent="0.25">
      <c r="B21" s="47">
        <f t="shared" si="0"/>
        <v>45400</v>
      </c>
      <c r="C21" s="22"/>
      <c r="D21" s="22"/>
      <c r="E21" s="22">
        <f>+Плевен!E21</f>
        <v>0</v>
      </c>
      <c r="F21" s="21"/>
      <c r="G21" s="54"/>
      <c r="H21" s="57"/>
      <c r="I21" s="76"/>
      <c r="J21" s="73"/>
      <c r="K21" s="124"/>
    </row>
    <row r="22" spans="2:11" x14ac:dyDescent="0.25">
      <c r="B22" s="47">
        <f t="shared" si="0"/>
        <v>45401</v>
      </c>
      <c r="C22" s="22"/>
      <c r="D22" s="22"/>
      <c r="E22" s="22">
        <f>+Плевен!E22</f>
        <v>0</v>
      </c>
      <c r="F22" s="21"/>
      <c r="G22" s="54"/>
      <c r="H22" s="57"/>
      <c r="I22" s="76"/>
      <c r="J22" s="73"/>
      <c r="K22" s="124"/>
    </row>
    <row r="23" spans="2:11" x14ac:dyDescent="0.25">
      <c r="B23" s="47">
        <f t="shared" si="0"/>
        <v>45402</v>
      </c>
      <c r="C23" s="22"/>
      <c r="D23" s="22"/>
      <c r="E23" s="22">
        <f>+Плевен!E23</f>
        <v>0</v>
      </c>
      <c r="F23" s="21"/>
      <c r="G23" s="54"/>
      <c r="H23" s="57"/>
      <c r="I23" s="76"/>
      <c r="J23" s="73"/>
      <c r="K23" s="124"/>
    </row>
    <row r="24" spans="2:11" x14ac:dyDescent="0.25">
      <c r="B24" s="47">
        <f t="shared" si="0"/>
        <v>45403</v>
      </c>
      <c r="C24" s="22"/>
      <c r="D24" s="22"/>
      <c r="E24" s="22">
        <f>+Плевен!E24</f>
        <v>0</v>
      </c>
      <c r="F24" s="21"/>
      <c r="G24" s="54"/>
      <c r="H24" s="57"/>
      <c r="I24" s="76"/>
      <c r="J24" s="73"/>
      <c r="K24" s="124"/>
    </row>
    <row r="25" spans="2:11" x14ac:dyDescent="0.25">
      <c r="B25" s="47">
        <f t="shared" si="0"/>
        <v>45404</v>
      </c>
      <c r="C25" s="22"/>
      <c r="D25" s="22"/>
      <c r="E25" s="22">
        <f>+Плевен!E25</f>
        <v>0</v>
      </c>
      <c r="F25" s="21"/>
      <c r="G25" s="56"/>
      <c r="H25" s="57"/>
      <c r="I25" s="76"/>
      <c r="J25" s="73"/>
      <c r="K25" s="124"/>
    </row>
    <row r="26" spans="2:11" x14ac:dyDescent="0.25">
      <c r="B26" s="47">
        <f t="shared" si="0"/>
        <v>45405</v>
      </c>
      <c r="C26" s="22"/>
      <c r="D26" s="22"/>
      <c r="E26" s="22">
        <f>+Плевен!E26</f>
        <v>0</v>
      </c>
      <c r="F26" s="21"/>
      <c r="G26" s="54"/>
      <c r="H26" s="57"/>
      <c r="I26" s="76"/>
      <c r="J26" s="73"/>
      <c r="K26" s="124"/>
    </row>
    <row r="27" spans="2:11" x14ac:dyDescent="0.25">
      <c r="B27" s="47">
        <f t="shared" si="0"/>
        <v>45406</v>
      </c>
      <c r="C27" s="22"/>
      <c r="D27" s="22"/>
      <c r="E27" s="22">
        <f>+Плевен!E27</f>
        <v>0</v>
      </c>
      <c r="F27" s="21"/>
      <c r="G27" s="54"/>
      <c r="H27" s="57"/>
      <c r="I27" s="76"/>
      <c r="J27" s="73"/>
      <c r="K27" s="124"/>
    </row>
    <row r="28" spans="2:11" x14ac:dyDescent="0.25">
      <c r="B28" s="47">
        <f t="shared" si="0"/>
        <v>45407</v>
      </c>
      <c r="C28" s="22"/>
      <c r="D28" s="22"/>
      <c r="E28" s="22">
        <f>+Плевен!E28</f>
        <v>0</v>
      </c>
      <c r="F28" s="21"/>
      <c r="G28" s="54"/>
      <c r="H28" s="57"/>
      <c r="I28" s="76"/>
      <c r="J28" s="73"/>
      <c r="K28" s="124"/>
    </row>
    <row r="29" spans="2:11" x14ac:dyDescent="0.25">
      <c r="B29" s="47">
        <f t="shared" si="0"/>
        <v>45408</v>
      </c>
      <c r="C29" s="22"/>
      <c r="D29" s="22"/>
      <c r="E29" s="22">
        <f>+Плевен!E29</f>
        <v>0</v>
      </c>
      <c r="F29" s="21"/>
      <c r="G29" s="54"/>
      <c r="H29" s="57"/>
      <c r="I29" s="76"/>
      <c r="J29" s="73"/>
      <c r="K29" s="124"/>
    </row>
    <row r="30" spans="2:11" x14ac:dyDescent="0.25">
      <c r="B30" s="47">
        <f t="shared" si="0"/>
        <v>45409</v>
      </c>
      <c r="C30" s="22"/>
      <c r="D30" s="22"/>
      <c r="E30" s="22">
        <f>+Плевен!E30</f>
        <v>0</v>
      </c>
      <c r="F30" s="21"/>
      <c r="G30" s="54"/>
      <c r="H30" s="57"/>
      <c r="I30" s="76"/>
      <c r="J30" s="73"/>
      <c r="K30" s="124"/>
    </row>
    <row r="31" spans="2:11" x14ac:dyDescent="0.25">
      <c r="B31" s="47">
        <f t="shared" si="0"/>
        <v>45410</v>
      </c>
      <c r="C31" s="22"/>
      <c r="D31" s="22"/>
      <c r="E31" s="22">
        <f>+Плевен!E31</f>
        <v>0</v>
      </c>
      <c r="F31" s="21"/>
      <c r="G31" s="54"/>
      <c r="H31" s="57"/>
      <c r="I31" s="76"/>
      <c r="J31" s="73"/>
      <c r="K31" s="124"/>
    </row>
    <row r="32" spans="2:11" x14ac:dyDescent="0.25">
      <c r="B32" s="47">
        <f t="shared" si="0"/>
        <v>45411</v>
      </c>
      <c r="C32" s="22"/>
      <c r="D32" s="22"/>
      <c r="E32" s="22">
        <f>+Плевен!E32</f>
        <v>0</v>
      </c>
      <c r="F32" s="21"/>
      <c r="G32" s="54"/>
      <c r="H32" s="57"/>
      <c r="I32" s="76"/>
      <c r="J32" s="73"/>
      <c r="K32" s="124"/>
    </row>
    <row r="33" spans="2:11" x14ac:dyDescent="0.25">
      <c r="B33" s="47">
        <f t="shared" si="0"/>
        <v>45412</v>
      </c>
      <c r="C33" s="22"/>
      <c r="D33" s="22"/>
      <c r="E33" s="22">
        <f>+Плевен!E33</f>
        <v>0</v>
      </c>
      <c r="F33" s="21"/>
      <c r="G33" s="54"/>
      <c r="H33" s="57"/>
      <c r="I33" s="76"/>
      <c r="J33" s="73"/>
      <c r="K33" s="124"/>
    </row>
    <row r="34" spans="2:11" x14ac:dyDescent="0.25">
      <c r="E34" s="16">
        <f>SUM(E4:E33)</f>
        <v>10.546999999999999</v>
      </c>
      <c r="F34" s="16"/>
      <c r="G34" s="18">
        <f>SUM(G4:G33)</f>
        <v>0</v>
      </c>
      <c r="H34" s="18">
        <f>SUM(H4:H33)</f>
        <v>0</v>
      </c>
      <c r="I34" s="18">
        <f>SUM(I4:I33)</f>
        <v>0</v>
      </c>
      <c r="K34" s="18"/>
    </row>
  </sheetData>
  <mergeCells count="3">
    <mergeCell ref="L1:M1"/>
    <mergeCell ref="B2:G2"/>
    <mergeCell ref="H2:J2"/>
  </mergeCells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FF0000"/>
  </sheetPr>
  <dimension ref="B1:N34"/>
  <sheetViews>
    <sheetView zoomScale="70" zoomScaleNormal="70" workbookViewId="0">
      <selection activeCell="B4" sqref="B4"/>
    </sheetView>
  </sheetViews>
  <sheetFormatPr defaultColWidth="8.85546875" defaultRowHeight="15" x14ac:dyDescent="0.25"/>
  <cols>
    <col min="1" max="1" width="8.85546875" style="1"/>
    <col min="2" max="2" width="12" style="1" bestFit="1" customWidth="1"/>
    <col min="3" max="3" width="9.7109375" style="1" bestFit="1" customWidth="1"/>
    <col min="4" max="4" width="12.140625" style="1" bestFit="1" customWidth="1"/>
    <col min="5" max="5" width="10.140625" style="154" bestFit="1" customWidth="1"/>
    <col min="6" max="6" width="5.140625" style="1" bestFit="1" customWidth="1"/>
    <col min="7" max="7" width="10.7109375" style="1" bestFit="1" customWidth="1"/>
    <col min="8" max="8" width="15.42578125" style="1" bestFit="1" customWidth="1"/>
    <col min="9" max="9" width="13" style="1" customWidth="1"/>
    <col min="10" max="10" width="17.5703125" style="69" customWidth="1"/>
    <col min="11" max="11" width="13.28515625" style="1" customWidth="1"/>
    <col min="12" max="12" width="17.42578125" style="1" customWidth="1"/>
    <col min="13" max="13" width="19.140625" style="1" bestFit="1" customWidth="1"/>
    <col min="14" max="14" width="12.5703125" style="1" bestFit="1" customWidth="1"/>
    <col min="15" max="16384" width="8.85546875" style="1"/>
  </cols>
  <sheetData>
    <row r="1" spans="2:14" ht="58.5" thickBot="1" x14ac:dyDescent="0.3">
      <c r="H1" s="81" t="s">
        <v>102</v>
      </c>
      <c r="I1" s="78"/>
      <c r="J1" s="78"/>
      <c r="L1" s="680" t="s">
        <v>29</v>
      </c>
      <c r="M1" s="680"/>
    </row>
    <row r="2" spans="2:14" ht="15.75" thickBot="1" x14ac:dyDescent="0.3">
      <c r="B2" s="688" t="s">
        <v>132</v>
      </c>
      <c r="C2" s="689"/>
      <c r="D2" s="689"/>
      <c r="E2" s="689"/>
      <c r="F2" s="689"/>
      <c r="G2" s="690"/>
      <c r="H2" s="691" t="s">
        <v>71</v>
      </c>
      <c r="I2" s="679"/>
      <c r="J2" s="692"/>
      <c r="L2" s="2" t="s">
        <v>100</v>
      </c>
      <c r="M2" s="2" t="s">
        <v>81</v>
      </c>
      <c r="N2" s="1" t="s">
        <v>112</v>
      </c>
    </row>
    <row r="3" spans="2:14" ht="43.5" x14ac:dyDescent="0.25">
      <c r="B3" s="26" t="s">
        <v>8</v>
      </c>
      <c r="C3" s="46" t="s">
        <v>22</v>
      </c>
      <c r="D3" s="52" t="s">
        <v>27</v>
      </c>
      <c r="E3" s="176" t="s">
        <v>6</v>
      </c>
      <c r="F3" s="52" t="s">
        <v>21</v>
      </c>
      <c r="G3" s="35" t="s">
        <v>28</v>
      </c>
      <c r="H3" s="26" t="s">
        <v>65</v>
      </c>
      <c r="I3" s="81" t="s">
        <v>105</v>
      </c>
      <c r="J3" s="35" t="s">
        <v>72</v>
      </c>
      <c r="K3" s="69"/>
      <c r="L3" s="111"/>
      <c r="M3" s="111"/>
      <c r="N3" s="111"/>
    </row>
    <row r="4" spans="2:14" x14ac:dyDescent="0.25">
      <c r="B4" s="47">
        <v>45383</v>
      </c>
      <c r="C4" s="49"/>
      <c r="D4" s="49"/>
      <c r="E4" s="49">
        <f>+Плевен!F4</f>
        <v>0</v>
      </c>
      <c r="F4" s="21"/>
      <c r="G4" s="48"/>
      <c r="H4" s="57"/>
      <c r="I4" s="76"/>
      <c r="J4" s="73"/>
      <c r="K4" s="125"/>
    </row>
    <row r="5" spans="2:14" x14ac:dyDescent="0.25">
      <c r="B5" s="47">
        <f>+B4+1</f>
        <v>45384</v>
      </c>
      <c r="C5" s="49"/>
      <c r="D5" s="49"/>
      <c r="E5" s="49">
        <f>+Плевен!F5</f>
        <v>0</v>
      </c>
      <c r="F5" s="21"/>
      <c r="G5" s="48"/>
      <c r="H5" s="57"/>
      <c r="I5" s="76"/>
      <c r="J5" s="73"/>
      <c r="K5" s="125"/>
    </row>
    <row r="6" spans="2:14" x14ac:dyDescent="0.25">
      <c r="B6" s="47">
        <f t="shared" ref="B6:B33" si="0">+B5+1</f>
        <v>45385</v>
      </c>
      <c r="C6" s="49"/>
      <c r="D6" s="49"/>
      <c r="E6" s="49">
        <f>+Плевен!F6</f>
        <v>0</v>
      </c>
      <c r="F6" s="21"/>
      <c r="G6" s="48"/>
      <c r="H6" s="57"/>
      <c r="I6" s="76"/>
      <c r="J6" s="73"/>
      <c r="K6" s="125"/>
    </row>
    <row r="7" spans="2:14" x14ac:dyDescent="0.25">
      <c r="B7" s="47">
        <f t="shared" si="0"/>
        <v>45386</v>
      </c>
      <c r="C7" s="49"/>
      <c r="D7" s="49"/>
      <c r="E7" s="49">
        <f>+Плевен!F7</f>
        <v>0</v>
      </c>
      <c r="F7" s="21"/>
      <c r="G7" s="48"/>
      <c r="H7" s="57"/>
      <c r="I7" s="76"/>
      <c r="J7" s="73"/>
      <c r="K7" s="125"/>
    </row>
    <row r="8" spans="2:14" x14ac:dyDescent="0.25">
      <c r="B8" s="47">
        <f t="shared" si="0"/>
        <v>45387</v>
      </c>
      <c r="C8" s="49"/>
      <c r="D8" s="49"/>
      <c r="E8" s="49">
        <f>+Плевен!F8</f>
        <v>0</v>
      </c>
      <c r="F8" s="21"/>
      <c r="G8" s="53"/>
      <c r="H8" s="57"/>
      <c r="I8" s="76"/>
      <c r="J8" s="73"/>
      <c r="K8" s="125"/>
    </row>
    <row r="9" spans="2:14" x14ac:dyDescent="0.25">
      <c r="B9" s="47">
        <f t="shared" si="0"/>
        <v>45388</v>
      </c>
      <c r="C9" s="49"/>
      <c r="D9" s="49"/>
      <c r="E9" s="49">
        <f>+Плевен!F9</f>
        <v>0</v>
      </c>
      <c r="F9" s="21"/>
      <c r="G9" s="53"/>
      <c r="H9" s="57"/>
      <c r="I9" s="76"/>
      <c r="J9" s="73"/>
      <c r="K9" s="125"/>
    </row>
    <row r="10" spans="2:14" x14ac:dyDescent="0.25">
      <c r="B10" s="47">
        <f t="shared" si="0"/>
        <v>45389</v>
      </c>
      <c r="C10" s="49"/>
      <c r="D10" s="49"/>
      <c r="E10" s="49">
        <f>+Плевен!F10</f>
        <v>0</v>
      </c>
      <c r="F10" s="21"/>
      <c r="G10" s="54"/>
      <c r="H10" s="57"/>
      <c r="I10" s="76"/>
      <c r="J10" s="73"/>
      <c r="K10" s="125"/>
    </row>
    <row r="11" spans="2:14" x14ac:dyDescent="0.25">
      <c r="B11" s="47">
        <f t="shared" si="0"/>
        <v>45390</v>
      </c>
      <c r="C11" s="49"/>
      <c r="D11" s="49"/>
      <c r="E11" s="49">
        <f>+Плевен!F11</f>
        <v>0</v>
      </c>
      <c r="F11" s="21"/>
      <c r="G11" s="55"/>
      <c r="H11" s="57"/>
      <c r="I11" s="76"/>
      <c r="J11" s="73"/>
      <c r="K11" s="125"/>
    </row>
    <row r="12" spans="2:14" x14ac:dyDescent="0.25">
      <c r="B12" s="47">
        <f t="shared" si="0"/>
        <v>45391</v>
      </c>
      <c r="C12" s="49"/>
      <c r="D12" s="49"/>
      <c r="E12" s="49">
        <f>+Плевен!F12</f>
        <v>0</v>
      </c>
      <c r="F12" s="21"/>
      <c r="G12" s="54"/>
      <c r="H12" s="57"/>
      <c r="I12" s="76"/>
      <c r="J12" s="73"/>
      <c r="K12" s="125"/>
    </row>
    <row r="13" spans="2:14" x14ac:dyDescent="0.25">
      <c r="B13" s="47">
        <f t="shared" si="0"/>
        <v>45392</v>
      </c>
      <c r="C13" s="49"/>
      <c r="D13" s="49"/>
      <c r="E13" s="49">
        <f>+Плевен!F13</f>
        <v>0</v>
      </c>
      <c r="F13" s="21"/>
      <c r="G13" s="56"/>
      <c r="H13" s="57"/>
      <c r="I13" s="76"/>
      <c r="J13" s="73"/>
      <c r="K13" s="125"/>
    </row>
    <row r="14" spans="2:14" x14ac:dyDescent="0.25">
      <c r="B14" s="47">
        <f t="shared" si="0"/>
        <v>45393</v>
      </c>
      <c r="C14" s="49"/>
      <c r="D14" s="49"/>
      <c r="E14" s="49">
        <f>+Плевен!F14</f>
        <v>0</v>
      </c>
      <c r="F14" s="21"/>
      <c r="G14" s="54"/>
      <c r="H14" s="57"/>
      <c r="I14" s="76"/>
      <c r="J14" s="73"/>
      <c r="K14" s="125"/>
    </row>
    <row r="15" spans="2:14" x14ac:dyDescent="0.25">
      <c r="B15" s="47">
        <f t="shared" si="0"/>
        <v>45394</v>
      </c>
      <c r="C15" s="49"/>
      <c r="D15" s="49"/>
      <c r="E15" s="49">
        <f>+Плевен!F15</f>
        <v>0</v>
      </c>
      <c r="F15" s="21"/>
      <c r="G15" s="54"/>
      <c r="H15" s="57"/>
      <c r="I15" s="76"/>
      <c r="J15" s="73"/>
      <c r="K15" s="125"/>
    </row>
    <row r="16" spans="2:14" x14ac:dyDescent="0.25">
      <c r="B16" s="47">
        <f t="shared" si="0"/>
        <v>45395</v>
      </c>
      <c r="C16" s="49"/>
      <c r="D16" s="49"/>
      <c r="E16" s="49">
        <f>+Плевен!F16</f>
        <v>0</v>
      </c>
      <c r="F16" s="21"/>
      <c r="G16" s="54"/>
      <c r="H16" s="57"/>
      <c r="I16" s="76"/>
      <c r="J16" s="73"/>
      <c r="K16" s="125"/>
    </row>
    <row r="17" spans="2:11" x14ac:dyDescent="0.25">
      <c r="B17" s="47">
        <f t="shared" si="0"/>
        <v>45396</v>
      </c>
      <c r="C17" s="49"/>
      <c r="D17" s="49"/>
      <c r="E17" s="49">
        <f>+Плевен!F17</f>
        <v>0</v>
      </c>
      <c r="F17" s="21"/>
      <c r="G17" s="54"/>
      <c r="H17" s="57"/>
      <c r="I17" s="76"/>
      <c r="J17" s="73"/>
      <c r="K17" s="125"/>
    </row>
    <row r="18" spans="2:11" x14ac:dyDescent="0.25">
      <c r="B18" s="47">
        <f t="shared" si="0"/>
        <v>45397</v>
      </c>
      <c r="C18" s="49"/>
      <c r="D18" s="49"/>
      <c r="E18" s="49">
        <f>+Плевен!F18</f>
        <v>0</v>
      </c>
      <c r="F18" s="21"/>
      <c r="G18" s="54"/>
      <c r="H18" s="57"/>
      <c r="I18" s="76"/>
      <c r="J18" s="73"/>
      <c r="K18" s="125"/>
    </row>
    <row r="19" spans="2:11" x14ac:dyDescent="0.25">
      <c r="B19" s="47">
        <f t="shared" si="0"/>
        <v>45398</v>
      </c>
      <c r="C19" s="49"/>
      <c r="D19" s="49"/>
      <c r="E19" s="49">
        <f>+Плевен!F19</f>
        <v>0</v>
      </c>
      <c r="F19" s="21"/>
      <c r="G19" s="54"/>
      <c r="H19" s="57"/>
      <c r="I19" s="76"/>
      <c r="J19" s="73"/>
      <c r="K19" s="125"/>
    </row>
    <row r="20" spans="2:11" x14ac:dyDescent="0.25">
      <c r="B20" s="47">
        <f t="shared" si="0"/>
        <v>45399</v>
      </c>
      <c r="C20" s="49"/>
      <c r="D20" s="49"/>
      <c r="E20" s="49">
        <f>+Плевен!F20</f>
        <v>0</v>
      </c>
      <c r="F20" s="21"/>
      <c r="G20" s="54"/>
      <c r="H20" s="57"/>
      <c r="I20" s="76"/>
      <c r="J20" s="73"/>
      <c r="K20" s="125"/>
    </row>
    <row r="21" spans="2:11" x14ac:dyDescent="0.25">
      <c r="B21" s="47">
        <f t="shared" si="0"/>
        <v>45400</v>
      </c>
      <c r="C21" s="49"/>
      <c r="D21" s="49"/>
      <c r="E21" s="49">
        <f>+Плевен!F21</f>
        <v>0</v>
      </c>
      <c r="F21" s="21"/>
      <c r="G21" s="54"/>
      <c r="H21" s="57"/>
      <c r="I21" s="76"/>
      <c r="J21" s="73"/>
      <c r="K21" s="125"/>
    </row>
    <row r="22" spans="2:11" x14ac:dyDescent="0.25">
      <c r="B22" s="47">
        <f t="shared" si="0"/>
        <v>45401</v>
      </c>
      <c r="C22" s="49"/>
      <c r="D22" s="49"/>
      <c r="E22" s="49">
        <f>+Плевен!F22</f>
        <v>0</v>
      </c>
      <c r="F22" s="21"/>
      <c r="G22" s="54"/>
      <c r="H22" s="57"/>
      <c r="I22" s="76"/>
      <c r="J22" s="73"/>
      <c r="K22" s="125"/>
    </row>
    <row r="23" spans="2:11" x14ac:dyDescent="0.25">
      <c r="B23" s="47">
        <f t="shared" si="0"/>
        <v>45402</v>
      </c>
      <c r="C23" s="49"/>
      <c r="D23" s="49"/>
      <c r="E23" s="49">
        <f>+Плевен!F23</f>
        <v>0</v>
      </c>
      <c r="F23" s="21"/>
      <c r="G23" s="54"/>
      <c r="H23" s="57"/>
      <c r="I23" s="76"/>
      <c r="J23" s="73"/>
      <c r="K23" s="125"/>
    </row>
    <row r="24" spans="2:11" x14ac:dyDescent="0.25">
      <c r="B24" s="47">
        <f t="shared" si="0"/>
        <v>45403</v>
      </c>
      <c r="C24" s="49"/>
      <c r="D24" s="49"/>
      <c r="E24" s="49">
        <f>+Плевен!F24</f>
        <v>0</v>
      </c>
      <c r="F24" s="21"/>
      <c r="G24" s="54"/>
      <c r="H24" s="57"/>
      <c r="I24" s="76"/>
      <c r="J24" s="73"/>
      <c r="K24" s="125"/>
    </row>
    <row r="25" spans="2:11" x14ac:dyDescent="0.25">
      <c r="B25" s="47">
        <f t="shared" si="0"/>
        <v>45404</v>
      </c>
      <c r="C25" s="49"/>
      <c r="D25" s="49"/>
      <c r="E25" s="49">
        <f>+Плевен!F25</f>
        <v>0</v>
      </c>
      <c r="F25" s="21"/>
      <c r="G25" s="56"/>
      <c r="H25" s="57"/>
      <c r="I25" s="76"/>
      <c r="J25" s="73"/>
      <c r="K25" s="125"/>
    </row>
    <row r="26" spans="2:11" x14ac:dyDescent="0.25">
      <c r="B26" s="47">
        <f t="shared" si="0"/>
        <v>45405</v>
      </c>
      <c r="C26" s="49"/>
      <c r="D26" s="49"/>
      <c r="E26" s="49">
        <f>+Плевен!F26</f>
        <v>0</v>
      </c>
      <c r="F26" s="21"/>
      <c r="G26" s="54"/>
      <c r="H26" s="57"/>
      <c r="I26" s="76"/>
      <c r="J26" s="73"/>
      <c r="K26" s="125"/>
    </row>
    <row r="27" spans="2:11" x14ac:dyDescent="0.25">
      <c r="B27" s="47">
        <f t="shared" si="0"/>
        <v>45406</v>
      </c>
      <c r="C27" s="49"/>
      <c r="D27" s="49"/>
      <c r="E27" s="49">
        <f>+Плевен!F27</f>
        <v>0</v>
      </c>
      <c r="F27" s="21"/>
      <c r="G27" s="54"/>
      <c r="H27" s="57"/>
      <c r="I27" s="76"/>
      <c r="J27" s="73"/>
      <c r="K27" s="125"/>
    </row>
    <row r="28" spans="2:11" x14ac:dyDescent="0.25">
      <c r="B28" s="47">
        <f t="shared" si="0"/>
        <v>45407</v>
      </c>
      <c r="C28" s="49"/>
      <c r="D28" s="49"/>
      <c r="E28" s="49">
        <f>+Плевен!F28</f>
        <v>0</v>
      </c>
      <c r="F28" s="21"/>
      <c r="G28" s="54"/>
      <c r="H28" s="57"/>
      <c r="I28" s="76"/>
      <c r="J28" s="73"/>
      <c r="K28" s="125"/>
    </row>
    <row r="29" spans="2:11" x14ac:dyDescent="0.25">
      <c r="B29" s="47">
        <f t="shared" si="0"/>
        <v>45408</v>
      </c>
      <c r="C29" s="49"/>
      <c r="D29" s="49"/>
      <c r="E29" s="49">
        <f>+Плевен!F29</f>
        <v>0</v>
      </c>
      <c r="F29" s="21"/>
      <c r="G29" s="54"/>
      <c r="H29" s="57"/>
      <c r="I29" s="76"/>
      <c r="J29" s="73"/>
      <c r="K29" s="125"/>
    </row>
    <row r="30" spans="2:11" x14ac:dyDescent="0.25">
      <c r="B30" s="47">
        <f t="shared" si="0"/>
        <v>45409</v>
      </c>
      <c r="C30" s="49"/>
      <c r="D30" s="49"/>
      <c r="E30" s="49">
        <f>+Плевен!F30</f>
        <v>0</v>
      </c>
      <c r="F30" s="21"/>
      <c r="G30" s="54"/>
      <c r="H30" s="57"/>
      <c r="I30" s="76"/>
      <c r="J30" s="73"/>
      <c r="K30" s="125"/>
    </row>
    <row r="31" spans="2:11" x14ac:dyDescent="0.25">
      <c r="B31" s="47">
        <f t="shared" si="0"/>
        <v>45410</v>
      </c>
      <c r="C31" s="49"/>
      <c r="D31" s="49"/>
      <c r="E31" s="49">
        <f>+Плевен!F31</f>
        <v>0</v>
      </c>
      <c r="F31" s="21"/>
      <c r="G31" s="54"/>
      <c r="H31" s="57"/>
      <c r="I31" s="76"/>
      <c r="J31" s="73"/>
      <c r="K31" s="125"/>
    </row>
    <row r="32" spans="2:11" x14ac:dyDescent="0.25">
      <c r="B32" s="47">
        <f t="shared" si="0"/>
        <v>45411</v>
      </c>
      <c r="C32" s="49"/>
      <c r="D32" s="49"/>
      <c r="E32" s="49">
        <f>+Плевен!F32</f>
        <v>0</v>
      </c>
      <c r="F32" s="21"/>
      <c r="G32" s="54"/>
      <c r="H32" s="57"/>
      <c r="I32" s="76"/>
      <c r="J32" s="73"/>
      <c r="K32" s="125"/>
    </row>
    <row r="33" spans="2:11" x14ac:dyDescent="0.25">
      <c r="B33" s="47">
        <f t="shared" si="0"/>
        <v>45412</v>
      </c>
      <c r="C33" s="49"/>
      <c r="D33" s="49"/>
      <c r="E33" s="49">
        <f>+Плевен!F33</f>
        <v>0</v>
      </c>
      <c r="F33" s="21"/>
      <c r="G33" s="54"/>
      <c r="H33" s="57"/>
      <c r="I33" s="76"/>
      <c r="J33" s="73"/>
      <c r="K33" s="125"/>
    </row>
    <row r="34" spans="2:11" x14ac:dyDescent="0.25">
      <c r="E34" s="156">
        <f>SUM(E4:E33)</f>
        <v>0</v>
      </c>
      <c r="F34" s="16"/>
      <c r="G34" s="18">
        <f>SUM(G4:G33)</f>
        <v>0</v>
      </c>
      <c r="H34" s="18">
        <f>SUM(H4:H33)</f>
        <v>0</v>
      </c>
      <c r="I34" s="18">
        <f>SUM(I4:I33)</f>
        <v>0</v>
      </c>
      <c r="K34" s="127">
        <f>SUM(K4:K33)*-1</f>
        <v>0</v>
      </c>
    </row>
  </sheetData>
  <mergeCells count="3">
    <mergeCell ref="L1:M1"/>
    <mergeCell ref="B2:G2"/>
    <mergeCell ref="H2:J2"/>
  </mergeCells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FF0000"/>
  </sheetPr>
  <dimension ref="B1:N34"/>
  <sheetViews>
    <sheetView zoomScale="70" zoomScaleNormal="70" workbookViewId="0">
      <selection activeCell="K39" sqref="K39"/>
    </sheetView>
  </sheetViews>
  <sheetFormatPr defaultColWidth="8.85546875" defaultRowHeight="15" x14ac:dyDescent="0.25"/>
  <cols>
    <col min="1" max="1" width="8.85546875" style="1"/>
    <col min="2" max="2" width="12" style="1" bestFit="1" customWidth="1"/>
    <col min="3" max="3" width="9.7109375" style="1" bestFit="1" customWidth="1"/>
    <col min="4" max="4" width="12.140625" style="1" bestFit="1" customWidth="1"/>
    <col min="5" max="5" width="10.140625" style="1" bestFit="1" customWidth="1"/>
    <col min="6" max="6" width="5.140625" style="1" bestFit="1" customWidth="1"/>
    <col min="7" max="7" width="10.7109375" style="1" bestFit="1" customWidth="1"/>
    <col min="8" max="8" width="15.42578125" style="1" bestFit="1" customWidth="1"/>
    <col min="9" max="9" width="13" style="1" customWidth="1"/>
    <col min="10" max="10" width="17.5703125" style="69" customWidth="1"/>
    <col min="11" max="11" width="13.28515625" style="1" customWidth="1"/>
    <col min="12" max="12" width="17.42578125" style="1" customWidth="1"/>
    <col min="13" max="13" width="19.140625" style="1" bestFit="1" customWidth="1"/>
    <col min="14" max="14" width="12.5703125" style="1" bestFit="1" customWidth="1"/>
    <col min="15" max="16384" width="8.85546875" style="1"/>
  </cols>
  <sheetData>
    <row r="1" spans="2:14" ht="58.5" thickBot="1" x14ac:dyDescent="0.3">
      <c r="H1" s="81" t="s">
        <v>102</v>
      </c>
      <c r="I1" s="78"/>
      <c r="J1" s="78"/>
      <c r="L1" s="680" t="s">
        <v>29</v>
      </c>
      <c r="M1" s="680"/>
    </row>
    <row r="2" spans="2:14" ht="15.75" thickBot="1" x14ac:dyDescent="0.3">
      <c r="B2" s="688" t="s">
        <v>133</v>
      </c>
      <c r="C2" s="689"/>
      <c r="D2" s="689"/>
      <c r="E2" s="689"/>
      <c r="F2" s="689"/>
      <c r="G2" s="690"/>
      <c r="H2" s="691" t="s">
        <v>71</v>
      </c>
      <c r="I2" s="679"/>
      <c r="J2" s="692"/>
      <c r="L2" s="2" t="s">
        <v>100</v>
      </c>
      <c r="M2" s="2" t="s">
        <v>81</v>
      </c>
      <c r="N2" s="1" t="s">
        <v>112</v>
      </c>
    </row>
    <row r="3" spans="2:14" ht="43.5" x14ac:dyDescent="0.25">
      <c r="B3" s="26" t="s">
        <v>8</v>
      </c>
      <c r="C3" s="46" t="s">
        <v>22</v>
      </c>
      <c r="D3" s="52" t="s">
        <v>27</v>
      </c>
      <c r="E3" s="52" t="s">
        <v>6</v>
      </c>
      <c r="F3" s="52" t="s">
        <v>21</v>
      </c>
      <c r="G3" s="35" t="s">
        <v>28</v>
      </c>
      <c r="H3" s="26" t="s">
        <v>65</v>
      </c>
      <c r="I3" s="81" t="s">
        <v>105</v>
      </c>
      <c r="J3" s="35" t="s">
        <v>72</v>
      </c>
      <c r="K3" s="69"/>
      <c r="L3" s="111"/>
      <c r="M3" s="111"/>
      <c r="N3" s="111"/>
    </row>
    <row r="4" spans="2:14" x14ac:dyDescent="0.25">
      <c r="B4" s="47">
        <v>45383</v>
      </c>
      <c r="C4" s="22"/>
      <c r="D4" s="22"/>
      <c r="E4" s="22">
        <f>+Плевен!G4</f>
        <v>0</v>
      </c>
      <c r="F4" s="21"/>
      <c r="G4" s="48"/>
      <c r="H4" s="57"/>
      <c r="I4" s="76"/>
      <c r="J4" s="73"/>
      <c r="K4" s="124"/>
      <c r="M4" s="4"/>
      <c r="N4" s="4"/>
    </row>
    <row r="5" spans="2:14" x14ac:dyDescent="0.25">
      <c r="B5" s="47">
        <f>+B4+1</f>
        <v>45384</v>
      </c>
      <c r="C5" s="22"/>
      <c r="D5" s="22"/>
      <c r="E5" s="22">
        <f>+Плевен!G5</f>
        <v>0</v>
      </c>
      <c r="F5" s="21"/>
      <c r="G5" s="48"/>
      <c r="H5" s="57"/>
      <c r="I5" s="76"/>
      <c r="J5" s="73"/>
      <c r="K5" s="124"/>
    </row>
    <row r="6" spans="2:14" x14ac:dyDescent="0.25">
      <c r="B6" s="47">
        <f t="shared" ref="B6:B33" si="0">+B5+1</f>
        <v>45385</v>
      </c>
      <c r="C6" s="22"/>
      <c r="D6" s="22"/>
      <c r="E6" s="22">
        <f>+Плевен!G6</f>
        <v>0</v>
      </c>
      <c r="F6" s="21"/>
      <c r="G6" s="48"/>
      <c r="H6" s="57"/>
      <c r="I6" s="76"/>
      <c r="J6" s="73"/>
      <c r="K6" s="124"/>
    </row>
    <row r="7" spans="2:14" x14ac:dyDescent="0.25">
      <c r="B7" s="47">
        <f t="shared" si="0"/>
        <v>45386</v>
      </c>
      <c r="C7" s="22"/>
      <c r="D7" s="22"/>
      <c r="E7" s="22">
        <f>+Плевен!G7</f>
        <v>0</v>
      </c>
      <c r="F7" s="21"/>
      <c r="G7" s="48"/>
      <c r="H7" s="57"/>
      <c r="I7" s="76"/>
      <c r="J7" s="73"/>
      <c r="K7" s="124"/>
    </row>
    <row r="8" spans="2:14" x14ac:dyDescent="0.25">
      <c r="B8" s="47">
        <f t="shared" si="0"/>
        <v>45387</v>
      </c>
      <c r="C8" s="22"/>
      <c r="D8" s="22"/>
      <c r="E8" s="22">
        <f>+Плевен!G8</f>
        <v>0</v>
      </c>
      <c r="F8" s="21"/>
      <c r="G8" s="53"/>
      <c r="H8" s="57"/>
      <c r="I8" s="76"/>
      <c r="J8" s="73"/>
      <c r="K8" s="124"/>
    </row>
    <row r="9" spans="2:14" x14ac:dyDescent="0.25">
      <c r="B9" s="47">
        <f t="shared" si="0"/>
        <v>45388</v>
      </c>
      <c r="C9" s="22"/>
      <c r="D9" s="22"/>
      <c r="E9" s="22">
        <f>+Плевен!G9</f>
        <v>0</v>
      </c>
      <c r="F9" s="21"/>
      <c r="G9" s="53"/>
      <c r="H9" s="57"/>
      <c r="I9" s="76"/>
      <c r="J9" s="73"/>
      <c r="K9" s="124"/>
    </row>
    <row r="10" spans="2:14" x14ac:dyDescent="0.25">
      <c r="B10" s="47">
        <f t="shared" si="0"/>
        <v>45389</v>
      </c>
      <c r="C10" s="22"/>
      <c r="D10" s="22"/>
      <c r="E10" s="22">
        <f>+Плевен!G10</f>
        <v>0</v>
      </c>
      <c r="F10" s="21"/>
      <c r="G10" s="54"/>
      <c r="H10" s="57"/>
      <c r="I10" s="76"/>
      <c r="J10" s="73"/>
      <c r="K10" s="124"/>
    </row>
    <row r="11" spans="2:14" x14ac:dyDescent="0.25">
      <c r="B11" s="47">
        <f t="shared" si="0"/>
        <v>45390</v>
      </c>
      <c r="C11" s="22"/>
      <c r="D11" s="22"/>
      <c r="E11" s="22">
        <f>+Плевен!G11</f>
        <v>0</v>
      </c>
      <c r="F11" s="21"/>
      <c r="G11" s="55"/>
      <c r="H11" s="57"/>
      <c r="I11" s="76"/>
      <c r="J11" s="73"/>
      <c r="K11" s="124"/>
    </row>
    <row r="12" spans="2:14" x14ac:dyDescent="0.25">
      <c r="B12" s="47">
        <f t="shared" si="0"/>
        <v>45391</v>
      </c>
      <c r="C12" s="22"/>
      <c r="D12" s="22"/>
      <c r="E12" s="22">
        <f>+Плевен!G12</f>
        <v>0</v>
      </c>
      <c r="F12" s="21"/>
      <c r="G12" s="54"/>
      <c r="H12" s="57"/>
      <c r="I12" s="76"/>
      <c r="J12" s="73"/>
      <c r="K12" s="124"/>
    </row>
    <row r="13" spans="2:14" x14ac:dyDescent="0.25">
      <c r="B13" s="47">
        <f t="shared" si="0"/>
        <v>45392</v>
      </c>
      <c r="C13" s="22"/>
      <c r="D13" s="22"/>
      <c r="E13" s="22">
        <f>+Плевен!G13</f>
        <v>0</v>
      </c>
      <c r="F13" s="21"/>
      <c r="G13" s="56"/>
      <c r="H13" s="57"/>
      <c r="I13" s="76"/>
      <c r="J13" s="73"/>
      <c r="K13" s="124"/>
    </row>
    <row r="14" spans="2:14" x14ac:dyDescent="0.25">
      <c r="B14" s="47">
        <f t="shared" si="0"/>
        <v>45393</v>
      </c>
      <c r="C14" s="22"/>
      <c r="D14" s="22"/>
      <c r="E14" s="22">
        <f>+Плевен!G14</f>
        <v>0</v>
      </c>
      <c r="F14" s="21"/>
      <c r="G14" s="54"/>
      <c r="H14" s="57"/>
      <c r="I14" s="76"/>
      <c r="J14" s="73"/>
      <c r="K14" s="124"/>
    </row>
    <row r="15" spans="2:14" x14ac:dyDescent="0.25">
      <c r="B15" s="47">
        <f t="shared" si="0"/>
        <v>45394</v>
      </c>
      <c r="C15" s="22"/>
      <c r="D15" s="22"/>
      <c r="E15" s="22">
        <f>+Плевен!G15</f>
        <v>0</v>
      </c>
      <c r="F15" s="21"/>
      <c r="G15" s="54"/>
      <c r="H15" s="57"/>
      <c r="I15" s="76"/>
      <c r="J15" s="73"/>
      <c r="K15" s="124"/>
    </row>
    <row r="16" spans="2:14" x14ac:dyDescent="0.25">
      <c r="B16" s="47">
        <f t="shared" si="0"/>
        <v>45395</v>
      </c>
      <c r="C16" s="22"/>
      <c r="D16" s="22"/>
      <c r="E16" s="22">
        <f>+Плевен!G16</f>
        <v>0</v>
      </c>
      <c r="F16" s="21"/>
      <c r="G16" s="54"/>
      <c r="H16" s="57"/>
      <c r="I16" s="76"/>
      <c r="J16" s="73"/>
      <c r="K16" s="124"/>
    </row>
    <row r="17" spans="2:11" x14ac:dyDescent="0.25">
      <c r="B17" s="47">
        <f t="shared" si="0"/>
        <v>45396</v>
      </c>
      <c r="C17" s="22"/>
      <c r="D17" s="22"/>
      <c r="E17" s="22">
        <f>+Плевен!G17</f>
        <v>0</v>
      </c>
      <c r="F17" s="21"/>
      <c r="G17" s="54"/>
      <c r="H17" s="57"/>
      <c r="I17" s="76"/>
      <c r="J17" s="73"/>
      <c r="K17" s="124"/>
    </row>
    <row r="18" spans="2:11" x14ac:dyDescent="0.25">
      <c r="B18" s="47">
        <f t="shared" si="0"/>
        <v>45397</v>
      </c>
      <c r="C18" s="22"/>
      <c r="D18" s="22"/>
      <c r="E18" s="22">
        <f>+Плевен!G18</f>
        <v>0</v>
      </c>
      <c r="F18" s="21"/>
      <c r="G18" s="54"/>
      <c r="H18" s="57"/>
      <c r="I18" s="76"/>
      <c r="J18" s="73"/>
      <c r="K18" s="124"/>
    </row>
    <row r="19" spans="2:11" x14ac:dyDescent="0.25">
      <c r="B19" s="47">
        <f t="shared" si="0"/>
        <v>45398</v>
      </c>
      <c r="C19" s="22"/>
      <c r="D19" s="22"/>
      <c r="E19" s="22">
        <f>+Плевен!G19</f>
        <v>0</v>
      </c>
      <c r="F19" s="21"/>
      <c r="G19" s="54"/>
      <c r="H19" s="57"/>
      <c r="I19" s="76"/>
      <c r="J19" s="73"/>
      <c r="K19" s="124"/>
    </row>
    <row r="20" spans="2:11" x14ac:dyDescent="0.25">
      <c r="B20" s="47">
        <f t="shared" si="0"/>
        <v>45399</v>
      </c>
      <c r="C20" s="22"/>
      <c r="D20" s="22"/>
      <c r="E20" s="22">
        <f>+Плевен!G20</f>
        <v>0</v>
      </c>
      <c r="F20" s="21"/>
      <c r="G20" s="54"/>
      <c r="H20" s="57"/>
      <c r="I20" s="76"/>
      <c r="J20" s="73"/>
      <c r="K20" s="124"/>
    </row>
    <row r="21" spans="2:11" x14ac:dyDescent="0.25">
      <c r="B21" s="47">
        <f t="shared" si="0"/>
        <v>45400</v>
      </c>
      <c r="C21" s="22"/>
      <c r="D21" s="22"/>
      <c r="E21" s="22">
        <f>+Плевен!G21</f>
        <v>0</v>
      </c>
      <c r="F21" s="21"/>
      <c r="G21" s="54"/>
      <c r="H21" s="57"/>
      <c r="I21" s="76"/>
      <c r="J21" s="73"/>
      <c r="K21" s="124"/>
    </row>
    <row r="22" spans="2:11" x14ac:dyDescent="0.25">
      <c r="B22" s="47">
        <f t="shared" si="0"/>
        <v>45401</v>
      </c>
      <c r="C22" s="22"/>
      <c r="D22" s="22"/>
      <c r="E22" s="22">
        <f>+Плевен!G22</f>
        <v>0</v>
      </c>
      <c r="F22" s="21"/>
      <c r="G22" s="54"/>
      <c r="H22" s="57"/>
      <c r="I22" s="76"/>
      <c r="J22" s="73"/>
      <c r="K22" s="124"/>
    </row>
    <row r="23" spans="2:11" x14ac:dyDescent="0.25">
      <c r="B23" s="47">
        <f t="shared" si="0"/>
        <v>45402</v>
      </c>
      <c r="C23" s="22"/>
      <c r="D23" s="22"/>
      <c r="E23" s="22">
        <f>+Плевен!G23</f>
        <v>0</v>
      </c>
      <c r="F23" s="21"/>
      <c r="G23" s="54"/>
      <c r="H23" s="57"/>
      <c r="I23" s="76"/>
      <c r="J23" s="73"/>
      <c r="K23" s="124"/>
    </row>
    <row r="24" spans="2:11" x14ac:dyDescent="0.25">
      <c r="B24" s="47">
        <f t="shared" si="0"/>
        <v>45403</v>
      </c>
      <c r="C24" s="22"/>
      <c r="D24" s="22"/>
      <c r="E24" s="22">
        <f>+Плевен!G24</f>
        <v>0</v>
      </c>
      <c r="F24" s="21"/>
      <c r="G24" s="54"/>
      <c r="H24" s="57"/>
      <c r="I24" s="76"/>
      <c r="J24" s="73"/>
      <c r="K24" s="124"/>
    </row>
    <row r="25" spans="2:11" x14ac:dyDescent="0.25">
      <c r="B25" s="47">
        <f t="shared" si="0"/>
        <v>45404</v>
      </c>
      <c r="C25" s="22"/>
      <c r="D25" s="22"/>
      <c r="E25" s="22">
        <f>+Плевен!G25</f>
        <v>0</v>
      </c>
      <c r="F25" s="21"/>
      <c r="G25" s="56"/>
      <c r="H25" s="57"/>
      <c r="I25" s="76"/>
      <c r="J25" s="73"/>
      <c r="K25" s="124"/>
    </row>
    <row r="26" spans="2:11" x14ac:dyDescent="0.25">
      <c r="B26" s="47">
        <f t="shared" si="0"/>
        <v>45405</v>
      </c>
      <c r="C26" s="22"/>
      <c r="D26" s="22"/>
      <c r="E26" s="22">
        <f>+Плевен!G26</f>
        <v>0</v>
      </c>
      <c r="F26" s="21"/>
      <c r="G26" s="54"/>
      <c r="H26" s="57"/>
      <c r="I26" s="76"/>
      <c r="J26" s="73"/>
      <c r="K26" s="124"/>
    </row>
    <row r="27" spans="2:11" x14ac:dyDescent="0.25">
      <c r="B27" s="47">
        <f t="shared" si="0"/>
        <v>45406</v>
      </c>
      <c r="C27" s="22"/>
      <c r="D27" s="22"/>
      <c r="E27" s="22">
        <f>+Плевен!G27</f>
        <v>0</v>
      </c>
      <c r="F27" s="21"/>
      <c r="G27" s="54"/>
      <c r="H27" s="57"/>
      <c r="I27" s="76"/>
      <c r="J27" s="73"/>
      <c r="K27" s="124"/>
    </row>
    <row r="28" spans="2:11" x14ac:dyDescent="0.25">
      <c r="B28" s="47">
        <f t="shared" si="0"/>
        <v>45407</v>
      </c>
      <c r="C28" s="49"/>
      <c r="D28" s="22"/>
      <c r="E28" s="22">
        <f>+Плевен!G28</f>
        <v>0</v>
      </c>
      <c r="F28" s="21"/>
      <c r="G28" s="54"/>
      <c r="H28" s="57"/>
      <c r="I28" s="76"/>
      <c r="J28" s="73"/>
      <c r="K28" s="124"/>
    </row>
    <row r="29" spans="2:11" x14ac:dyDescent="0.25">
      <c r="B29" s="47">
        <f t="shared" si="0"/>
        <v>45408</v>
      </c>
      <c r="C29" s="49"/>
      <c r="D29" s="22"/>
      <c r="E29" s="22">
        <f>+Плевен!G29</f>
        <v>0</v>
      </c>
      <c r="F29" s="21"/>
      <c r="G29" s="54"/>
      <c r="H29" s="57"/>
      <c r="I29" s="76"/>
      <c r="J29" s="73"/>
      <c r="K29" s="124"/>
    </row>
    <row r="30" spans="2:11" x14ac:dyDescent="0.25">
      <c r="B30" s="47">
        <f t="shared" si="0"/>
        <v>45409</v>
      </c>
      <c r="C30" s="49"/>
      <c r="D30" s="22"/>
      <c r="E30" s="22">
        <f>+Плевен!G30</f>
        <v>0</v>
      </c>
      <c r="F30" s="21"/>
      <c r="G30" s="54"/>
      <c r="H30" s="57"/>
      <c r="I30" s="76"/>
      <c r="J30" s="73"/>
      <c r="K30" s="124"/>
    </row>
    <row r="31" spans="2:11" x14ac:dyDescent="0.25">
      <c r="B31" s="47">
        <f t="shared" si="0"/>
        <v>45410</v>
      </c>
      <c r="C31" s="49"/>
      <c r="D31" s="22"/>
      <c r="E31" s="22">
        <f>+Плевен!G31</f>
        <v>0</v>
      </c>
      <c r="F31" s="21"/>
      <c r="G31" s="54"/>
      <c r="H31" s="57"/>
      <c r="I31" s="76"/>
      <c r="J31" s="73"/>
      <c r="K31" s="124"/>
    </row>
    <row r="32" spans="2:11" x14ac:dyDescent="0.25">
      <c r="B32" s="47">
        <f t="shared" si="0"/>
        <v>45411</v>
      </c>
      <c r="C32" s="49"/>
      <c r="D32" s="22"/>
      <c r="E32" s="22">
        <f>+Плевен!G32</f>
        <v>0</v>
      </c>
      <c r="F32" s="21"/>
      <c r="G32" s="54"/>
      <c r="H32" s="57"/>
      <c r="I32" s="76"/>
      <c r="J32" s="73"/>
      <c r="K32" s="124"/>
    </row>
    <row r="33" spans="2:12" x14ac:dyDescent="0.25">
      <c r="B33" s="47">
        <f t="shared" si="0"/>
        <v>45412</v>
      </c>
      <c r="C33" s="49"/>
      <c r="D33" s="22"/>
      <c r="E33" s="22">
        <f>+Плевен!G33</f>
        <v>0</v>
      </c>
      <c r="F33" s="21"/>
      <c r="G33" s="54"/>
      <c r="H33" s="57"/>
      <c r="I33" s="76"/>
      <c r="J33" s="73"/>
      <c r="K33" s="124"/>
    </row>
    <row r="34" spans="2:12" x14ac:dyDescent="0.25">
      <c r="E34" s="16">
        <f>SUM(E4:E33)</f>
        <v>0</v>
      </c>
      <c r="F34" s="16"/>
      <c r="G34" s="18">
        <f>SUM(G4:G33)</f>
        <v>0</v>
      </c>
      <c r="H34" s="18">
        <f>SUM(H4:H33)</f>
        <v>0</v>
      </c>
      <c r="I34" s="18">
        <f>SUM(I4:I33)</f>
        <v>0</v>
      </c>
      <c r="K34" s="185">
        <f>SUM(K4:K33)*-1</f>
        <v>0</v>
      </c>
      <c r="L34" s="1" t="s">
        <v>122</v>
      </c>
    </row>
  </sheetData>
  <mergeCells count="3">
    <mergeCell ref="L1:M1"/>
    <mergeCell ref="B2:G2"/>
    <mergeCell ref="H2:J2"/>
  </mergeCells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rgb="FFFF0000"/>
  </sheetPr>
  <dimension ref="A1:S39"/>
  <sheetViews>
    <sheetView topLeftCell="J1" zoomScale="85" zoomScaleNormal="85" workbookViewId="0">
      <selection activeCell="M24" sqref="M24"/>
    </sheetView>
  </sheetViews>
  <sheetFormatPr defaultColWidth="8.85546875" defaultRowHeight="15" x14ac:dyDescent="0.25"/>
  <cols>
    <col min="1" max="1" width="8.85546875" style="1"/>
    <col min="2" max="2" width="12.42578125" style="1" bestFit="1" customWidth="1"/>
    <col min="3" max="3" width="10.140625" style="1" customWidth="1"/>
    <col min="4" max="4" width="8.85546875" style="1" customWidth="1"/>
    <col min="5" max="5" width="14" style="1" customWidth="1"/>
    <col min="6" max="6" width="10.140625" style="1" customWidth="1"/>
    <col min="7" max="7" width="9.5703125" style="1" customWidth="1"/>
    <col min="8" max="8" width="14.7109375" style="1" customWidth="1"/>
    <col min="9" max="9" width="10.140625" style="1" bestFit="1" customWidth="1"/>
    <col min="10" max="10" width="14.7109375" style="1" customWidth="1"/>
    <col min="11" max="11" width="15" style="154" customWidth="1"/>
    <col min="12" max="12" width="14" style="154" bestFit="1" customWidth="1"/>
    <col min="13" max="13" width="13.7109375" style="154" bestFit="1" customWidth="1"/>
    <col min="14" max="14" width="18.28515625" style="1" bestFit="1" customWidth="1"/>
    <col min="15" max="15" width="18" style="1" bestFit="1" customWidth="1"/>
    <col min="16" max="16" width="9.28515625" style="1" bestFit="1" customWidth="1"/>
    <col min="17" max="18" width="10.28515625" style="1" bestFit="1" customWidth="1"/>
    <col min="19" max="19" width="11" style="1" bestFit="1" customWidth="1"/>
    <col min="20" max="16384" width="8.85546875" style="1"/>
  </cols>
  <sheetData>
    <row r="1" spans="1:19" ht="15.75" thickBot="1" x14ac:dyDescent="0.3">
      <c r="J1" s="16"/>
    </row>
    <row r="2" spans="1:19" ht="15" customHeight="1" thickBot="1" x14ac:dyDescent="0.3">
      <c r="B2" s="37"/>
      <c r="C2" s="693" t="s">
        <v>48</v>
      </c>
      <c r="D2" s="694"/>
      <c r="E2" s="695"/>
      <c r="F2" s="693" t="s">
        <v>49</v>
      </c>
      <c r="G2" s="694"/>
      <c r="H2" s="695"/>
      <c r="J2" s="696" t="s">
        <v>39</v>
      </c>
      <c r="K2" s="697"/>
      <c r="L2" s="697"/>
      <c r="M2" s="697"/>
      <c r="N2" s="697"/>
      <c r="O2" s="698"/>
    </row>
    <row r="3" spans="1:19" x14ac:dyDescent="0.25">
      <c r="B3" s="38" t="s">
        <v>8</v>
      </c>
      <c r="C3" s="26" t="s">
        <v>40</v>
      </c>
      <c r="D3" s="52" t="s">
        <v>41</v>
      </c>
      <c r="E3" s="35" t="s">
        <v>42</v>
      </c>
      <c r="F3" s="26" t="s">
        <v>40</v>
      </c>
      <c r="G3" s="52" t="s">
        <v>41</v>
      </c>
      <c r="H3" s="35" t="s">
        <v>42</v>
      </c>
      <c r="J3" s="83" t="s">
        <v>43</v>
      </c>
      <c r="K3" s="177" t="s">
        <v>69</v>
      </c>
      <c r="L3" s="179" t="s">
        <v>44</v>
      </c>
      <c r="M3" s="177" t="s">
        <v>45</v>
      </c>
      <c r="N3" s="83" t="s">
        <v>46</v>
      </c>
      <c r="O3" s="365" t="s">
        <v>47</v>
      </c>
    </row>
    <row r="4" spans="1:19" x14ac:dyDescent="0.25">
      <c r="A4" s="16"/>
      <c r="B4" s="47">
        <v>45383</v>
      </c>
      <c r="C4" s="50">
        <f>+'Цени борса'!F20</f>
        <v>1280</v>
      </c>
      <c r="D4" s="68">
        <f t="shared" ref="D4:D30" si="0">+IFERROR(E4/C4,0)</f>
        <v>44.2109375</v>
      </c>
      <c r="E4" s="34">
        <f>+'Цени борса'!H20</f>
        <v>56590</v>
      </c>
      <c r="F4" s="50">
        <f>+'Цени борса'!J20</f>
        <v>0</v>
      </c>
      <c r="G4" s="24">
        <f>+IFERROR(H4/F4,0)</f>
        <v>0</v>
      </c>
      <c r="H4" s="34">
        <f>+'Цени борса'!L20</f>
        <v>0</v>
      </c>
      <c r="I4" s="16"/>
      <c r="J4" s="27">
        <f>Общо!AA4</f>
        <v>31.054000000000087</v>
      </c>
      <c r="K4" s="178">
        <f>Общо!AB4</f>
        <v>0</v>
      </c>
      <c r="L4" s="181">
        <v>38</v>
      </c>
      <c r="M4" s="180"/>
      <c r="N4" s="39">
        <f>ROUND(L4*J4,2)</f>
        <v>1180.05</v>
      </c>
      <c r="O4" s="34">
        <f>+ROUND(K4*M4,2)</f>
        <v>0</v>
      </c>
      <c r="P4" s="4"/>
      <c r="Q4" s="4"/>
      <c r="R4" s="4"/>
      <c r="S4" s="4"/>
    </row>
    <row r="5" spans="1:19" x14ac:dyDescent="0.25">
      <c r="A5" s="16"/>
      <c r="B5" s="47">
        <f>+B4+1</f>
        <v>45384</v>
      </c>
      <c r="C5" s="50">
        <f>+'Цени борса'!F38</f>
        <v>1100</v>
      </c>
      <c r="D5" s="68">
        <f t="shared" si="0"/>
        <v>42.972727272727276</v>
      </c>
      <c r="E5" s="34">
        <f>+'Цени борса'!H38</f>
        <v>47270</v>
      </c>
      <c r="F5" s="50">
        <f>+'Цени борса'!J38</f>
        <v>0</v>
      </c>
      <c r="G5" s="24">
        <f t="shared" ref="G5:G30" si="1">+IFERROR(H5/F5,0)</f>
        <v>0</v>
      </c>
      <c r="H5" s="34">
        <f>+'Цени борса'!L38</f>
        <v>0</v>
      </c>
      <c r="I5" s="16"/>
      <c r="J5" s="27">
        <f>Общо!AA5</f>
        <v>0</v>
      </c>
      <c r="K5" s="178">
        <f>Общо!AB5</f>
        <v>-158.5920000000001</v>
      </c>
      <c r="L5" s="641"/>
      <c r="M5" s="639">
        <v>45.697940000000003</v>
      </c>
      <c r="N5" s="39">
        <f t="shared" ref="N5:N33" si="2">ROUND(L5*J5,2)</f>
        <v>0</v>
      </c>
      <c r="O5" s="34">
        <f t="shared" ref="O5:O33" si="3">+ROUND(K5*M5,2)</f>
        <v>-7247.33</v>
      </c>
      <c r="P5" s="4"/>
      <c r="Q5" s="4"/>
      <c r="R5" s="4"/>
      <c r="S5" s="4"/>
    </row>
    <row r="6" spans="1:19" x14ac:dyDescent="0.25">
      <c r="A6" s="16"/>
      <c r="B6" s="47">
        <f t="shared" ref="B6:B33" si="4">+B5+1</f>
        <v>45385</v>
      </c>
      <c r="C6" s="50">
        <f>+'Цени борса'!F57</f>
        <v>1250</v>
      </c>
      <c r="D6" s="68">
        <f t="shared" si="0"/>
        <v>43.523359999999997</v>
      </c>
      <c r="E6" s="34">
        <f>+'Цени борса'!H57</f>
        <v>54404.2</v>
      </c>
      <c r="F6" s="50">
        <f>+'Цени борса'!J57</f>
        <v>0</v>
      </c>
      <c r="G6" s="24">
        <f t="shared" si="1"/>
        <v>0</v>
      </c>
      <c r="H6" s="34">
        <f>+'Цени борса'!L57</f>
        <v>0</v>
      </c>
      <c r="I6" s="16"/>
      <c r="J6" s="27">
        <f>Общо!AA6</f>
        <v>0</v>
      </c>
      <c r="K6" s="178">
        <f>Общо!AB6</f>
        <v>-18.912000000000035</v>
      </c>
      <c r="L6" s="641"/>
      <c r="M6" s="640">
        <v>46.975729999999999</v>
      </c>
      <c r="N6" s="39">
        <f t="shared" si="2"/>
        <v>0</v>
      </c>
      <c r="O6" s="34">
        <f t="shared" si="3"/>
        <v>-888.41</v>
      </c>
      <c r="P6" s="4"/>
      <c r="Q6" s="4"/>
      <c r="R6" s="4"/>
      <c r="S6" s="4"/>
    </row>
    <row r="7" spans="1:19" x14ac:dyDescent="0.25">
      <c r="A7" s="16"/>
      <c r="B7" s="47">
        <f t="shared" si="4"/>
        <v>45386</v>
      </c>
      <c r="C7" s="50">
        <f>+'Цени борса'!F75</f>
        <v>1440</v>
      </c>
      <c r="D7" s="68">
        <f t="shared" si="0"/>
        <v>42.986736111111114</v>
      </c>
      <c r="E7" s="34">
        <f>+'Цени борса'!H75</f>
        <v>61900.9</v>
      </c>
      <c r="F7" s="50">
        <f>+'Цени борса'!J75</f>
        <v>0</v>
      </c>
      <c r="G7" s="24">
        <f t="shared" si="1"/>
        <v>0</v>
      </c>
      <c r="H7" s="34">
        <f>+'Цени борса'!L75</f>
        <v>0</v>
      </c>
      <c r="I7" s="16"/>
      <c r="J7" s="27">
        <f>Общо!AA7</f>
        <v>25.396999999999935</v>
      </c>
      <c r="K7" s="178">
        <f>Общо!AB7</f>
        <v>0</v>
      </c>
      <c r="L7" s="641">
        <v>38.968539999999997</v>
      </c>
      <c r="M7" s="640"/>
      <c r="N7" s="39">
        <f t="shared" si="2"/>
        <v>989.68</v>
      </c>
      <c r="O7" s="34">
        <f>+ROUND(K7*M7,2)</f>
        <v>0</v>
      </c>
      <c r="P7" s="4"/>
      <c r="Q7" s="4"/>
      <c r="R7" s="4"/>
      <c r="S7" s="4"/>
    </row>
    <row r="8" spans="1:19" x14ac:dyDescent="0.25">
      <c r="A8" s="16"/>
      <c r="B8" s="47">
        <f t="shared" si="4"/>
        <v>45387</v>
      </c>
      <c r="C8" s="50">
        <f>+'Цени борса'!F89</f>
        <v>1327</v>
      </c>
      <c r="D8" s="68">
        <f t="shared" si="0"/>
        <v>41.716654107008289</v>
      </c>
      <c r="E8" s="34">
        <f>+'Цени борса'!H89</f>
        <v>55358</v>
      </c>
      <c r="F8" s="50">
        <f>+'Цени борса'!J89</f>
        <v>0</v>
      </c>
      <c r="G8" s="24">
        <f t="shared" si="1"/>
        <v>0</v>
      </c>
      <c r="H8" s="34">
        <f>+'Цени борса'!L89</f>
        <v>0</v>
      </c>
      <c r="I8" s="16"/>
      <c r="J8" s="27">
        <f>Общо!AA8</f>
        <v>0</v>
      </c>
      <c r="K8" s="178">
        <f>Общо!AB8</f>
        <v>-116.42200000000003</v>
      </c>
      <c r="L8" s="641"/>
      <c r="M8" s="640">
        <v>44.821579999999997</v>
      </c>
      <c r="N8" s="39">
        <f t="shared" si="2"/>
        <v>0</v>
      </c>
      <c r="O8" s="34">
        <f t="shared" si="3"/>
        <v>-5218.22</v>
      </c>
      <c r="P8" s="4"/>
      <c r="Q8" s="4"/>
      <c r="R8" s="4"/>
      <c r="S8" s="4"/>
    </row>
    <row r="9" spans="1:19" x14ac:dyDescent="0.25">
      <c r="A9" s="16"/>
      <c r="B9" s="47">
        <f t="shared" si="4"/>
        <v>45388</v>
      </c>
      <c r="C9" s="50">
        <f>+'Цени борса'!F107</f>
        <v>1435</v>
      </c>
      <c r="D9" s="68">
        <f t="shared" si="0"/>
        <v>39.888850174216024</v>
      </c>
      <c r="E9" s="34">
        <f>+'Цени борса'!H107</f>
        <v>57240.5</v>
      </c>
      <c r="F9" s="50">
        <f>+'Цени борса'!J107</f>
        <v>0</v>
      </c>
      <c r="G9" s="24">
        <f t="shared" si="1"/>
        <v>0</v>
      </c>
      <c r="H9" s="34">
        <f>+'Цени борса'!L107</f>
        <v>0</v>
      </c>
      <c r="I9" s="16"/>
      <c r="J9" s="27">
        <f>Общо!AA9</f>
        <v>0</v>
      </c>
      <c r="K9" s="178">
        <f>Общо!AB9</f>
        <v>-55.307999999999993</v>
      </c>
      <c r="L9" s="641"/>
      <c r="M9" s="640">
        <v>42.875129999999999</v>
      </c>
      <c r="N9" s="39">
        <f t="shared" si="2"/>
        <v>0</v>
      </c>
      <c r="O9" s="34">
        <f t="shared" si="3"/>
        <v>-2371.34</v>
      </c>
      <c r="P9" s="4"/>
      <c r="Q9" s="4"/>
      <c r="R9" s="4"/>
      <c r="S9" s="4"/>
    </row>
    <row r="10" spans="1:19" x14ac:dyDescent="0.25">
      <c r="A10" s="16"/>
      <c r="B10" s="47">
        <f t="shared" si="4"/>
        <v>45389</v>
      </c>
      <c r="C10" s="50">
        <f>+'Цени борса'!F123</f>
        <v>1400</v>
      </c>
      <c r="D10" s="68">
        <f t="shared" si="0"/>
        <v>39.839285714285715</v>
      </c>
      <c r="E10" s="34">
        <f>+'Цени борса'!H123</f>
        <v>55775</v>
      </c>
      <c r="F10" s="50">
        <f>+'Цени борса'!J123</f>
        <v>0</v>
      </c>
      <c r="G10" s="24">
        <f t="shared" si="1"/>
        <v>0</v>
      </c>
      <c r="H10" s="34">
        <f>+'Цени борса'!L123</f>
        <v>0</v>
      </c>
      <c r="I10" s="16"/>
      <c r="J10" s="27">
        <f>Общо!AA10</f>
        <v>0</v>
      </c>
      <c r="K10" s="178">
        <f>Общо!AB10</f>
        <v>-54.973999999999933</v>
      </c>
      <c r="L10" s="641"/>
      <c r="M10" s="640">
        <v>42.932070000000003</v>
      </c>
      <c r="N10" s="39">
        <f t="shared" si="2"/>
        <v>0</v>
      </c>
      <c r="O10" s="34">
        <f t="shared" si="3"/>
        <v>-2360.15</v>
      </c>
      <c r="P10" s="4"/>
      <c r="Q10" s="4"/>
      <c r="R10" s="4"/>
      <c r="S10" s="4"/>
    </row>
    <row r="11" spans="1:19" x14ac:dyDescent="0.25">
      <c r="A11" s="16"/>
      <c r="B11" s="47">
        <f t="shared" si="4"/>
        <v>45390</v>
      </c>
      <c r="C11" s="50">
        <f>+'Цени борса'!F136</f>
        <v>1300</v>
      </c>
      <c r="D11" s="68">
        <f t="shared" si="0"/>
        <v>41.03846153846154</v>
      </c>
      <c r="E11" s="34">
        <f>+'Цени борса'!H136</f>
        <v>53350</v>
      </c>
      <c r="F11" s="50">
        <f>+'Цени борса'!J136</f>
        <v>0</v>
      </c>
      <c r="G11" s="24">
        <f t="shared" si="1"/>
        <v>0</v>
      </c>
      <c r="H11" s="34">
        <f>+'Цени борса'!L136</f>
        <v>0</v>
      </c>
      <c r="I11" s="16"/>
      <c r="J11" s="27">
        <f>Общо!AA11</f>
        <v>0</v>
      </c>
      <c r="K11" s="178">
        <f>Общо!AB11</f>
        <v>-80.887000000000171</v>
      </c>
      <c r="L11" s="641"/>
      <c r="M11" s="640">
        <v>44.141829999999999</v>
      </c>
      <c r="N11" s="39">
        <f t="shared" si="2"/>
        <v>0</v>
      </c>
      <c r="O11" s="34">
        <f t="shared" si="3"/>
        <v>-3570.5</v>
      </c>
      <c r="P11" s="4"/>
      <c r="Q11" s="4"/>
      <c r="R11" s="4"/>
      <c r="S11" s="4"/>
    </row>
    <row r="12" spans="1:19" x14ac:dyDescent="0.25">
      <c r="A12" s="16"/>
      <c r="B12" s="47">
        <f t="shared" si="4"/>
        <v>45391</v>
      </c>
      <c r="C12" s="50">
        <f>+'Цени борса'!F153</f>
        <v>1380</v>
      </c>
      <c r="D12" s="68">
        <f t="shared" si="0"/>
        <v>41.884782608695652</v>
      </c>
      <c r="E12" s="34">
        <f>+'Цени борса'!H153</f>
        <v>57801</v>
      </c>
      <c r="F12" s="50">
        <f>+'Цени борса'!J153</f>
        <v>0</v>
      </c>
      <c r="G12" s="24">
        <f t="shared" si="1"/>
        <v>0</v>
      </c>
      <c r="H12" s="34">
        <f>+'Цени борса'!L153</f>
        <v>0</v>
      </c>
      <c r="I12" s="16"/>
      <c r="J12" s="27">
        <f>Общо!AA12</f>
        <v>0</v>
      </c>
      <c r="K12" s="178">
        <f>Общо!AB12</f>
        <v>-6.4300000000000637</v>
      </c>
      <c r="L12" s="641"/>
      <c r="M12" s="640">
        <v>44.888449999999999</v>
      </c>
      <c r="N12" s="39">
        <f t="shared" si="2"/>
        <v>0</v>
      </c>
      <c r="O12" s="34">
        <f t="shared" si="3"/>
        <v>-288.63</v>
      </c>
      <c r="P12" s="4"/>
      <c r="Q12" s="4"/>
      <c r="R12" s="4"/>
      <c r="S12" s="4"/>
    </row>
    <row r="13" spans="1:19" x14ac:dyDescent="0.25">
      <c r="A13" s="16"/>
      <c r="B13" s="47">
        <f t="shared" si="4"/>
        <v>45392</v>
      </c>
      <c r="C13" s="50">
        <f>+'Цени борса'!F171</f>
        <v>1300</v>
      </c>
      <c r="D13" s="68">
        <f t="shared" si="0"/>
        <v>42</v>
      </c>
      <c r="E13" s="34">
        <f>+'Цени борса'!H171</f>
        <v>54600</v>
      </c>
      <c r="F13" s="50">
        <f>+'Цени борса'!J171</f>
        <v>0</v>
      </c>
      <c r="G13" s="24">
        <f t="shared" si="1"/>
        <v>0</v>
      </c>
      <c r="H13" s="34">
        <f>+'Цени борса'!L171</f>
        <v>0</v>
      </c>
      <c r="I13" s="16"/>
      <c r="J13" s="27">
        <f>Общо!AA13</f>
        <v>0</v>
      </c>
      <c r="K13" s="178">
        <f>Общо!AB13</f>
        <v>-77.504000000000133</v>
      </c>
      <c r="L13" s="641"/>
      <c r="M13" s="640">
        <v>46</v>
      </c>
      <c r="N13" s="39">
        <f t="shared" si="2"/>
        <v>0</v>
      </c>
      <c r="O13" s="34">
        <f t="shared" si="3"/>
        <v>-3565.18</v>
      </c>
      <c r="P13" s="4"/>
      <c r="Q13" s="4"/>
      <c r="R13" s="4"/>
      <c r="S13" s="4"/>
    </row>
    <row r="14" spans="1:19" x14ac:dyDescent="0.25">
      <c r="A14" s="16"/>
      <c r="B14" s="47">
        <f t="shared" si="4"/>
        <v>45393</v>
      </c>
      <c r="C14" s="50">
        <f>+'Цени борса'!F183</f>
        <v>1350</v>
      </c>
      <c r="D14" s="68">
        <f t="shared" si="0"/>
        <v>43</v>
      </c>
      <c r="E14" s="34">
        <f>+'Цени борса'!H183</f>
        <v>58050</v>
      </c>
      <c r="F14" s="50">
        <f>+'Цени борса'!J183</f>
        <v>0</v>
      </c>
      <c r="G14" s="24">
        <f t="shared" si="1"/>
        <v>0</v>
      </c>
      <c r="H14" s="34">
        <f>+'Цени борса'!L183</f>
        <v>0</v>
      </c>
      <c r="I14" s="16"/>
      <c r="J14" s="27">
        <f>Общо!AA14</f>
        <v>0</v>
      </c>
      <c r="K14" s="178">
        <f>Общо!AB14</f>
        <v>-28.699999999999818</v>
      </c>
      <c r="L14" s="641"/>
      <c r="M14" s="640">
        <v>46.482660000000003</v>
      </c>
      <c r="N14" s="39">
        <f t="shared" si="2"/>
        <v>0</v>
      </c>
      <c r="O14" s="34">
        <f t="shared" si="3"/>
        <v>-1334.05</v>
      </c>
      <c r="P14" s="4"/>
      <c r="Q14" s="4"/>
      <c r="R14" s="4"/>
      <c r="S14" s="4"/>
    </row>
    <row r="15" spans="1:19" x14ac:dyDescent="0.25">
      <c r="A15" s="16"/>
      <c r="B15" s="47">
        <f t="shared" si="4"/>
        <v>45394</v>
      </c>
      <c r="C15" s="50">
        <f>+'Цени борса'!F199</f>
        <v>1180</v>
      </c>
      <c r="D15" s="68">
        <f t="shared" si="0"/>
        <v>44.754237288135592</v>
      </c>
      <c r="E15" s="34">
        <f>+'Цени борса'!H199</f>
        <v>52810</v>
      </c>
      <c r="F15" s="50">
        <f>+'Цени борса'!J199</f>
        <v>150</v>
      </c>
      <c r="G15" s="24">
        <f t="shared" si="1"/>
        <v>48.93</v>
      </c>
      <c r="H15" s="34">
        <f>+'Цени борса'!L199</f>
        <v>7339.5</v>
      </c>
      <c r="I15" s="16"/>
      <c r="J15" s="27">
        <f>Общо!AA15</f>
        <v>0</v>
      </c>
      <c r="K15" s="178">
        <f>Общо!AB15</f>
        <v>-0.76899999999977808</v>
      </c>
      <c r="L15" s="641"/>
      <c r="M15" s="640">
        <v>47.962820000000001</v>
      </c>
      <c r="N15" s="39">
        <f t="shared" si="2"/>
        <v>0</v>
      </c>
      <c r="O15" s="34">
        <f t="shared" si="3"/>
        <v>-36.880000000000003</v>
      </c>
      <c r="P15" s="4"/>
      <c r="Q15" s="4"/>
      <c r="R15" s="4"/>
      <c r="S15" s="4"/>
    </row>
    <row r="16" spans="1:19" x14ac:dyDescent="0.25">
      <c r="A16" s="16"/>
      <c r="B16" s="47">
        <f t="shared" si="4"/>
        <v>45395</v>
      </c>
      <c r="C16" s="50">
        <f>+'Цени борса'!F212</f>
        <v>230</v>
      </c>
      <c r="D16" s="68">
        <f t="shared" si="0"/>
        <v>43.434782608695649</v>
      </c>
      <c r="E16" s="34">
        <f>+'Цени борса'!H212</f>
        <v>9990</v>
      </c>
      <c r="F16" s="50">
        <f>+'Цени борса'!J212</f>
        <v>0</v>
      </c>
      <c r="G16" s="24">
        <f t="shared" si="1"/>
        <v>0</v>
      </c>
      <c r="H16" s="34">
        <f>+'Цени борса'!L212</f>
        <v>0</v>
      </c>
      <c r="I16" s="16"/>
      <c r="J16" s="27">
        <f>Общо!AA16</f>
        <v>0</v>
      </c>
      <c r="K16" s="178">
        <f>Общо!AB16</f>
        <v>-33.123999999999967</v>
      </c>
      <c r="L16" s="641"/>
      <c r="M16" s="640">
        <v>47.25282</v>
      </c>
      <c r="N16" s="39">
        <f t="shared" si="2"/>
        <v>0</v>
      </c>
      <c r="O16" s="34">
        <f t="shared" si="3"/>
        <v>-1565.2</v>
      </c>
      <c r="P16" s="4"/>
      <c r="Q16" s="4"/>
      <c r="R16" s="4"/>
      <c r="S16" s="4"/>
    </row>
    <row r="17" spans="1:19" x14ac:dyDescent="0.25">
      <c r="A17" s="16"/>
      <c r="B17" s="47">
        <f t="shared" si="4"/>
        <v>45396</v>
      </c>
      <c r="C17" s="50">
        <f>+'Цени борса'!F230</f>
        <v>210</v>
      </c>
      <c r="D17" s="68">
        <f t="shared" si="0"/>
        <v>43.452380952380949</v>
      </c>
      <c r="E17" s="34">
        <f>+'Цени борса'!H230</f>
        <v>9125</v>
      </c>
      <c r="F17" s="50">
        <f>+'Цени борса'!J230</f>
        <v>0</v>
      </c>
      <c r="G17" s="24">
        <f t="shared" si="1"/>
        <v>0</v>
      </c>
      <c r="H17" s="34">
        <f>+'Цени борса'!L230</f>
        <v>0</v>
      </c>
      <c r="I17" s="16"/>
      <c r="J17" s="27">
        <f>Общо!AA17</f>
        <v>0</v>
      </c>
      <c r="K17" s="178">
        <f>Общо!AB17</f>
        <v>-32.385999999999967</v>
      </c>
      <c r="L17" s="641"/>
      <c r="M17" s="640">
        <v>47.07649</v>
      </c>
      <c r="N17" s="39">
        <f t="shared" si="2"/>
        <v>0</v>
      </c>
      <c r="O17" s="34">
        <f t="shared" si="3"/>
        <v>-1524.62</v>
      </c>
      <c r="P17" s="4"/>
      <c r="Q17" s="4"/>
      <c r="R17" s="4"/>
      <c r="S17" s="4"/>
    </row>
    <row r="18" spans="1:19" x14ac:dyDescent="0.25">
      <c r="A18" s="16"/>
      <c r="B18" s="47">
        <f t="shared" si="4"/>
        <v>45397</v>
      </c>
      <c r="C18" s="50">
        <f>+'Цени борса'!F248</f>
        <v>280</v>
      </c>
      <c r="D18" s="68">
        <f t="shared" si="0"/>
        <v>44</v>
      </c>
      <c r="E18" s="34">
        <f>+'Цени борса'!H248</f>
        <v>12320</v>
      </c>
      <c r="F18" s="50">
        <f>+'Цени борса'!J248</f>
        <v>0</v>
      </c>
      <c r="G18" s="24">
        <f t="shared" si="1"/>
        <v>0</v>
      </c>
      <c r="H18" s="34">
        <f>+'Цени борса'!L248</f>
        <v>0</v>
      </c>
      <c r="I18" s="16"/>
      <c r="J18" s="27">
        <f>Общо!AA18</f>
        <v>0</v>
      </c>
      <c r="K18" s="178">
        <f>Общо!AB18</f>
        <v>-8.617999999999995</v>
      </c>
      <c r="L18" s="641"/>
      <c r="M18" s="640">
        <v>47.370950000000001</v>
      </c>
      <c r="N18" s="39">
        <f t="shared" si="2"/>
        <v>0</v>
      </c>
      <c r="O18" s="34">
        <f t="shared" si="3"/>
        <v>-408.24</v>
      </c>
      <c r="P18" s="4"/>
      <c r="Q18" s="4"/>
      <c r="R18" s="4"/>
      <c r="S18" s="4"/>
    </row>
    <row r="19" spans="1:19" x14ac:dyDescent="0.25">
      <c r="A19" s="16"/>
      <c r="B19" s="47">
        <f t="shared" si="4"/>
        <v>45398</v>
      </c>
      <c r="C19" s="50">
        <f>+'Цени борса'!F262</f>
        <v>0</v>
      </c>
      <c r="D19" s="68">
        <f t="shared" si="0"/>
        <v>0</v>
      </c>
      <c r="E19" s="34">
        <f>+'Цени борса'!H262</f>
        <v>0</v>
      </c>
      <c r="F19" s="50">
        <f>+'Цени борса'!J262</f>
        <v>0</v>
      </c>
      <c r="G19" s="24">
        <f t="shared" si="1"/>
        <v>0</v>
      </c>
      <c r="H19" s="34">
        <f>+'Цени борса'!L262</f>
        <v>0</v>
      </c>
      <c r="I19" s="16"/>
      <c r="J19" s="27">
        <f>Общо!AA19</f>
        <v>0</v>
      </c>
      <c r="K19" s="178">
        <f>Общо!AB19</f>
        <v>0</v>
      </c>
      <c r="L19" s="641"/>
      <c r="M19" s="640"/>
      <c r="N19" s="39">
        <f t="shared" si="2"/>
        <v>0</v>
      </c>
      <c r="O19" s="34">
        <f t="shared" si="3"/>
        <v>0</v>
      </c>
      <c r="P19" s="4"/>
      <c r="Q19" s="4"/>
      <c r="R19" s="4"/>
      <c r="S19" s="4"/>
    </row>
    <row r="20" spans="1:19" x14ac:dyDescent="0.25">
      <c r="A20" s="16"/>
      <c r="B20" s="47">
        <f t="shared" si="4"/>
        <v>45399</v>
      </c>
      <c r="C20" s="50">
        <f>+'Цени борса'!F280</f>
        <v>0</v>
      </c>
      <c r="D20" s="68">
        <f t="shared" si="0"/>
        <v>0</v>
      </c>
      <c r="E20" s="34">
        <f>+'Цени борса'!H280</f>
        <v>0</v>
      </c>
      <c r="F20" s="50">
        <f>+'Цени борса'!J280</f>
        <v>0</v>
      </c>
      <c r="G20" s="24">
        <f t="shared" si="1"/>
        <v>0</v>
      </c>
      <c r="H20" s="34">
        <f>+'Цени борса'!L280</f>
        <v>0</v>
      </c>
      <c r="I20" s="16"/>
      <c r="J20" s="27">
        <f>Общо!AA20</f>
        <v>0</v>
      </c>
      <c r="K20" s="178">
        <f>Общо!AB20</f>
        <v>0</v>
      </c>
      <c r="L20" s="641"/>
      <c r="M20" s="640"/>
      <c r="N20" s="39">
        <f t="shared" si="2"/>
        <v>0</v>
      </c>
      <c r="O20" s="34">
        <f t="shared" si="3"/>
        <v>0</v>
      </c>
      <c r="P20" s="4"/>
      <c r="Q20" s="4"/>
      <c r="R20" s="4"/>
      <c r="S20" s="4"/>
    </row>
    <row r="21" spans="1:19" x14ac:dyDescent="0.25">
      <c r="A21" s="16"/>
      <c r="B21" s="47">
        <f t="shared" si="4"/>
        <v>45400</v>
      </c>
      <c r="C21" s="50">
        <f>+'Цени борса'!F293</f>
        <v>0</v>
      </c>
      <c r="D21" s="68">
        <f t="shared" si="0"/>
        <v>0</v>
      </c>
      <c r="E21" s="34">
        <f>+'Цени борса'!H293</f>
        <v>0</v>
      </c>
      <c r="F21" s="50">
        <f>+'Цени борса'!J293</f>
        <v>0</v>
      </c>
      <c r="G21" s="24">
        <f t="shared" si="1"/>
        <v>0</v>
      </c>
      <c r="H21" s="34">
        <f>+'Цени борса'!L293</f>
        <v>0</v>
      </c>
      <c r="I21" s="16"/>
      <c r="J21" s="27">
        <f>Общо!AA21</f>
        <v>0</v>
      </c>
      <c r="K21" s="178">
        <f>Общо!AB21</f>
        <v>0</v>
      </c>
      <c r="L21" s="641"/>
      <c r="M21" s="640"/>
      <c r="N21" s="39">
        <f t="shared" si="2"/>
        <v>0</v>
      </c>
      <c r="O21" s="34">
        <f t="shared" si="3"/>
        <v>0</v>
      </c>
      <c r="P21" s="4"/>
      <c r="Q21" s="4"/>
      <c r="R21" s="4"/>
      <c r="S21" s="4"/>
    </row>
    <row r="22" spans="1:19" x14ac:dyDescent="0.25">
      <c r="A22" s="16"/>
      <c r="B22" s="47">
        <f t="shared" si="4"/>
        <v>45401</v>
      </c>
      <c r="C22" s="50">
        <f>+'Цени борса'!F312</f>
        <v>0</v>
      </c>
      <c r="D22" s="68">
        <f t="shared" si="0"/>
        <v>0</v>
      </c>
      <c r="E22" s="34">
        <f>+'Цени борса'!H312</f>
        <v>0</v>
      </c>
      <c r="F22" s="50">
        <f>+'Цени борса'!J312</f>
        <v>0</v>
      </c>
      <c r="G22" s="24">
        <f t="shared" si="1"/>
        <v>0</v>
      </c>
      <c r="H22" s="34">
        <f>+'Цени борса'!L312</f>
        <v>0</v>
      </c>
      <c r="I22" s="16"/>
      <c r="J22" s="27">
        <f>Общо!AA22</f>
        <v>0</v>
      </c>
      <c r="K22" s="178">
        <f>Общо!AB22</f>
        <v>0</v>
      </c>
      <c r="L22" s="641"/>
      <c r="M22" s="640"/>
      <c r="N22" s="39">
        <f t="shared" si="2"/>
        <v>0</v>
      </c>
      <c r="O22" s="34">
        <f t="shared" si="3"/>
        <v>0</v>
      </c>
      <c r="P22" s="4"/>
      <c r="Q22" s="4"/>
      <c r="R22" s="4"/>
      <c r="S22" s="4"/>
    </row>
    <row r="23" spans="1:19" x14ac:dyDescent="0.25">
      <c r="A23" s="16"/>
      <c r="B23" s="47">
        <f t="shared" si="4"/>
        <v>45402</v>
      </c>
      <c r="C23" s="50">
        <f>+'Цени борса'!F328</f>
        <v>0</v>
      </c>
      <c r="D23" s="68">
        <f t="shared" si="0"/>
        <v>0</v>
      </c>
      <c r="E23" s="34">
        <f>+'Цени борса'!H328</f>
        <v>0</v>
      </c>
      <c r="F23" s="50">
        <f>+'Цени борса'!J328</f>
        <v>0</v>
      </c>
      <c r="G23" s="24">
        <f t="shared" si="1"/>
        <v>0</v>
      </c>
      <c r="H23" s="34">
        <f>+'Цени борса'!L328</f>
        <v>0</v>
      </c>
      <c r="I23" s="16"/>
      <c r="J23" s="27">
        <f>Общо!AA23</f>
        <v>0</v>
      </c>
      <c r="K23" s="178">
        <f>Общо!AB23</f>
        <v>0</v>
      </c>
      <c r="L23" s="641"/>
      <c r="M23" s="640"/>
      <c r="N23" s="39">
        <f t="shared" si="2"/>
        <v>0</v>
      </c>
      <c r="O23" s="34">
        <f t="shared" si="3"/>
        <v>0</v>
      </c>
      <c r="P23" s="4"/>
      <c r="Q23" s="4"/>
      <c r="R23" s="4"/>
      <c r="S23" s="4"/>
    </row>
    <row r="24" spans="1:19" x14ac:dyDescent="0.25">
      <c r="A24" s="16"/>
      <c r="B24" s="47">
        <f t="shared" si="4"/>
        <v>45403</v>
      </c>
      <c r="C24" s="50">
        <f>+'Цени борса'!F343</f>
        <v>0</v>
      </c>
      <c r="D24" s="68">
        <f t="shared" si="0"/>
        <v>0</v>
      </c>
      <c r="E24" s="34">
        <f>+'Цени борса'!H343</f>
        <v>0</v>
      </c>
      <c r="F24" s="50">
        <f>+'Цени борса'!J343</f>
        <v>0</v>
      </c>
      <c r="G24" s="24">
        <f t="shared" si="1"/>
        <v>0</v>
      </c>
      <c r="H24" s="34">
        <f>+'Цени борса'!L343</f>
        <v>0</v>
      </c>
      <c r="I24" s="16"/>
      <c r="J24" s="27">
        <f>Общо!AA24</f>
        <v>0</v>
      </c>
      <c r="K24" s="178">
        <f>Общо!AB24</f>
        <v>0</v>
      </c>
      <c r="L24" s="641"/>
      <c r="M24" s="640"/>
      <c r="N24" s="39">
        <f t="shared" si="2"/>
        <v>0</v>
      </c>
      <c r="O24" s="34">
        <f t="shared" si="3"/>
        <v>0</v>
      </c>
      <c r="P24" s="4"/>
      <c r="Q24" s="4"/>
      <c r="R24" s="4"/>
      <c r="S24" s="4"/>
    </row>
    <row r="25" spans="1:19" x14ac:dyDescent="0.25">
      <c r="A25" s="16"/>
      <c r="B25" s="47">
        <f t="shared" si="4"/>
        <v>45404</v>
      </c>
      <c r="C25" s="50">
        <f>+'Цени борса'!F358</f>
        <v>0</v>
      </c>
      <c r="D25" s="68">
        <f t="shared" si="0"/>
        <v>0</v>
      </c>
      <c r="E25" s="34">
        <f>+'Цени борса'!H358</f>
        <v>0</v>
      </c>
      <c r="F25" s="50">
        <f>+'Цени борса'!J358</f>
        <v>0</v>
      </c>
      <c r="G25" s="24">
        <f t="shared" si="1"/>
        <v>0</v>
      </c>
      <c r="H25" s="34">
        <f>+'Цени борса'!L358</f>
        <v>0</v>
      </c>
      <c r="I25" s="16"/>
      <c r="J25" s="27">
        <f>Общо!AA25</f>
        <v>0</v>
      </c>
      <c r="K25" s="178">
        <f>Общо!AB25</f>
        <v>0</v>
      </c>
      <c r="L25" s="641"/>
      <c r="M25" s="640"/>
      <c r="N25" s="39">
        <f t="shared" si="2"/>
        <v>0</v>
      </c>
      <c r="O25" s="34">
        <f t="shared" si="3"/>
        <v>0</v>
      </c>
      <c r="P25" s="4"/>
      <c r="Q25" s="4"/>
      <c r="R25" s="4"/>
      <c r="S25" s="4"/>
    </row>
    <row r="26" spans="1:19" x14ac:dyDescent="0.25">
      <c r="A26" s="16"/>
      <c r="B26" s="47">
        <f t="shared" si="4"/>
        <v>45405</v>
      </c>
      <c r="C26" s="50">
        <f>+'Цени борса'!F374</f>
        <v>0</v>
      </c>
      <c r="D26" s="68">
        <f t="shared" si="0"/>
        <v>0</v>
      </c>
      <c r="E26" s="34">
        <f>+'Цени борса'!H374</f>
        <v>0</v>
      </c>
      <c r="F26" s="50">
        <f>+'Цени борса'!J374</f>
        <v>0</v>
      </c>
      <c r="G26" s="24">
        <f t="shared" si="1"/>
        <v>0</v>
      </c>
      <c r="H26" s="34">
        <f>+'Цени борса'!L374</f>
        <v>0</v>
      </c>
      <c r="I26" s="16"/>
      <c r="J26" s="27">
        <f>Общо!AA26</f>
        <v>0</v>
      </c>
      <c r="K26" s="178">
        <f>Общо!AB26</f>
        <v>0</v>
      </c>
      <c r="L26" s="641"/>
      <c r="M26" s="640"/>
      <c r="N26" s="39">
        <f t="shared" si="2"/>
        <v>0</v>
      </c>
      <c r="O26" s="34">
        <f t="shared" si="3"/>
        <v>0</v>
      </c>
      <c r="P26" s="4"/>
      <c r="Q26" s="4"/>
      <c r="R26" s="4"/>
      <c r="S26" s="4"/>
    </row>
    <row r="27" spans="1:19" x14ac:dyDescent="0.25">
      <c r="A27" s="16"/>
      <c r="B27" s="47">
        <f t="shared" si="4"/>
        <v>45406</v>
      </c>
      <c r="C27" s="50">
        <f>+'Цени борса'!F388</f>
        <v>0</v>
      </c>
      <c r="D27" s="68">
        <f t="shared" si="0"/>
        <v>0</v>
      </c>
      <c r="E27" s="34">
        <f>+'Цени борса'!H388</f>
        <v>0</v>
      </c>
      <c r="F27" s="50">
        <f>+'Цени борса'!J388</f>
        <v>0</v>
      </c>
      <c r="G27" s="24">
        <f t="shared" si="1"/>
        <v>0</v>
      </c>
      <c r="H27" s="34">
        <f>+'Цени борса'!L388</f>
        <v>0</v>
      </c>
      <c r="I27" s="16"/>
      <c r="J27" s="27">
        <f>Общо!AA27</f>
        <v>0</v>
      </c>
      <c r="K27" s="178">
        <f>Общо!AB27</f>
        <v>0</v>
      </c>
      <c r="L27" s="641"/>
      <c r="M27" s="640"/>
      <c r="N27" s="39">
        <f t="shared" si="2"/>
        <v>0</v>
      </c>
      <c r="O27" s="34">
        <f t="shared" si="3"/>
        <v>0</v>
      </c>
      <c r="P27" s="4"/>
      <c r="Q27" s="4"/>
      <c r="R27" s="4"/>
      <c r="S27" s="4"/>
    </row>
    <row r="28" spans="1:19" x14ac:dyDescent="0.25">
      <c r="A28" s="16"/>
      <c r="B28" s="47">
        <f t="shared" si="4"/>
        <v>45407</v>
      </c>
      <c r="C28" s="50">
        <f>+'Цени борса'!F403</f>
        <v>0</v>
      </c>
      <c r="D28" s="68">
        <f t="shared" si="0"/>
        <v>0</v>
      </c>
      <c r="E28" s="34">
        <f>+'Цени борса'!H403</f>
        <v>0</v>
      </c>
      <c r="F28" s="50">
        <f>+'Цени борса'!J403</f>
        <v>0</v>
      </c>
      <c r="G28" s="24">
        <f t="shared" si="1"/>
        <v>0</v>
      </c>
      <c r="H28" s="34">
        <f>+'Цени борса'!L403</f>
        <v>0</v>
      </c>
      <c r="I28" s="16"/>
      <c r="J28" s="27">
        <f>Общо!AA28</f>
        <v>0</v>
      </c>
      <c r="K28" s="178">
        <f>Общо!AB28</f>
        <v>0</v>
      </c>
      <c r="L28" s="641"/>
      <c r="M28" s="640"/>
      <c r="N28" s="39">
        <f t="shared" si="2"/>
        <v>0</v>
      </c>
      <c r="O28" s="34">
        <f t="shared" si="3"/>
        <v>0</v>
      </c>
      <c r="P28" s="4"/>
      <c r="Q28" s="4"/>
      <c r="R28" s="4"/>
      <c r="S28" s="4"/>
    </row>
    <row r="29" spans="1:19" x14ac:dyDescent="0.25">
      <c r="A29" s="16"/>
      <c r="B29" s="47">
        <f t="shared" si="4"/>
        <v>45408</v>
      </c>
      <c r="C29" s="50">
        <f>+'Цени борса'!F415</f>
        <v>0</v>
      </c>
      <c r="D29" s="68">
        <f t="shared" si="0"/>
        <v>0</v>
      </c>
      <c r="E29" s="34">
        <f>+'Цени борса'!H415</f>
        <v>0</v>
      </c>
      <c r="F29" s="50">
        <f>+'Цени борса'!J415</f>
        <v>0</v>
      </c>
      <c r="G29" s="24">
        <f t="shared" si="1"/>
        <v>0</v>
      </c>
      <c r="H29" s="34">
        <f>+'Цени борса'!L415</f>
        <v>0</v>
      </c>
      <c r="I29" s="16"/>
      <c r="J29" s="27">
        <f>Общо!AA29</f>
        <v>0</v>
      </c>
      <c r="K29" s="178">
        <f>Общо!AB29</f>
        <v>0</v>
      </c>
      <c r="L29" s="641"/>
      <c r="M29" s="640"/>
      <c r="N29" s="39">
        <f t="shared" si="2"/>
        <v>0</v>
      </c>
      <c r="O29" s="34">
        <f t="shared" si="3"/>
        <v>0</v>
      </c>
      <c r="P29" s="4"/>
      <c r="Q29" s="4"/>
      <c r="R29" s="4"/>
      <c r="S29" s="4"/>
    </row>
    <row r="30" spans="1:19" x14ac:dyDescent="0.25">
      <c r="A30" s="16"/>
      <c r="B30" s="47">
        <f t="shared" si="4"/>
        <v>45409</v>
      </c>
      <c r="C30" s="50">
        <f>+'Цени борса'!F435</f>
        <v>0</v>
      </c>
      <c r="D30" s="68">
        <f t="shared" si="0"/>
        <v>0</v>
      </c>
      <c r="E30" s="34">
        <f>+'Цени борса'!H435</f>
        <v>0</v>
      </c>
      <c r="F30" s="50">
        <f>+'Цени борса'!J435</f>
        <v>0</v>
      </c>
      <c r="G30" s="24">
        <f t="shared" si="1"/>
        <v>0</v>
      </c>
      <c r="H30" s="34">
        <f>+'Цени борса'!L435</f>
        <v>0</v>
      </c>
      <c r="I30" s="16"/>
      <c r="J30" s="27">
        <f>Общо!AA30</f>
        <v>0</v>
      </c>
      <c r="K30" s="178">
        <f>Общо!AB30</f>
        <v>0</v>
      </c>
      <c r="L30" s="641"/>
      <c r="M30" s="639"/>
      <c r="N30" s="39">
        <f t="shared" si="2"/>
        <v>0</v>
      </c>
      <c r="O30" s="34">
        <f t="shared" si="3"/>
        <v>0</v>
      </c>
      <c r="P30" s="4"/>
      <c r="Q30" s="4"/>
      <c r="R30" s="4"/>
      <c r="S30" s="4"/>
    </row>
    <row r="31" spans="1:19" x14ac:dyDescent="0.25">
      <c r="A31" s="16"/>
      <c r="B31" s="47">
        <f t="shared" si="4"/>
        <v>45410</v>
      </c>
      <c r="C31" s="50">
        <f>+'Цени борса'!F452</f>
        <v>0</v>
      </c>
      <c r="D31" s="68">
        <f t="shared" ref="D31:D33" si="5">+IFERROR(E31/C31,0)</f>
        <v>0</v>
      </c>
      <c r="E31" s="34">
        <f>+'Цени борса'!H452</f>
        <v>0</v>
      </c>
      <c r="F31" s="50">
        <f>+'Цени борса'!J452</f>
        <v>0</v>
      </c>
      <c r="G31" s="24">
        <f t="shared" ref="G31:G33" si="6">+IFERROR(H31/F31,0)</f>
        <v>0</v>
      </c>
      <c r="H31" s="34">
        <f>+'Цени борса'!L436</f>
        <v>0</v>
      </c>
      <c r="I31" s="16"/>
      <c r="J31" s="27">
        <f>Общо!AA31</f>
        <v>0</v>
      </c>
      <c r="K31" s="178">
        <f>Общо!AB31</f>
        <v>0</v>
      </c>
      <c r="L31" s="641"/>
      <c r="M31" s="639"/>
      <c r="N31" s="39">
        <f t="shared" si="2"/>
        <v>0</v>
      </c>
      <c r="O31" s="34">
        <f t="shared" si="3"/>
        <v>0</v>
      </c>
      <c r="P31" s="4"/>
      <c r="Q31" s="4"/>
      <c r="R31" s="4"/>
      <c r="S31" s="4"/>
    </row>
    <row r="32" spans="1:19" x14ac:dyDescent="0.25">
      <c r="A32" s="16"/>
      <c r="B32" s="47">
        <f t="shared" si="4"/>
        <v>45411</v>
      </c>
      <c r="C32" s="50">
        <f>+'Цени борса'!F466</f>
        <v>0</v>
      </c>
      <c r="D32" s="68">
        <f t="shared" si="5"/>
        <v>0</v>
      </c>
      <c r="E32" s="34">
        <f>+'Цени борса'!H466</f>
        <v>0</v>
      </c>
      <c r="F32" s="50">
        <f>+'Цени борса'!J466</f>
        <v>0</v>
      </c>
      <c r="G32" s="24">
        <f t="shared" si="6"/>
        <v>0</v>
      </c>
      <c r="H32" s="34">
        <f>+'Цени борса'!L466</f>
        <v>0</v>
      </c>
      <c r="I32" s="16"/>
      <c r="J32" s="27">
        <f>Общо!AA32</f>
        <v>0</v>
      </c>
      <c r="K32" s="178">
        <f>Общо!AB32</f>
        <v>0</v>
      </c>
      <c r="L32" s="641"/>
      <c r="M32" s="639"/>
      <c r="N32" s="39">
        <f t="shared" si="2"/>
        <v>0</v>
      </c>
      <c r="O32" s="34">
        <f t="shared" si="3"/>
        <v>0</v>
      </c>
      <c r="P32" s="4"/>
      <c r="Q32" s="4"/>
      <c r="R32" s="4"/>
      <c r="S32" s="4"/>
    </row>
    <row r="33" spans="1:19" ht="15.75" thickBot="1" x14ac:dyDescent="0.3">
      <c r="A33" s="16"/>
      <c r="B33" s="650">
        <f t="shared" si="4"/>
        <v>45412</v>
      </c>
      <c r="C33" s="651">
        <f>+'Цени борса'!F477</f>
        <v>0</v>
      </c>
      <c r="D33" s="652">
        <f t="shared" si="5"/>
        <v>0</v>
      </c>
      <c r="E33" s="647">
        <f>+'Цени борса'!H477</f>
        <v>0</v>
      </c>
      <c r="F33" s="651">
        <f>+'Цени борса'!J477</f>
        <v>0</v>
      </c>
      <c r="G33" s="653">
        <f t="shared" si="6"/>
        <v>0</v>
      </c>
      <c r="H33" s="647">
        <f>+'Цени борса'!L477</f>
        <v>0</v>
      </c>
      <c r="I33" s="16"/>
      <c r="J33" s="642">
        <f>Общо!AA33</f>
        <v>0</v>
      </c>
      <c r="K33" s="643">
        <f>Общо!AB33</f>
        <v>0</v>
      </c>
      <c r="L33" s="644"/>
      <c r="M33" s="645"/>
      <c r="N33" s="646">
        <f t="shared" si="2"/>
        <v>0</v>
      </c>
      <c r="O33" s="647">
        <f t="shared" si="3"/>
        <v>0</v>
      </c>
      <c r="P33" s="4"/>
      <c r="Q33" s="4"/>
      <c r="R33" s="4"/>
      <c r="S33" s="4"/>
    </row>
    <row r="34" spans="1:19" x14ac:dyDescent="0.25">
      <c r="C34" s="84">
        <f>SUM(C4:C33)</f>
        <v>16462</v>
      </c>
      <c r="D34" s="648">
        <f>+E34/C34</f>
        <v>42.314700522415258</v>
      </c>
      <c r="E34" s="649">
        <f>SUM(E4:E33)</f>
        <v>696584.6</v>
      </c>
      <c r="F34" s="84">
        <f>SUM(F4:F33)</f>
        <v>150</v>
      </c>
      <c r="G34" s="85"/>
      <c r="H34" s="84">
        <f>SUM(H4:H33)</f>
        <v>7339.5</v>
      </c>
      <c r="J34" s="16">
        <f>SUM(J4:J33)</f>
        <v>56.451000000000022</v>
      </c>
      <c r="K34" s="156">
        <f>SUM(K4:K33)</f>
        <v>-672.62599999999998</v>
      </c>
      <c r="M34" s="154">
        <f>+O34/K34</f>
        <v>45.164400424604466</v>
      </c>
      <c r="N34" s="4">
        <f>SUM(N4:N33)</f>
        <v>2169.73</v>
      </c>
      <c r="O34" s="16">
        <f>SUM(O4:O33)</f>
        <v>-30378.750000000004</v>
      </c>
      <c r="P34" s="373"/>
      <c r="Q34" s="373"/>
      <c r="R34" s="373"/>
      <c r="S34" s="373"/>
    </row>
    <row r="35" spans="1:19" x14ac:dyDescent="0.25">
      <c r="C35" s="16"/>
      <c r="E35" s="4"/>
      <c r="F35" s="16"/>
      <c r="G35" s="3"/>
      <c r="H35" s="4"/>
      <c r="J35" s="1">
        <f>+N34/J34</f>
        <v>38.435634444031095</v>
      </c>
      <c r="K35" s="154">
        <f>+O34/K34</f>
        <v>45.164400424604466</v>
      </c>
    </row>
    <row r="36" spans="1:19" x14ac:dyDescent="0.25">
      <c r="C36" s="16"/>
      <c r="G36" s="3"/>
      <c r="H36" s="4"/>
      <c r="K36" s="156">
        <v>9.0949470177292824E-13</v>
      </c>
      <c r="L36" s="184"/>
    </row>
    <row r="37" spans="1:19" x14ac:dyDescent="0.25">
      <c r="C37" s="16"/>
      <c r="E37" s="16"/>
      <c r="F37" s="16"/>
      <c r="H37" s="16"/>
      <c r="N37" s="3"/>
    </row>
    <row r="38" spans="1:19" x14ac:dyDescent="0.25">
      <c r="E38" s="16"/>
      <c r="N38" s="3"/>
    </row>
    <row r="39" spans="1:19" x14ac:dyDescent="0.25">
      <c r="E39" s="16"/>
    </row>
  </sheetData>
  <mergeCells count="3">
    <mergeCell ref="C2:E2"/>
    <mergeCell ref="F2:H2"/>
    <mergeCell ref="J2:O2"/>
  </mergeCells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rgb="FFFF0000"/>
  </sheetPr>
  <dimension ref="A4:BZ478"/>
  <sheetViews>
    <sheetView zoomScale="85" zoomScaleNormal="85" workbookViewId="0">
      <pane ySplit="8" topLeftCell="A223" activePane="bottomLeft" state="frozen"/>
      <selection pane="bottomLeft" activeCell="E234" sqref="E234"/>
    </sheetView>
  </sheetViews>
  <sheetFormatPr defaultColWidth="8.85546875" defaultRowHeight="15" x14ac:dyDescent="0.25"/>
  <cols>
    <col min="1" max="1" width="12.85546875" style="154" customWidth="1"/>
    <col min="2" max="2" width="14.7109375" style="154" customWidth="1"/>
    <col min="3" max="3" width="36.85546875" style="154" bestFit="1" customWidth="1"/>
    <col min="4" max="4" width="17.28515625" style="271" customWidth="1"/>
    <col min="5" max="5" width="18.5703125" style="268" bestFit="1" customWidth="1"/>
    <col min="6" max="6" width="13.140625" style="235" customWidth="1"/>
    <col min="7" max="7" width="14" style="154" customWidth="1"/>
    <col min="8" max="8" width="13.140625" style="154" bestFit="1" customWidth="1"/>
    <col min="9" max="9" width="20.85546875" style="268" customWidth="1"/>
    <col min="10" max="10" width="12.140625" style="154" customWidth="1"/>
    <col min="11" max="11" width="9" style="154" bestFit="1" customWidth="1"/>
    <col min="12" max="12" width="15.28515625" style="154" customWidth="1"/>
    <col min="13" max="13" width="9" style="154" bestFit="1" customWidth="1"/>
    <col min="14" max="50" width="8.85546875" style="154"/>
    <col min="51" max="52" width="11.85546875" style="154" bestFit="1" customWidth="1"/>
    <col min="53" max="54" width="10.28515625" style="154" bestFit="1" customWidth="1"/>
    <col min="55" max="55" width="11.85546875" style="154" bestFit="1" customWidth="1"/>
    <col min="56" max="56" width="10.28515625" style="154" bestFit="1" customWidth="1"/>
    <col min="57" max="57" width="9.140625" style="154" bestFit="1" customWidth="1"/>
    <col min="58" max="58" width="14.28515625" style="154" bestFit="1" customWidth="1"/>
    <col min="59" max="70" width="8.85546875" style="154"/>
    <col min="71" max="72" width="11.85546875" style="154" bestFit="1" customWidth="1"/>
    <col min="73" max="74" width="10.28515625" style="154" bestFit="1" customWidth="1"/>
    <col min="75" max="75" width="11.85546875" style="154" bestFit="1" customWidth="1"/>
    <col min="76" max="76" width="10.28515625" style="154" bestFit="1" customWidth="1"/>
    <col min="77" max="77" width="9.140625" style="154" bestFit="1" customWidth="1"/>
    <col min="78" max="78" width="14.28515625" style="154" bestFit="1" customWidth="1"/>
    <col min="79" max="16384" width="8.85546875" style="154"/>
  </cols>
  <sheetData>
    <row r="4" spans="1:78" x14ac:dyDescent="0.25">
      <c r="E4" s="272"/>
      <c r="F4" s="706"/>
      <c r="G4" s="706"/>
      <c r="H4" s="706"/>
      <c r="AY4" s="382">
        <v>4714000.2</v>
      </c>
      <c r="AZ4" s="382">
        <v>1735236.8</v>
      </c>
      <c r="BA4" s="382">
        <v>704782.9</v>
      </c>
      <c r="BB4" s="382">
        <v>266039.33</v>
      </c>
      <c r="BC4" s="382">
        <v>2793735</v>
      </c>
      <c r="BD4" s="382">
        <v>201540.85</v>
      </c>
      <c r="BE4" s="382">
        <v>0</v>
      </c>
      <c r="BF4" s="383">
        <f>SUM(AY4:BE4)</f>
        <v>10415335.08</v>
      </c>
      <c r="BS4" s="382">
        <v>7218000</v>
      </c>
      <c r="BT4" s="382">
        <v>1735236.8</v>
      </c>
      <c r="BU4" s="382">
        <v>704782.9</v>
      </c>
      <c r="BV4" s="382">
        <v>266039.33</v>
      </c>
      <c r="BW4" s="382">
        <v>2793735</v>
      </c>
      <c r="BX4" s="382">
        <v>201540.85</v>
      </c>
      <c r="BY4" s="382">
        <v>0</v>
      </c>
      <c r="BZ4" s="383">
        <f>SUM(BS4:BY4)</f>
        <v>12919334.880000001</v>
      </c>
    </row>
    <row r="6" spans="1:78" ht="14.45" customHeight="1" thickBot="1" x14ac:dyDescent="0.3">
      <c r="D6" s="704" t="s">
        <v>32</v>
      </c>
      <c r="E6" s="705"/>
      <c r="F6" s="705"/>
      <c r="G6" s="705"/>
      <c r="H6" s="705"/>
      <c r="I6" s="705"/>
      <c r="J6" s="705"/>
      <c r="K6" s="705"/>
      <c r="L6" s="705"/>
    </row>
    <row r="7" spans="1:78" ht="15" customHeight="1" thickBot="1" x14ac:dyDescent="0.3">
      <c r="D7" s="387"/>
      <c r="E7" s="699" t="s">
        <v>190</v>
      </c>
      <c r="F7" s="700"/>
      <c r="G7" s="701"/>
      <c r="H7" s="702" t="s">
        <v>33</v>
      </c>
      <c r="I7" s="699" t="s">
        <v>191</v>
      </c>
      <c r="J7" s="700"/>
      <c r="K7" s="701"/>
      <c r="L7" s="702" t="s">
        <v>33</v>
      </c>
    </row>
    <row r="8" spans="1:78" ht="72" thickBot="1" x14ac:dyDescent="0.3">
      <c r="A8" s="273" t="s">
        <v>64</v>
      </c>
      <c r="B8" s="273" t="s">
        <v>62</v>
      </c>
      <c r="C8" s="386" t="s">
        <v>63</v>
      </c>
      <c r="D8" s="388" t="s">
        <v>34</v>
      </c>
      <c r="E8" s="273" t="s">
        <v>35</v>
      </c>
      <c r="F8" s="274" t="s">
        <v>36</v>
      </c>
      <c r="G8" s="389" t="s">
        <v>37</v>
      </c>
      <c r="H8" s="703"/>
      <c r="I8" s="273" t="s">
        <v>35</v>
      </c>
      <c r="J8" s="274" t="s">
        <v>36</v>
      </c>
      <c r="K8" s="389" t="s">
        <v>37</v>
      </c>
      <c r="L8" s="703"/>
    </row>
    <row r="9" spans="1:78" ht="15.75" thickBot="1" x14ac:dyDescent="0.3">
      <c r="A9" s="262"/>
      <c r="B9" s="262"/>
      <c r="C9" s="275"/>
      <c r="D9" s="276"/>
      <c r="E9" s="277"/>
      <c r="F9" s="278"/>
      <c r="G9" s="279"/>
      <c r="H9" s="280">
        <f>F9*G9</f>
        <v>0</v>
      </c>
      <c r="I9" s="277"/>
      <c r="J9" s="278"/>
      <c r="K9" s="279"/>
      <c r="L9" s="280">
        <f>J9*K9</f>
        <v>0</v>
      </c>
    </row>
    <row r="10" spans="1:78" s="235" customFormat="1" ht="15.75" thickBot="1" x14ac:dyDescent="0.3">
      <c r="A10" s="262"/>
      <c r="B10" s="262"/>
      <c r="C10" s="275"/>
      <c r="D10" s="281">
        <v>45383</v>
      </c>
      <c r="E10" s="282"/>
      <c r="F10" s="384"/>
      <c r="G10" s="385"/>
      <c r="H10" s="284">
        <f>F10*G10</f>
        <v>0</v>
      </c>
      <c r="I10" s="282"/>
      <c r="J10" s="384"/>
      <c r="K10" s="385"/>
      <c r="L10" s="284">
        <f>J10*K10</f>
        <v>0</v>
      </c>
    </row>
    <row r="11" spans="1:78" s="235" customFormat="1" ht="13.15" customHeight="1" x14ac:dyDescent="0.25">
      <c r="A11" s="262" t="s">
        <v>6</v>
      </c>
      <c r="B11" s="262" t="s">
        <v>309</v>
      </c>
      <c r="C11" s="263" t="s">
        <v>310</v>
      </c>
      <c r="D11" s="281"/>
      <c r="E11" s="282" t="s">
        <v>315</v>
      </c>
      <c r="F11" s="283">
        <v>500</v>
      </c>
      <c r="G11" s="283">
        <v>45</v>
      </c>
      <c r="H11" s="284">
        <f>F11*G11</f>
        <v>22500</v>
      </c>
      <c r="I11" s="282"/>
      <c r="J11" s="283"/>
      <c r="K11" s="283"/>
      <c r="L11" s="284">
        <f>J11*K11</f>
        <v>0</v>
      </c>
    </row>
    <row r="12" spans="1:78" s="235" customFormat="1" x14ac:dyDescent="0.25">
      <c r="A12" s="262" t="s">
        <v>6</v>
      </c>
      <c r="B12" s="262" t="s">
        <v>309</v>
      </c>
      <c r="C12" s="263" t="s">
        <v>311</v>
      </c>
      <c r="D12" s="281"/>
      <c r="E12" s="282" t="s">
        <v>316</v>
      </c>
      <c r="F12" s="283">
        <v>500</v>
      </c>
      <c r="G12" s="283">
        <v>44.5</v>
      </c>
      <c r="H12" s="284">
        <f t="shared" ref="H12:H17" si="0">F12*G12</f>
        <v>22250</v>
      </c>
      <c r="I12" s="282"/>
      <c r="J12" s="283"/>
      <c r="K12" s="283"/>
      <c r="L12" s="284">
        <f t="shared" ref="L12:L17" si="1">J12*K12</f>
        <v>0</v>
      </c>
    </row>
    <row r="13" spans="1:78" s="235" customFormat="1" x14ac:dyDescent="0.25">
      <c r="A13" s="262" t="s">
        <v>6</v>
      </c>
      <c r="B13" s="262" t="s">
        <v>309</v>
      </c>
      <c r="C13" s="263" t="s">
        <v>312</v>
      </c>
      <c r="D13" s="281"/>
      <c r="E13" s="282" t="s">
        <v>317</v>
      </c>
      <c r="F13" s="283">
        <v>200</v>
      </c>
      <c r="G13" s="283">
        <v>43</v>
      </c>
      <c r="H13" s="284">
        <f t="shared" si="0"/>
        <v>8600</v>
      </c>
      <c r="I13" s="282"/>
      <c r="J13" s="283"/>
      <c r="K13" s="283"/>
      <c r="L13" s="284">
        <f t="shared" si="1"/>
        <v>0</v>
      </c>
    </row>
    <row r="14" spans="1:78" s="235" customFormat="1" x14ac:dyDescent="0.25">
      <c r="A14" s="262" t="s">
        <v>6</v>
      </c>
      <c r="B14" s="262" t="s">
        <v>309</v>
      </c>
      <c r="C14" s="263" t="s">
        <v>313</v>
      </c>
      <c r="D14" s="281"/>
      <c r="E14" s="282" t="s">
        <v>318</v>
      </c>
      <c r="F14" s="283">
        <v>50</v>
      </c>
      <c r="G14" s="283">
        <v>42</v>
      </c>
      <c r="H14" s="284">
        <f t="shared" si="0"/>
        <v>2100</v>
      </c>
      <c r="I14" s="282"/>
      <c r="J14" s="283"/>
      <c r="K14" s="283"/>
      <c r="L14" s="284">
        <f t="shared" si="1"/>
        <v>0</v>
      </c>
    </row>
    <row r="15" spans="1:78" s="235" customFormat="1" x14ac:dyDescent="0.25">
      <c r="A15" s="262" t="s">
        <v>6</v>
      </c>
      <c r="B15" s="262" t="s">
        <v>309</v>
      </c>
      <c r="C15" s="263" t="s">
        <v>314</v>
      </c>
      <c r="D15" s="281"/>
      <c r="E15" s="282" t="s">
        <v>319</v>
      </c>
      <c r="F15" s="283">
        <v>30</v>
      </c>
      <c r="G15" s="283">
        <v>38</v>
      </c>
      <c r="H15" s="284">
        <f t="shared" si="0"/>
        <v>1140</v>
      </c>
      <c r="I15" s="282"/>
      <c r="J15" s="283"/>
      <c r="K15" s="283"/>
      <c r="L15" s="284">
        <f t="shared" si="1"/>
        <v>0</v>
      </c>
    </row>
    <row r="16" spans="1:78" s="235" customFormat="1" x14ac:dyDescent="0.25">
      <c r="A16" s="262"/>
      <c r="B16" s="262"/>
      <c r="C16" s="263"/>
      <c r="D16" s="281"/>
      <c r="E16" s="282"/>
      <c r="F16" s="283"/>
      <c r="G16" s="283"/>
      <c r="H16" s="284">
        <f t="shared" si="0"/>
        <v>0</v>
      </c>
      <c r="I16" s="282"/>
      <c r="J16" s="283"/>
      <c r="K16" s="283"/>
      <c r="L16" s="284">
        <f t="shared" si="1"/>
        <v>0</v>
      </c>
    </row>
    <row r="17" spans="1:13" x14ac:dyDescent="0.25">
      <c r="A17" s="262"/>
      <c r="B17" s="262"/>
      <c r="C17" s="286"/>
      <c r="D17" s="281"/>
      <c r="E17" s="282"/>
      <c r="F17" s="287"/>
      <c r="G17" s="283"/>
      <c r="H17" s="309">
        <f t="shared" si="0"/>
        <v>0</v>
      </c>
      <c r="I17" s="282"/>
      <c r="J17" s="287"/>
      <c r="K17" s="283"/>
      <c r="L17" s="309">
        <f t="shared" si="1"/>
        <v>0</v>
      </c>
    </row>
    <row r="18" spans="1:13" x14ac:dyDescent="0.25">
      <c r="A18" s="262"/>
      <c r="B18" s="262"/>
      <c r="C18" s="286"/>
      <c r="D18" s="281"/>
      <c r="E18" s="282"/>
      <c r="F18" s="287"/>
      <c r="G18" s="283"/>
      <c r="H18" s="309">
        <f>F18*G18</f>
        <v>0</v>
      </c>
      <c r="I18" s="282"/>
      <c r="J18" s="287"/>
      <c r="K18" s="283"/>
      <c r="L18" s="309">
        <f>J18*K18</f>
        <v>0</v>
      </c>
    </row>
    <row r="19" spans="1:13" s="235" customFormat="1" ht="15.75" thickBot="1" x14ac:dyDescent="0.3">
      <c r="A19" s="262"/>
      <c r="B19" s="262"/>
      <c r="C19" s="263"/>
      <c r="D19" s="281"/>
      <c r="E19" s="282"/>
      <c r="F19" s="283"/>
      <c r="G19" s="283"/>
      <c r="H19" s="284">
        <f>F19*G19</f>
        <v>0</v>
      </c>
      <c r="I19" s="282"/>
      <c r="J19" s="283"/>
      <c r="K19" s="283"/>
      <c r="L19" s="284">
        <f>J19*K19</f>
        <v>0</v>
      </c>
    </row>
    <row r="20" spans="1:13" ht="15.75" thickBot="1" x14ac:dyDescent="0.3">
      <c r="A20" s="288"/>
      <c r="B20" s="288"/>
      <c r="C20" s="263"/>
      <c r="D20" s="294" t="s">
        <v>0</v>
      </c>
      <c r="E20" s="295"/>
      <c r="F20" s="296">
        <f>SUM(F9:F19)</f>
        <v>1280</v>
      </c>
      <c r="G20" s="297">
        <f>H20/F20</f>
        <v>44.2109375</v>
      </c>
      <c r="H20" s="298">
        <f>SUM(H9:H19)</f>
        <v>56590</v>
      </c>
      <c r="I20" s="295"/>
      <c r="J20" s="296">
        <f>SUM(J9:J19)</f>
        <v>0</v>
      </c>
      <c r="K20" s="297" t="e">
        <f>L20/J20</f>
        <v>#DIV/0!</v>
      </c>
      <c r="L20" s="298">
        <f>SUM(L9:L19)</f>
        <v>0</v>
      </c>
    </row>
    <row r="21" spans="1:13" ht="15" customHeight="1" thickBot="1" x14ac:dyDescent="0.3">
      <c r="A21" s="299"/>
      <c r="B21" s="299"/>
      <c r="C21" s="299"/>
      <c r="D21" s="300"/>
      <c r="E21" s="301"/>
      <c r="F21" s="301"/>
      <c r="G21" s="302"/>
      <c r="H21" s="303"/>
      <c r="I21" s="301"/>
      <c r="J21" s="301"/>
      <c r="K21" s="302"/>
      <c r="L21" s="303"/>
    </row>
    <row r="22" spans="1:13" x14ac:dyDescent="0.25">
      <c r="A22" s="288"/>
      <c r="B22" s="288"/>
      <c r="C22" s="263"/>
      <c r="D22" s="276"/>
      <c r="E22" s="277"/>
      <c r="F22" s="320"/>
      <c r="G22" s="279"/>
      <c r="H22" s="280">
        <f t="shared" ref="H22:H37" si="2">F22*G22</f>
        <v>0</v>
      </c>
      <c r="I22" s="277"/>
      <c r="J22" s="320"/>
      <c r="K22" s="279"/>
      <c r="L22" s="280">
        <f t="shared" ref="L22:L37" si="3">J22*K22</f>
        <v>0</v>
      </c>
    </row>
    <row r="23" spans="1:13" s="235" customFormat="1" x14ac:dyDescent="0.25">
      <c r="A23" s="262"/>
      <c r="B23" s="262"/>
      <c r="C23" s="263"/>
      <c r="D23" s="281">
        <f>D10+1</f>
        <v>45384</v>
      </c>
      <c r="E23" s="282"/>
      <c r="F23" s="283"/>
      <c r="G23" s="283"/>
      <c r="H23" s="284">
        <f t="shared" si="2"/>
        <v>0</v>
      </c>
      <c r="I23" s="282"/>
      <c r="J23" s="283"/>
      <c r="K23" s="283"/>
      <c r="L23" s="284">
        <f t="shared" si="3"/>
        <v>0</v>
      </c>
    </row>
    <row r="24" spans="1:13" s="235" customFormat="1" x14ac:dyDescent="0.25">
      <c r="A24" s="262" t="s">
        <v>6</v>
      </c>
      <c r="B24" s="262" t="s">
        <v>309</v>
      </c>
      <c r="C24" s="263" t="s">
        <v>313</v>
      </c>
      <c r="D24" s="281"/>
      <c r="E24" s="282" t="s">
        <v>321</v>
      </c>
      <c r="F24" s="283">
        <v>500</v>
      </c>
      <c r="G24" s="283">
        <v>43</v>
      </c>
      <c r="H24" s="284">
        <f t="shared" si="2"/>
        <v>21500</v>
      </c>
      <c r="I24" s="282"/>
      <c r="J24" s="283"/>
      <c r="K24" s="283"/>
      <c r="L24" s="284">
        <f t="shared" si="3"/>
        <v>0</v>
      </c>
    </row>
    <row r="25" spans="1:13" s="235" customFormat="1" x14ac:dyDescent="0.25">
      <c r="A25" s="262" t="s">
        <v>6</v>
      </c>
      <c r="B25" s="262" t="s">
        <v>309</v>
      </c>
      <c r="C25" s="263" t="s">
        <v>313</v>
      </c>
      <c r="D25" s="281"/>
      <c r="E25" s="282" t="s">
        <v>322</v>
      </c>
      <c r="F25" s="283">
        <v>300</v>
      </c>
      <c r="G25" s="283">
        <v>43</v>
      </c>
      <c r="H25" s="284">
        <f t="shared" si="2"/>
        <v>12900</v>
      </c>
      <c r="I25" s="282"/>
      <c r="J25" s="283"/>
      <c r="K25" s="283"/>
      <c r="L25" s="284">
        <f t="shared" si="3"/>
        <v>0</v>
      </c>
      <c r="M25" s="448">
        <f>50/H25</f>
        <v>3.875968992248062E-3</v>
      </c>
    </row>
    <row r="26" spans="1:13" s="235" customFormat="1" x14ac:dyDescent="0.25">
      <c r="A26" s="262" t="s">
        <v>6</v>
      </c>
      <c r="B26" s="262" t="s">
        <v>309</v>
      </c>
      <c r="C26" s="263" t="s">
        <v>320</v>
      </c>
      <c r="D26" s="281"/>
      <c r="E26" s="282" t="s">
        <v>323</v>
      </c>
      <c r="F26" s="283">
        <v>300</v>
      </c>
      <c r="G26" s="283">
        <v>42.9</v>
      </c>
      <c r="H26" s="284">
        <f t="shared" si="2"/>
        <v>12870</v>
      </c>
      <c r="I26" s="282"/>
      <c r="J26" s="283"/>
      <c r="K26" s="283"/>
      <c r="L26" s="284">
        <f t="shared" si="3"/>
        <v>0</v>
      </c>
    </row>
    <row r="27" spans="1:13" s="235" customFormat="1" x14ac:dyDescent="0.25">
      <c r="A27" s="262"/>
      <c r="B27" s="262"/>
      <c r="C27" s="263"/>
      <c r="D27" s="281"/>
      <c r="E27" s="282"/>
      <c r="F27" s="283"/>
      <c r="G27" s="283"/>
      <c r="H27" s="284">
        <f t="shared" si="2"/>
        <v>0</v>
      </c>
      <c r="I27" s="282"/>
      <c r="J27" s="283"/>
      <c r="K27" s="283"/>
      <c r="L27" s="284">
        <f t="shared" si="3"/>
        <v>0</v>
      </c>
    </row>
    <row r="28" spans="1:13" x14ac:dyDescent="0.25">
      <c r="A28" s="262"/>
      <c r="B28" s="262"/>
      <c r="C28" s="286"/>
      <c r="D28" s="281"/>
      <c r="E28" s="282"/>
      <c r="F28" s="287"/>
      <c r="G28" s="283"/>
      <c r="H28" s="309">
        <f t="shared" si="2"/>
        <v>0</v>
      </c>
      <c r="I28" s="282"/>
      <c r="J28" s="287"/>
      <c r="K28" s="283"/>
      <c r="L28" s="309">
        <f t="shared" si="3"/>
        <v>0</v>
      </c>
    </row>
    <row r="29" spans="1:13" x14ac:dyDescent="0.25">
      <c r="A29" s="262"/>
      <c r="B29" s="262"/>
      <c r="C29" s="286"/>
      <c r="D29" s="281"/>
      <c r="E29" s="282"/>
      <c r="F29" s="287"/>
      <c r="G29" s="283"/>
      <c r="H29" s="309">
        <f t="shared" si="2"/>
        <v>0</v>
      </c>
      <c r="I29" s="282"/>
      <c r="J29" s="287"/>
      <c r="K29" s="283"/>
      <c r="L29" s="309">
        <f t="shared" si="3"/>
        <v>0</v>
      </c>
    </row>
    <row r="30" spans="1:13" x14ac:dyDescent="0.25">
      <c r="A30" s="262"/>
      <c r="B30" s="262"/>
      <c r="C30" s="286"/>
      <c r="D30" s="281"/>
      <c r="E30" s="282"/>
      <c r="F30" s="287"/>
      <c r="G30" s="283"/>
      <c r="H30" s="309">
        <f t="shared" si="2"/>
        <v>0</v>
      </c>
      <c r="I30" s="282"/>
      <c r="J30" s="287"/>
      <c r="K30" s="283"/>
      <c r="L30" s="309">
        <f t="shared" si="3"/>
        <v>0</v>
      </c>
    </row>
    <row r="31" spans="1:13" s="235" customFormat="1" x14ac:dyDescent="0.25">
      <c r="A31" s="262"/>
      <c r="B31" s="262"/>
      <c r="C31" s="263"/>
      <c r="D31" s="281"/>
      <c r="E31" s="282"/>
      <c r="F31" s="283"/>
      <c r="G31" s="283"/>
      <c r="H31" s="284">
        <f>F31*G31</f>
        <v>0</v>
      </c>
      <c r="I31" s="282"/>
      <c r="J31" s="283"/>
      <c r="K31" s="283"/>
      <c r="L31" s="284">
        <f>J31*K31</f>
        <v>0</v>
      </c>
    </row>
    <row r="32" spans="1:13" s="235" customFormat="1" x14ac:dyDescent="0.25">
      <c r="A32" s="262"/>
      <c r="B32" s="262"/>
      <c r="C32" s="263"/>
      <c r="D32" s="281"/>
      <c r="E32" s="282"/>
      <c r="F32" s="283"/>
      <c r="G32" s="283"/>
      <c r="H32" s="284">
        <f t="shared" si="2"/>
        <v>0</v>
      </c>
      <c r="I32" s="282"/>
      <c r="J32" s="283"/>
      <c r="K32" s="283"/>
      <c r="L32" s="284">
        <f t="shared" si="3"/>
        <v>0</v>
      </c>
    </row>
    <row r="33" spans="1:12" x14ac:dyDescent="0.25">
      <c r="A33" s="262"/>
      <c r="B33" s="262"/>
      <c r="C33" s="263"/>
      <c r="D33" s="236"/>
      <c r="E33" s="264"/>
      <c r="F33" s="265"/>
      <c r="G33" s="266"/>
      <c r="H33" s="267">
        <f t="shared" si="2"/>
        <v>0</v>
      </c>
      <c r="I33" s="264"/>
      <c r="J33" s="265"/>
      <c r="K33" s="266"/>
      <c r="L33" s="267">
        <f t="shared" si="3"/>
        <v>0</v>
      </c>
    </row>
    <row r="34" spans="1:12" x14ac:dyDescent="0.25">
      <c r="A34" s="262"/>
      <c r="B34" s="262"/>
      <c r="C34" s="263"/>
      <c r="D34" s="236"/>
      <c r="E34" s="264"/>
      <c r="F34" s="265"/>
      <c r="G34" s="266"/>
      <c r="H34" s="267">
        <f t="shared" si="2"/>
        <v>0</v>
      </c>
      <c r="I34" s="264"/>
      <c r="J34" s="265"/>
      <c r="K34" s="266"/>
      <c r="L34" s="267">
        <f t="shared" si="3"/>
        <v>0</v>
      </c>
    </row>
    <row r="35" spans="1:12" s="235" customFormat="1" x14ac:dyDescent="0.25">
      <c r="A35" s="285"/>
      <c r="B35" s="262"/>
      <c r="C35" s="286"/>
      <c r="D35" s="281"/>
      <c r="E35" s="282"/>
      <c r="F35" s="287"/>
      <c r="G35" s="283"/>
      <c r="H35" s="267">
        <f t="shared" si="2"/>
        <v>0</v>
      </c>
      <c r="I35" s="282"/>
      <c r="J35" s="287"/>
      <c r="K35" s="283"/>
      <c r="L35" s="267">
        <f t="shared" si="3"/>
        <v>0</v>
      </c>
    </row>
    <row r="36" spans="1:12" s="235" customFormat="1" x14ac:dyDescent="0.25">
      <c r="A36" s="286"/>
      <c r="B36" s="285"/>
      <c r="C36" s="285"/>
      <c r="D36" s="281"/>
      <c r="E36" s="282"/>
      <c r="F36" s="287"/>
      <c r="G36" s="283"/>
      <c r="H36" s="267">
        <f t="shared" si="2"/>
        <v>0</v>
      </c>
      <c r="I36" s="282"/>
      <c r="J36" s="287"/>
      <c r="K36" s="283"/>
      <c r="L36" s="267">
        <f t="shared" si="3"/>
        <v>0</v>
      </c>
    </row>
    <row r="37" spans="1:12" s="235" customFormat="1" ht="15.75" thickBot="1" x14ac:dyDescent="0.3">
      <c r="A37" s="285"/>
      <c r="B37" s="285"/>
      <c r="C37" s="286"/>
      <c r="D37" s="281"/>
      <c r="E37" s="282"/>
      <c r="F37" s="287"/>
      <c r="G37" s="283"/>
      <c r="H37" s="284">
        <f t="shared" si="2"/>
        <v>0</v>
      </c>
      <c r="I37" s="282"/>
      <c r="J37" s="287"/>
      <c r="K37" s="283"/>
      <c r="L37" s="284">
        <f t="shared" si="3"/>
        <v>0</v>
      </c>
    </row>
    <row r="38" spans="1:12" ht="15.75" thickBot="1" x14ac:dyDescent="0.3">
      <c r="A38" s="288"/>
      <c r="B38" s="288"/>
      <c r="C38" s="263"/>
      <c r="D38" s="294" t="s">
        <v>0</v>
      </c>
      <c r="E38" s="295"/>
      <c r="F38" s="296">
        <f>SUM(F22:F37)</f>
        <v>1100</v>
      </c>
      <c r="G38" s="297">
        <f>H38/F38</f>
        <v>42.972727272727276</v>
      </c>
      <c r="H38" s="298">
        <f>SUM(H22:H37)</f>
        <v>47270</v>
      </c>
      <c r="I38" s="295"/>
      <c r="J38" s="296">
        <f>SUM(J22:J37)</f>
        <v>0</v>
      </c>
      <c r="K38" s="297" t="e">
        <f>L38/J38</f>
        <v>#DIV/0!</v>
      </c>
      <c r="L38" s="298">
        <f>SUM(L22:L37)</f>
        <v>0</v>
      </c>
    </row>
    <row r="39" spans="1:12" ht="15.75" thickBot="1" x14ac:dyDescent="0.3">
      <c r="A39" s="299"/>
      <c r="B39" s="299"/>
      <c r="C39" s="299"/>
      <c r="D39" s="300"/>
      <c r="E39" s="301"/>
      <c r="F39" s="301"/>
      <c r="G39" s="302"/>
      <c r="H39" s="303"/>
      <c r="I39" s="301"/>
      <c r="J39" s="301"/>
      <c r="K39" s="302"/>
      <c r="L39" s="303"/>
    </row>
    <row r="40" spans="1:12" x14ac:dyDescent="0.25">
      <c r="A40" s="288"/>
      <c r="B40" s="288"/>
      <c r="C40" s="263"/>
      <c r="D40" s="276"/>
      <c r="E40" s="277"/>
      <c r="F40" s="278"/>
      <c r="G40" s="279"/>
      <c r="H40" s="280">
        <f t="shared" ref="H40:H56" si="4">F40*G40</f>
        <v>0</v>
      </c>
      <c r="I40" s="277"/>
      <c r="J40" s="278"/>
      <c r="K40" s="279"/>
      <c r="L40" s="280">
        <f t="shared" ref="L40:L56" si="5">J40*K40</f>
        <v>0</v>
      </c>
    </row>
    <row r="41" spans="1:12" s="235" customFormat="1" x14ac:dyDescent="0.25">
      <c r="A41" s="262"/>
      <c r="B41" s="262"/>
      <c r="C41" s="263"/>
      <c r="D41" s="281">
        <f>D23+1</f>
        <v>45385</v>
      </c>
      <c r="E41" s="282"/>
      <c r="F41" s="283"/>
      <c r="G41" s="283"/>
      <c r="H41" s="284">
        <f t="shared" si="4"/>
        <v>0</v>
      </c>
      <c r="I41" s="282"/>
      <c r="J41" s="283"/>
      <c r="K41" s="283"/>
      <c r="L41" s="284">
        <f t="shared" si="5"/>
        <v>0</v>
      </c>
    </row>
    <row r="42" spans="1:12" s="235" customFormat="1" x14ac:dyDescent="0.25">
      <c r="A42" s="262" t="s">
        <v>6</v>
      </c>
      <c r="B42" s="262" t="s">
        <v>309</v>
      </c>
      <c r="C42" s="263" t="s">
        <v>324</v>
      </c>
      <c r="D42" s="281"/>
      <c r="E42" s="282" t="s">
        <v>326</v>
      </c>
      <c r="F42" s="283">
        <v>500</v>
      </c>
      <c r="G42" s="283">
        <v>43.8</v>
      </c>
      <c r="H42" s="284">
        <f t="shared" si="4"/>
        <v>21900</v>
      </c>
      <c r="I42" s="282"/>
      <c r="J42" s="283"/>
      <c r="K42" s="283"/>
      <c r="L42" s="284">
        <f t="shared" si="5"/>
        <v>0</v>
      </c>
    </row>
    <row r="43" spans="1:12" s="235" customFormat="1" x14ac:dyDescent="0.25">
      <c r="A43" s="262" t="s">
        <v>6</v>
      </c>
      <c r="B43" s="262" t="s">
        <v>309</v>
      </c>
      <c r="C43" s="263" t="s">
        <v>313</v>
      </c>
      <c r="D43" s="281"/>
      <c r="E43" s="282" t="s">
        <v>315</v>
      </c>
      <c r="F43" s="283">
        <v>500</v>
      </c>
      <c r="G43" s="283">
        <v>43.5</v>
      </c>
      <c r="H43" s="284">
        <f t="shared" si="4"/>
        <v>21750</v>
      </c>
      <c r="I43" s="282"/>
      <c r="J43" s="283"/>
      <c r="K43" s="283"/>
      <c r="L43" s="284">
        <f t="shared" si="5"/>
        <v>0</v>
      </c>
    </row>
    <row r="44" spans="1:12" s="235" customFormat="1" x14ac:dyDescent="0.25">
      <c r="A44" s="262" t="s">
        <v>6</v>
      </c>
      <c r="B44" s="262" t="s">
        <v>309</v>
      </c>
      <c r="C44" s="263" t="s">
        <v>310</v>
      </c>
      <c r="D44" s="281"/>
      <c r="E44" s="282" t="s">
        <v>327</v>
      </c>
      <c r="F44" s="283">
        <v>50</v>
      </c>
      <c r="G44" s="283">
        <v>43.5</v>
      </c>
      <c r="H44" s="284">
        <f t="shared" si="4"/>
        <v>2175</v>
      </c>
      <c r="I44" s="282"/>
      <c r="J44" s="283"/>
      <c r="K44" s="283"/>
      <c r="L44" s="284"/>
    </row>
    <row r="45" spans="1:12" s="235" customFormat="1" x14ac:dyDescent="0.25">
      <c r="A45" s="262" t="s">
        <v>6</v>
      </c>
      <c r="B45" s="262" t="s">
        <v>309</v>
      </c>
      <c r="C45" s="263" t="s">
        <v>310</v>
      </c>
      <c r="D45" s="281"/>
      <c r="E45" s="282" t="s">
        <v>328</v>
      </c>
      <c r="F45" s="283">
        <v>100</v>
      </c>
      <c r="G45" s="283">
        <v>43</v>
      </c>
      <c r="H45" s="284">
        <f t="shared" si="4"/>
        <v>4300</v>
      </c>
      <c r="I45" s="282"/>
      <c r="J45" s="283"/>
      <c r="K45" s="283"/>
      <c r="L45" s="284"/>
    </row>
    <row r="46" spans="1:12" s="235" customFormat="1" x14ac:dyDescent="0.25">
      <c r="A46" s="262" t="s">
        <v>6</v>
      </c>
      <c r="B46" s="262" t="s">
        <v>309</v>
      </c>
      <c r="C46" s="263" t="s">
        <v>325</v>
      </c>
      <c r="D46" s="281"/>
      <c r="E46" s="282" t="s">
        <v>329</v>
      </c>
      <c r="F46" s="283">
        <v>20</v>
      </c>
      <c r="G46" s="283">
        <v>42</v>
      </c>
      <c r="H46" s="284">
        <f t="shared" si="4"/>
        <v>840</v>
      </c>
      <c r="I46" s="282"/>
      <c r="J46" s="283"/>
      <c r="K46" s="283"/>
      <c r="L46" s="284"/>
    </row>
    <row r="47" spans="1:12" s="235" customFormat="1" x14ac:dyDescent="0.25">
      <c r="A47" s="262" t="s">
        <v>6</v>
      </c>
      <c r="B47" s="262" t="s">
        <v>309</v>
      </c>
      <c r="C47" s="263" t="s">
        <v>310</v>
      </c>
      <c r="D47" s="281"/>
      <c r="E47" s="282" t="s">
        <v>330</v>
      </c>
      <c r="F47" s="283">
        <v>80</v>
      </c>
      <c r="G47" s="283">
        <v>42.99</v>
      </c>
      <c r="H47" s="284">
        <f t="shared" si="4"/>
        <v>3439.2000000000003</v>
      </c>
      <c r="I47" s="282"/>
      <c r="J47" s="283"/>
      <c r="K47" s="283"/>
      <c r="L47" s="284"/>
    </row>
    <row r="48" spans="1:12" s="235" customFormat="1" x14ac:dyDescent="0.25">
      <c r="A48" s="262"/>
      <c r="B48" s="262"/>
      <c r="C48" s="263"/>
      <c r="D48" s="281"/>
      <c r="E48" s="282"/>
      <c r="F48" s="283"/>
      <c r="G48" s="283"/>
      <c r="H48" s="284">
        <f t="shared" si="4"/>
        <v>0</v>
      </c>
      <c r="I48" s="282"/>
      <c r="J48" s="283"/>
      <c r="K48" s="283"/>
      <c r="L48" s="284"/>
    </row>
    <row r="49" spans="1:12" s="235" customFormat="1" x14ac:dyDescent="0.25">
      <c r="A49" s="262"/>
      <c r="B49" s="262"/>
      <c r="C49" s="263"/>
      <c r="D49" s="281"/>
      <c r="E49" s="282"/>
      <c r="F49" s="283"/>
      <c r="G49" s="283"/>
      <c r="H49" s="284">
        <f t="shared" si="4"/>
        <v>0</v>
      </c>
      <c r="I49" s="282"/>
      <c r="J49" s="283"/>
      <c r="K49" s="283"/>
      <c r="L49" s="284">
        <f t="shared" si="5"/>
        <v>0</v>
      </c>
    </row>
    <row r="50" spans="1:12" s="235" customFormat="1" x14ac:dyDescent="0.25">
      <c r="A50" s="262"/>
      <c r="B50" s="262"/>
      <c r="C50" s="263"/>
      <c r="D50" s="281"/>
      <c r="E50" s="282"/>
      <c r="F50" s="283"/>
      <c r="G50" s="283"/>
      <c r="H50" s="284">
        <f t="shared" si="4"/>
        <v>0</v>
      </c>
      <c r="I50" s="282"/>
      <c r="J50" s="283"/>
      <c r="K50" s="283"/>
      <c r="L50" s="284">
        <f t="shared" si="5"/>
        <v>0</v>
      </c>
    </row>
    <row r="51" spans="1:12" s="235" customFormat="1" x14ac:dyDescent="0.25">
      <c r="A51" s="262"/>
      <c r="B51" s="262"/>
      <c r="C51" s="263"/>
      <c r="D51" s="281"/>
      <c r="E51" s="282"/>
      <c r="F51" s="283"/>
      <c r="G51" s="283"/>
      <c r="H51" s="284">
        <f t="shared" si="4"/>
        <v>0</v>
      </c>
      <c r="I51" s="282"/>
      <c r="J51" s="283"/>
      <c r="K51" s="283"/>
      <c r="L51" s="284">
        <f t="shared" si="5"/>
        <v>0</v>
      </c>
    </row>
    <row r="52" spans="1:12" s="235" customFormat="1" x14ac:dyDescent="0.25">
      <c r="A52" s="262"/>
      <c r="B52" s="262"/>
      <c r="C52" s="263"/>
      <c r="D52" s="281"/>
      <c r="E52" s="282"/>
      <c r="F52" s="283"/>
      <c r="G52" s="283"/>
      <c r="H52" s="284">
        <f t="shared" si="4"/>
        <v>0</v>
      </c>
      <c r="I52" s="282"/>
      <c r="J52" s="283"/>
      <c r="K52" s="283"/>
      <c r="L52" s="284">
        <f t="shared" si="5"/>
        <v>0</v>
      </c>
    </row>
    <row r="53" spans="1:12" s="235" customFormat="1" x14ac:dyDescent="0.25">
      <c r="A53" s="262"/>
      <c r="B53" s="262"/>
      <c r="C53" s="263"/>
      <c r="D53" s="281"/>
      <c r="E53" s="282"/>
      <c r="F53" s="283"/>
      <c r="G53" s="283"/>
      <c r="H53" s="284">
        <f t="shared" si="4"/>
        <v>0</v>
      </c>
      <c r="I53" s="282"/>
      <c r="J53" s="283"/>
      <c r="K53" s="283"/>
      <c r="L53" s="284">
        <f t="shared" si="5"/>
        <v>0</v>
      </c>
    </row>
    <row r="54" spans="1:12" s="235" customFormat="1" x14ac:dyDescent="0.25">
      <c r="A54" s="262"/>
      <c r="B54" s="262"/>
      <c r="C54" s="263"/>
      <c r="D54" s="281"/>
      <c r="E54" s="282"/>
      <c r="F54" s="283"/>
      <c r="G54" s="283"/>
      <c r="H54" s="284">
        <f t="shared" si="4"/>
        <v>0</v>
      </c>
      <c r="I54" s="282"/>
      <c r="J54" s="283"/>
      <c r="K54" s="283"/>
      <c r="L54" s="284">
        <f t="shared" si="5"/>
        <v>0</v>
      </c>
    </row>
    <row r="55" spans="1:12" x14ac:dyDescent="0.25">
      <c r="A55" s="262"/>
      <c r="B55" s="262"/>
      <c r="C55" s="275"/>
      <c r="D55" s="236"/>
      <c r="E55" s="264"/>
      <c r="F55" s="318"/>
      <c r="G55" s="318"/>
      <c r="H55" s="267">
        <f t="shared" si="4"/>
        <v>0</v>
      </c>
      <c r="I55" s="264"/>
      <c r="J55" s="318"/>
      <c r="K55" s="318"/>
      <c r="L55" s="267">
        <f t="shared" si="5"/>
        <v>0</v>
      </c>
    </row>
    <row r="56" spans="1:12" ht="15.75" thickBot="1" x14ac:dyDescent="0.3">
      <c r="A56" s="288"/>
      <c r="B56" s="288"/>
      <c r="C56" s="263"/>
      <c r="D56" s="289"/>
      <c r="E56" s="290"/>
      <c r="F56" s="291"/>
      <c r="G56" s="292"/>
      <c r="H56" s="293">
        <f t="shared" si="4"/>
        <v>0</v>
      </c>
      <c r="I56" s="290"/>
      <c r="J56" s="291"/>
      <c r="K56" s="292"/>
      <c r="L56" s="293">
        <f t="shared" si="5"/>
        <v>0</v>
      </c>
    </row>
    <row r="57" spans="1:12" ht="15.75" thickBot="1" x14ac:dyDescent="0.3">
      <c r="A57" s="288"/>
      <c r="B57" s="288"/>
      <c r="C57" s="263"/>
      <c r="D57" s="294" t="s">
        <v>0</v>
      </c>
      <c r="E57" s="295"/>
      <c r="F57" s="296">
        <f>SUM(F40:F56)</f>
        <v>1250</v>
      </c>
      <c r="G57" s="297">
        <f>H57/F57</f>
        <v>43.523359999999997</v>
      </c>
      <c r="H57" s="298">
        <f>SUM(H40:H56)</f>
        <v>54404.2</v>
      </c>
      <c r="I57" s="295"/>
      <c r="J57" s="296">
        <f>SUM(J40:J56)</f>
        <v>0</v>
      </c>
      <c r="K57" s="297" t="e">
        <f>L57/J57</f>
        <v>#DIV/0!</v>
      </c>
      <c r="L57" s="298">
        <f>SUM(L40:L56)</f>
        <v>0</v>
      </c>
    </row>
    <row r="58" spans="1:12" ht="15.75" thickBot="1" x14ac:dyDescent="0.3">
      <c r="A58" s="299"/>
      <c r="B58" s="299"/>
      <c r="C58" s="299"/>
      <c r="D58" s="300"/>
      <c r="E58" s="301"/>
      <c r="F58" s="301"/>
      <c r="G58" s="302"/>
      <c r="H58" s="303"/>
      <c r="I58" s="301"/>
      <c r="J58" s="301"/>
      <c r="K58" s="302"/>
      <c r="L58" s="303"/>
    </row>
    <row r="59" spans="1:12" x14ac:dyDescent="0.25">
      <c r="A59" s="288"/>
      <c r="B59" s="288"/>
      <c r="C59" s="263"/>
      <c r="D59" s="276"/>
      <c r="E59" s="277"/>
      <c r="F59" s="278"/>
      <c r="G59" s="279"/>
      <c r="H59" s="280">
        <f>F59*G59</f>
        <v>0</v>
      </c>
      <c r="I59" s="277"/>
      <c r="J59" s="278"/>
      <c r="K59" s="279"/>
      <c r="L59" s="280">
        <f>J59*K59</f>
        <v>0</v>
      </c>
    </row>
    <row r="60" spans="1:12" x14ac:dyDescent="0.25">
      <c r="A60" s="262"/>
      <c r="B60" s="262"/>
      <c r="C60" s="275"/>
      <c r="D60" s="236">
        <f>D41+1</f>
        <v>45386</v>
      </c>
      <c r="E60" s="264"/>
      <c r="F60" s="318"/>
      <c r="G60" s="320"/>
      <c r="H60" s="267">
        <f>F60*G60</f>
        <v>0</v>
      </c>
      <c r="I60" s="264"/>
      <c r="J60" s="318"/>
      <c r="K60" s="320"/>
      <c r="L60" s="267">
        <f>J60*K60</f>
        <v>0</v>
      </c>
    </row>
    <row r="61" spans="1:12" s="235" customFormat="1" x14ac:dyDescent="0.25">
      <c r="A61" s="262" t="s">
        <v>6</v>
      </c>
      <c r="B61" s="262" t="s">
        <v>309</v>
      </c>
      <c r="C61" s="263" t="s">
        <v>311</v>
      </c>
      <c r="D61" s="281"/>
      <c r="E61" s="282" t="s">
        <v>332</v>
      </c>
      <c r="F61" s="283">
        <v>500</v>
      </c>
      <c r="G61" s="283">
        <v>43.5</v>
      </c>
      <c r="H61" s="284">
        <f t="shared" ref="H61:H73" si="6">F61*G61</f>
        <v>21750</v>
      </c>
      <c r="I61" s="282"/>
      <c r="J61" s="283"/>
      <c r="K61" s="283"/>
      <c r="L61" s="284">
        <f t="shared" ref="L61:L66" si="7">J61*K61</f>
        <v>0</v>
      </c>
    </row>
    <row r="62" spans="1:12" s="235" customFormat="1" x14ac:dyDescent="0.25">
      <c r="A62" s="262" t="s">
        <v>6</v>
      </c>
      <c r="B62" s="262" t="s">
        <v>309</v>
      </c>
      <c r="C62" s="263" t="s">
        <v>324</v>
      </c>
      <c r="D62" s="281"/>
      <c r="E62" s="282" t="s">
        <v>333</v>
      </c>
      <c r="F62" s="283">
        <v>500</v>
      </c>
      <c r="G62" s="283">
        <v>43.3</v>
      </c>
      <c r="H62" s="284">
        <f t="shared" si="6"/>
        <v>21650</v>
      </c>
      <c r="I62" s="282"/>
      <c r="J62" s="283"/>
      <c r="K62" s="283"/>
      <c r="L62" s="284">
        <f t="shared" si="7"/>
        <v>0</v>
      </c>
    </row>
    <row r="63" spans="1:12" s="235" customFormat="1" x14ac:dyDescent="0.25">
      <c r="A63" s="262" t="s">
        <v>6</v>
      </c>
      <c r="B63" s="262" t="s">
        <v>309</v>
      </c>
      <c r="C63" s="263" t="s">
        <v>311</v>
      </c>
      <c r="D63" s="281"/>
      <c r="E63" s="282" t="s">
        <v>334</v>
      </c>
      <c r="F63" s="283">
        <v>200</v>
      </c>
      <c r="G63" s="283">
        <v>43</v>
      </c>
      <c r="H63" s="284">
        <f t="shared" si="6"/>
        <v>8600</v>
      </c>
      <c r="I63" s="282"/>
      <c r="J63" s="283"/>
      <c r="K63" s="283"/>
      <c r="L63" s="284">
        <f t="shared" si="7"/>
        <v>0</v>
      </c>
    </row>
    <row r="64" spans="1:12" s="235" customFormat="1" x14ac:dyDescent="0.25">
      <c r="A64" s="262" t="s">
        <v>6</v>
      </c>
      <c r="B64" s="262" t="s">
        <v>309</v>
      </c>
      <c r="C64" s="263" t="s">
        <v>320</v>
      </c>
      <c r="D64" s="281"/>
      <c r="E64" s="282" t="s">
        <v>335</v>
      </c>
      <c r="F64" s="283">
        <v>100</v>
      </c>
      <c r="G64" s="283">
        <v>42</v>
      </c>
      <c r="H64" s="284">
        <f t="shared" si="6"/>
        <v>4200</v>
      </c>
      <c r="I64" s="282"/>
      <c r="J64" s="283"/>
      <c r="K64" s="283"/>
      <c r="L64" s="284">
        <f t="shared" si="7"/>
        <v>0</v>
      </c>
    </row>
    <row r="65" spans="1:12" s="235" customFormat="1" x14ac:dyDescent="0.25">
      <c r="A65" s="262" t="s">
        <v>6</v>
      </c>
      <c r="B65" s="262" t="s">
        <v>309</v>
      </c>
      <c r="C65" s="263" t="s">
        <v>331</v>
      </c>
      <c r="D65" s="281"/>
      <c r="E65" s="282" t="s">
        <v>336</v>
      </c>
      <c r="F65" s="283">
        <v>80</v>
      </c>
      <c r="G65" s="283">
        <v>41</v>
      </c>
      <c r="H65" s="284">
        <f t="shared" si="6"/>
        <v>3280</v>
      </c>
      <c r="I65" s="282"/>
      <c r="J65" s="283"/>
      <c r="K65" s="283"/>
      <c r="L65" s="284">
        <f t="shared" si="7"/>
        <v>0</v>
      </c>
    </row>
    <row r="66" spans="1:12" x14ac:dyDescent="0.25">
      <c r="A66" s="262" t="s">
        <v>6</v>
      </c>
      <c r="B66" s="262" t="s">
        <v>309</v>
      </c>
      <c r="C66" s="275" t="s">
        <v>320</v>
      </c>
      <c r="D66" s="236"/>
      <c r="E66" s="264" t="s">
        <v>337</v>
      </c>
      <c r="F66" s="318">
        <v>35</v>
      </c>
      <c r="G66" s="318">
        <v>40.24</v>
      </c>
      <c r="H66" s="267">
        <f t="shared" si="6"/>
        <v>1408.4</v>
      </c>
      <c r="I66" s="264"/>
      <c r="J66" s="318"/>
      <c r="K66" s="318"/>
      <c r="L66" s="267">
        <f t="shared" si="7"/>
        <v>0</v>
      </c>
    </row>
    <row r="67" spans="1:12" s="235" customFormat="1" x14ac:dyDescent="0.25">
      <c r="A67" s="262" t="s">
        <v>6</v>
      </c>
      <c r="B67" s="262" t="s">
        <v>309</v>
      </c>
      <c r="C67" s="263" t="s">
        <v>324</v>
      </c>
      <c r="D67" s="281"/>
      <c r="E67" s="282" t="s">
        <v>338</v>
      </c>
      <c r="F67" s="283">
        <v>25</v>
      </c>
      <c r="G67" s="283">
        <v>40.5</v>
      </c>
      <c r="H67" s="284">
        <f>F67*G67</f>
        <v>1012.5</v>
      </c>
      <c r="I67" s="282"/>
      <c r="J67" s="283"/>
      <c r="K67" s="283"/>
      <c r="L67" s="284">
        <f>J67*K67</f>
        <v>0</v>
      </c>
    </row>
    <row r="68" spans="1:12" s="235" customFormat="1" x14ac:dyDescent="0.25">
      <c r="A68" s="262"/>
      <c r="B68" s="262"/>
      <c r="C68" s="263"/>
      <c r="D68" s="281"/>
      <c r="E68" s="282"/>
      <c r="F68" s="283"/>
      <c r="G68" s="283"/>
      <c r="H68" s="284">
        <f>F68*G68</f>
        <v>0</v>
      </c>
      <c r="I68" s="282"/>
      <c r="J68" s="283"/>
      <c r="K68" s="283"/>
      <c r="L68" s="284">
        <f>J68*K68</f>
        <v>0</v>
      </c>
    </row>
    <row r="69" spans="1:12" s="235" customFormat="1" x14ac:dyDescent="0.25">
      <c r="A69" s="262"/>
      <c r="B69" s="262"/>
      <c r="C69" s="263"/>
      <c r="D69" s="281"/>
      <c r="E69" s="282"/>
      <c r="F69" s="283"/>
      <c r="G69" s="283"/>
      <c r="H69" s="284">
        <f>F69*G69</f>
        <v>0</v>
      </c>
      <c r="I69" s="282"/>
      <c r="J69" s="283"/>
      <c r="K69" s="283"/>
      <c r="L69" s="284">
        <f>J69*K69</f>
        <v>0</v>
      </c>
    </row>
    <row r="70" spans="1:12" x14ac:dyDescent="0.25">
      <c r="A70" s="262"/>
      <c r="B70" s="262"/>
      <c r="C70" s="275"/>
      <c r="D70" s="236"/>
      <c r="E70" s="264"/>
      <c r="F70" s="318"/>
      <c r="G70" s="318"/>
      <c r="H70" s="267">
        <f>F70*G70</f>
        <v>0</v>
      </c>
      <c r="I70" s="264"/>
      <c r="J70" s="318"/>
      <c r="K70" s="318"/>
      <c r="L70" s="267">
        <f>J70*K70</f>
        <v>0</v>
      </c>
    </row>
    <row r="71" spans="1:12" x14ac:dyDescent="0.25">
      <c r="A71" s="262"/>
      <c r="B71" s="262"/>
      <c r="C71" s="275"/>
      <c r="D71" s="236"/>
      <c r="E71" s="264"/>
      <c r="F71" s="318"/>
      <c r="G71" s="318"/>
      <c r="H71" s="267">
        <f t="shared" si="6"/>
        <v>0</v>
      </c>
      <c r="I71" s="264"/>
      <c r="J71" s="318"/>
      <c r="K71" s="318"/>
      <c r="L71" s="267">
        <f t="shared" ref="L71:L73" si="8">J71*K71</f>
        <v>0</v>
      </c>
    </row>
    <row r="72" spans="1:12" x14ac:dyDescent="0.25">
      <c r="A72" s="262"/>
      <c r="B72" s="262"/>
      <c r="C72" s="275"/>
      <c r="D72" s="236"/>
      <c r="E72" s="264"/>
      <c r="F72" s="318"/>
      <c r="G72" s="318"/>
      <c r="H72" s="267">
        <f t="shared" si="6"/>
        <v>0</v>
      </c>
      <c r="I72" s="264"/>
      <c r="J72" s="318"/>
      <c r="K72" s="318"/>
      <c r="L72" s="267">
        <f t="shared" si="8"/>
        <v>0</v>
      </c>
    </row>
    <row r="73" spans="1:12" x14ac:dyDescent="0.25">
      <c r="A73" s="262"/>
      <c r="B73" s="262"/>
      <c r="C73" s="275"/>
      <c r="D73" s="236"/>
      <c r="E73" s="264"/>
      <c r="F73" s="318"/>
      <c r="G73" s="318"/>
      <c r="H73" s="267">
        <f t="shared" si="6"/>
        <v>0</v>
      </c>
      <c r="I73" s="264"/>
      <c r="J73" s="318"/>
      <c r="K73" s="318"/>
      <c r="L73" s="267">
        <f t="shared" si="8"/>
        <v>0</v>
      </c>
    </row>
    <row r="74" spans="1:12" ht="15.75" thickBot="1" x14ac:dyDescent="0.3">
      <c r="A74" s="288"/>
      <c r="B74" s="288"/>
      <c r="C74" s="263"/>
      <c r="D74" s="289"/>
      <c r="E74" s="290"/>
      <c r="F74" s="291"/>
      <c r="G74" s="292"/>
      <c r="H74" s="293"/>
      <c r="I74" s="290"/>
      <c r="J74" s="291"/>
      <c r="K74" s="292"/>
      <c r="L74" s="293"/>
    </row>
    <row r="75" spans="1:12" ht="15.75" thickBot="1" x14ac:dyDescent="0.3">
      <c r="A75" s="288"/>
      <c r="B75" s="288"/>
      <c r="C75" s="263"/>
      <c r="D75" s="294" t="s">
        <v>0</v>
      </c>
      <c r="E75" s="295"/>
      <c r="F75" s="296">
        <f>SUM(F59:F74)</f>
        <v>1440</v>
      </c>
      <c r="G75" s="297">
        <f>H75/F75</f>
        <v>42.986736111111114</v>
      </c>
      <c r="H75" s="298">
        <f>SUM(H59:H74)</f>
        <v>61900.9</v>
      </c>
      <c r="I75" s="295"/>
      <c r="J75" s="296">
        <f>SUM(J59:J74)</f>
        <v>0</v>
      </c>
      <c r="K75" s="297" t="e">
        <f>L75/J75</f>
        <v>#DIV/0!</v>
      </c>
      <c r="L75" s="298">
        <f>SUM(L59:L74)</f>
        <v>0</v>
      </c>
    </row>
    <row r="76" spans="1:12" ht="15.75" thickBot="1" x14ac:dyDescent="0.3">
      <c r="A76" s="299"/>
      <c r="B76" s="299"/>
      <c r="C76" s="299"/>
      <c r="D76" s="300"/>
      <c r="E76" s="301"/>
      <c r="F76" s="301"/>
      <c r="G76" s="302"/>
      <c r="H76" s="303"/>
      <c r="I76" s="301"/>
      <c r="J76" s="301"/>
      <c r="K76" s="302"/>
      <c r="L76" s="303"/>
    </row>
    <row r="77" spans="1:12" x14ac:dyDescent="0.25">
      <c r="A77" s="288"/>
      <c r="B77" s="288"/>
      <c r="C77" s="263"/>
      <c r="D77" s="276"/>
      <c r="E77" s="277"/>
      <c r="F77" s="278"/>
      <c r="G77" s="279"/>
      <c r="H77" s="280">
        <f t="shared" ref="H77:H88" si="9">F77*G77</f>
        <v>0</v>
      </c>
      <c r="I77" s="277"/>
      <c r="J77" s="278"/>
      <c r="K77" s="279"/>
      <c r="L77" s="280">
        <f t="shared" ref="L77:L88" si="10">J77*K77</f>
        <v>0</v>
      </c>
    </row>
    <row r="78" spans="1:12" x14ac:dyDescent="0.25">
      <c r="A78" s="262"/>
      <c r="B78" s="262"/>
      <c r="C78" s="275"/>
      <c r="D78" s="236">
        <f>D60+1</f>
        <v>45387</v>
      </c>
      <c r="E78" s="310"/>
      <c r="F78" s="265"/>
      <c r="G78" s="266"/>
      <c r="H78" s="267">
        <f t="shared" si="9"/>
        <v>0</v>
      </c>
      <c r="I78" s="310"/>
      <c r="J78" s="265"/>
      <c r="K78" s="266"/>
      <c r="L78" s="267">
        <f t="shared" si="10"/>
        <v>0</v>
      </c>
    </row>
    <row r="79" spans="1:12" x14ac:dyDescent="0.25">
      <c r="A79" s="262" t="s">
        <v>6</v>
      </c>
      <c r="B79" s="262" t="s">
        <v>309</v>
      </c>
      <c r="C79" s="275" t="s">
        <v>324</v>
      </c>
      <c r="D79" s="325"/>
      <c r="E79" s="282" t="s">
        <v>339</v>
      </c>
      <c r="F79" s="379">
        <v>400</v>
      </c>
      <c r="G79" s="283">
        <v>41.4</v>
      </c>
      <c r="H79" s="267">
        <f t="shared" si="9"/>
        <v>16560</v>
      </c>
      <c r="I79" s="282"/>
      <c r="J79" s="379"/>
      <c r="K79" s="283"/>
      <c r="L79" s="267">
        <f t="shared" si="10"/>
        <v>0</v>
      </c>
    </row>
    <row r="80" spans="1:12" s="235" customFormat="1" x14ac:dyDescent="0.25">
      <c r="A80" s="262" t="s">
        <v>6</v>
      </c>
      <c r="B80" s="262" t="s">
        <v>309</v>
      </c>
      <c r="C80" s="263" t="s">
        <v>324</v>
      </c>
      <c r="D80" s="281"/>
      <c r="E80" s="282" t="s">
        <v>340</v>
      </c>
      <c r="F80" s="283">
        <v>100</v>
      </c>
      <c r="G80" s="283">
        <v>41.4</v>
      </c>
      <c r="H80" s="284">
        <f t="shared" si="9"/>
        <v>4140</v>
      </c>
      <c r="I80" s="282"/>
      <c r="J80" s="283"/>
      <c r="K80" s="283"/>
      <c r="L80" s="284">
        <f t="shared" si="10"/>
        <v>0</v>
      </c>
    </row>
    <row r="81" spans="1:12" s="235" customFormat="1" x14ac:dyDescent="0.25">
      <c r="A81" s="262" t="s">
        <v>6</v>
      </c>
      <c r="B81" s="262" t="s">
        <v>309</v>
      </c>
      <c r="C81" s="263" t="s">
        <v>311</v>
      </c>
      <c r="D81" s="281"/>
      <c r="E81" s="282" t="s">
        <v>341</v>
      </c>
      <c r="F81" s="283">
        <v>336</v>
      </c>
      <c r="G81" s="283">
        <v>41.2</v>
      </c>
      <c r="H81" s="284">
        <f t="shared" si="9"/>
        <v>13843.2</v>
      </c>
      <c r="I81" s="282"/>
      <c r="J81" s="283"/>
      <c r="K81" s="283"/>
      <c r="L81" s="284">
        <f t="shared" si="10"/>
        <v>0</v>
      </c>
    </row>
    <row r="82" spans="1:12" s="235" customFormat="1" x14ac:dyDescent="0.25">
      <c r="A82" s="262" t="s">
        <v>6</v>
      </c>
      <c r="B82" s="262" t="s">
        <v>309</v>
      </c>
      <c r="C82" s="263" t="s">
        <v>313</v>
      </c>
      <c r="D82" s="281"/>
      <c r="E82" s="282" t="s">
        <v>342</v>
      </c>
      <c r="F82" s="283">
        <v>164</v>
      </c>
      <c r="G82" s="283">
        <v>41.2</v>
      </c>
      <c r="H82" s="284">
        <f t="shared" si="9"/>
        <v>6756.8</v>
      </c>
      <c r="I82" s="282"/>
      <c r="J82" s="283"/>
      <c r="K82" s="283"/>
      <c r="L82" s="284">
        <f t="shared" si="10"/>
        <v>0</v>
      </c>
    </row>
    <row r="83" spans="1:12" s="235" customFormat="1" x14ac:dyDescent="0.25">
      <c r="A83" s="262" t="s">
        <v>6</v>
      </c>
      <c r="B83" s="262" t="s">
        <v>309</v>
      </c>
      <c r="C83" s="263" t="s">
        <v>331</v>
      </c>
      <c r="D83" s="281"/>
      <c r="E83" s="282" t="s">
        <v>343</v>
      </c>
      <c r="F83" s="283">
        <v>250</v>
      </c>
      <c r="G83" s="283">
        <v>43</v>
      </c>
      <c r="H83" s="284">
        <f t="shared" si="9"/>
        <v>10750</v>
      </c>
      <c r="I83" s="282"/>
      <c r="J83" s="283"/>
      <c r="K83" s="283"/>
      <c r="L83" s="284">
        <f t="shared" si="10"/>
        <v>0</v>
      </c>
    </row>
    <row r="84" spans="1:12" s="235" customFormat="1" x14ac:dyDescent="0.25">
      <c r="A84" s="262" t="s">
        <v>6</v>
      </c>
      <c r="B84" s="262" t="s">
        <v>309</v>
      </c>
      <c r="C84" s="263" t="s">
        <v>325</v>
      </c>
      <c r="D84" s="281"/>
      <c r="E84" s="282" t="s">
        <v>344</v>
      </c>
      <c r="F84" s="283">
        <v>15</v>
      </c>
      <c r="G84" s="283">
        <v>42.8</v>
      </c>
      <c r="H84" s="284">
        <f t="shared" si="9"/>
        <v>642</v>
      </c>
      <c r="I84" s="282"/>
      <c r="J84" s="283"/>
      <c r="K84" s="283"/>
      <c r="L84" s="284">
        <f t="shared" si="10"/>
        <v>0</v>
      </c>
    </row>
    <row r="85" spans="1:12" x14ac:dyDescent="0.25">
      <c r="A85" s="262" t="s">
        <v>6</v>
      </c>
      <c r="B85" s="262" t="s">
        <v>309</v>
      </c>
      <c r="C85" s="275" t="s">
        <v>331</v>
      </c>
      <c r="D85" s="236"/>
      <c r="E85" s="310" t="s">
        <v>345</v>
      </c>
      <c r="F85" s="265">
        <v>62</v>
      </c>
      <c r="G85" s="266">
        <v>43</v>
      </c>
      <c r="H85" s="267">
        <f t="shared" si="9"/>
        <v>2666</v>
      </c>
      <c r="I85" s="310"/>
      <c r="J85" s="265"/>
      <c r="K85" s="266"/>
      <c r="L85" s="267">
        <f t="shared" si="10"/>
        <v>0</v>
      </c>
    </row>
    <row r="86" spans="1:12" x14ac:dyDescent="0.25">
      <c r="A86" s="262"/>
      <c r="B86" s="262"/>
      <c r="C86" s="275"/>
      <c r="D86" s="236"/>
      <c r="E86" s="310"/>
      <c r="F86" s="265"/>
      <c r="G86" s="266"/>
      <c r="H86" s="267">
        <f t="shared" si="9"/>
        <v>0</v>
      </c>
      <c r="I86" s="310"/>
      <c r="J86" s="265"/>
      <c r="K86" s="266"/>
      <c r="L86" s="267">
        <f t="shared" si="10"/>
        <v>0</v>
      </c>
    </row>
    <row r="87" spans="1:12" x14ac:dyDescent="0.25">
      <c r="A87" s="262"/>
      <c r="B87" s="262"/>
      <c r="C87" s="275"/>
      <c r="D87" s="236"/>
      <c r="E87" s="310"/>
      <c r="F87" s="265"/>
      <c r="G87" s="266"/>
      <c r="H87" s="267">
        <f t="shared" si="9"/>
        <v>0</v>
      </c>
      <c r="I87" s="310"/>
      <c r="J87" s="265"/>
      <c r="K87" s="266"/>
      <c r="L87" s="267">
        <f t="shared" si="10"/>
        <v>0</v>
      </c>
    </row>
    <row r="88" spans="1:12" ht="15.75" thickBot="1" x14ac:dyDescent="0.3">
      <c r="A88" s="262"/>
      <c r="B88" s="262"/>
      <c r="C88" s="275"/>
      <c r="D88" s="236"/>
      <c r="E88" s="310"/>
      <c r="F88" s="265"/>
      <c r="G88" s="266"/>
      <c r="H88" s="267">
        <f t="shared" si="9"/>
        <v>0</v>
      </c>
      <c r="I88" s="310"/>
      <c r="J88" s="265"/>
      <c r="K88" s="266"/>
      <c r="L88" s="267">
        <f t="shared" si="10"/>
        <v>0</v>
      </c>
    </row>
    <row r="89" spans="1:12" ht="15.75" thickBot="1" x14ac:dyDescent="0.3">
      <c r="A89" s="288"/>
      <c r="B89" s="288"/>
      <c r="C89" s="263"/>
      <c r="D89" s="294" t="s">
        <v>0</v>
      </c>
      <c r="E89" s="295"/>
      <c r="F89" s="296">
        <f>SUM(F77:F88)</f>
        <v>1327</v>
      </c>
      <c r="G89" s="297">
        <f>H89/F89</f>
        <v>41.716654107008289</v>
      </c>
      <c r="H89" s="298">
        <f>SUM(H77:H88)</f>
        <v>55358</v>
      </c>
      <c r="I89" s="295"/>
      <c r="J89" s="296">
        <f>SUM(J77:J88)</f>
        <v>0</v>
      </c>
      <c r="K89" s="297" t="e">
        <f>L89/J89</f>
        <v>#DIV/0!</v>
      </c>
      <c r="L89" s="298">
        <f>SUM(L77:L88)</f>
        <v>0</v>
      </c>
    </row>
    <row r="90" spans="1:12" ht="15.75" thickBot="1" x14ac:dyDescent="0.3">
      <c r="A90" s="299"/>
      <c r="B90" s="299"/>
      <c r="C90" s="299"/>
      <c r="D90" s="300"/>
      <c r="E90" s="301"/>
      <c r="F90" s="301"/>
      <c r="G90" s="302"/>
      <c r="H90" s="303"/>
      <c r="I90" s="301"/>
      <c r="J90" s="301"/>
      <c r="K90" s="302"/>
      <c r="L90" s="303"/>
    </row>
    <row r="91" spans="1:12" x14ac:dyDescent="0.25">
      <c r="A91" s="288"/>
      <c r="B91" s="288"/>
      <c r="C91" s="263"/>
      <c r="D91" s="276"/>
      <c r="E91" s="277"/>
      <c r="F91" s="278"/>
      <c r="G91" s="279"/>
      <c r="H91" s="280">
        <f>F91*G91</f>
        <v>0</v>
      </c>
      <c r="I91" s="277"/>
      <c r="J91" s="278"/>
      <c r="K91" s="279"/>
      <c r="L91" s="280">
        <f>J91*K91</f>
        <v>0</v>
      </c>
    </row>
    <row r="92" spans="1:12" x14ac:dyDescent="0.25">
      <c r="A92" s="262"/>
      <c r="B92" s="262"/>
      <c r="C92" s="304"/>
      <c r="D92" s="236">
        <f>D78+1</f>
        <v>45388</v>
      </c>
      <c r="E92" s="310"/>
      <c r="F92" s="265"/>
      <c r="G92" s="266"/>
      <c r="H92" s="267">
        <f>F92*G92</f>
        <v>0</v>
      </c>
      <c r="I92" s="310"/>
      <c r="J92" s="265"/>
      <c r="K92" s="266"/>
      <c r="L92" s="267">
        <f>J92*K92</f>
        <v>0</v>
      </c>
    </row>
    <row r="93" spans="1:12" s="235" customFormat="1" x14ac:dyDescent="0.25">
      <c r="A93" s="262" t="s">
        <v>6</v>
      </c>
      <c r="B93" s="262" t="s">
        <v>309</v>
      </c>
      <c r="C93" s="263" t="s">
        <v>313</v>
      </c>
      <c r="D93" s="281"/>
      <c r="E93" s="282" t="s">
        <v>347</v>
      </c>
      <c r="F93" s="283">
        <v>500</v>
      </c>
      <c r="G93" s="283">
        <v>40.5</v>
      </c>
      <c r="H93" s="267">
        <f t="shared" ref="H93:H97" si="11">F93*G93</f>
        <v>20250</v>
      </c>
      <c r="I93" s="282"/>
      <c r="J93" s="283"/>
      <c r="K93" s="283"/>
      <c r="L93" s="284">
        <f t="shared" ref="L93:L106" si="12">J93*K93</f>
        <v>0</v>
      </c>
    </row>
    <row r="94" spans="1:12" s="235" customFormat="1" x14ac:dyDescent="0.25">
      <c r="A94" s="262" t="s">
        <v>6</v>
      </c>
      <c r="B94" s="262" t="s">
        <v>309</v>
      </c>
      <c r="C94" s="263" t="s">
        <v>346</v>
      </c>
      <c r="D94" s="281"/>
      <c r="E94" s="282" t="s">
        <v>348</v>
      </c>
      <c r="F94" s="283">
        <v>500</v>
      </c>
      <c r="G94" s="283">
        <v>39.5</v>
      </c>
      <c r="H94" s="267">
        <f t="shared" si="11"/>
        <v>19750</v>
      </c>
      <c r="I94" s="282"/>
      <c r="J94" s="283"/>
      <c r="K94" s="283"/>
      <c r="L94" s="284">
        <f t="shared" si="12"/>
        <v>0</v>
      </c>
    </row>
    <row r="95" spans="1:12" s="235" customFormat="1" x14ac:dyDescent="0.25">
      <c r="A95" s="262" t="s">
        <v>6</v>
      </c>
      <c r="B95" s="262" t="s">
        <v>309</v>
      </c>
      <c r="C95" s="263" t="s">
        <v>313</v>
      </c>
      <c r="D95" s="281"/>
      <c r="E95" s="282" t="s">
        <v>349</v>
      </c>
      <c r="F95" s="283">
        <v>250</v>
      </c>
      <c r="G95" s="283">
        <v>39.299999999999997</v>
      </c>
      <c r="H95" s="267">
        <f t="shared" si="11"/>
        <v>9825</v>
      </c>
      <c r="I95" s="282"/>
      <c r="J95" s="283"/>
      <c r="K95" s="283"/>
      <c r="L95" s="284">
        <f t="shared" si="12"/>
        <v>0</v>
      </c>
    </row>
    <row r="96" spans="1:12" s="235" customFormat="1" x14ac:dyDescent="0.25">
      <c r="A96" s="262" t="s">
        <v>6</v>
      </c>
      <c r="B96" s="262" t="s">
        <v>309</v>
      </c>
      <c r="C96" s="263" t="s">
        <v>324</v>
      </c>
      <c r="D96" s="281"/>
      <c r="E96" s="282" t="s">
        <v>350</v>
      </c>
      <c r="F96" s="283">
        <v>100</v>
      </c>
      <c r="G96" s="283">
        <v>40.1</v>
      </c>
      <c r="H96" s="267">
        <f t="shared" si="11"/>
        <v>4010</v>
      </c>
      <c r="I96" s="282"/>
      <c r="J96" s="283"/>
      <c r="K96" s="283"/>
      <c r="L96" s="284">
        <f t="shared" si="12"/>
        <v>0</v>
      </c>
    </row>
    <row r="97" spans="1:12" s="235" customFormat="1" x14ac:dyDescent="0.25">
      <c r="A97" s="262" t="s">
        <v>6</v>
      </c>
      <c r="B97" s="262" t="s">
        <v>309</v>
      </c>
      <c r="C97" s="263" t="s">
        <v>324</v>
      </c>
      <c r="D97" s="281"/>
      <c r="E97" s="282" t="s">
        <v>351</v>
      </c>
      <c r="F97" s="283">
        <v>55</v>
      </c>
      <c r="G97" s="283">
        <v>40.1</v>
      </c>
      <c r="H97" s="267">
        <f t="shared" si="11"/>
        <v>2205.5</v>
      </c>
      <c r="I97" s="282"/>
      <c r="J97" s="283"/>
      <c r="K97" s="283"/>
      <c r="L97" s="284">
        <f t="shared" si="12"/>
        <v>0</v>
      </c>
    </row>
    <row r="98" spans="1:12" s="235" customFormat="1" x14ac:dyDescent="0.25">
      <c r="A98" s="262" t="s">
        <v>6</v>
      </c>
      <c r="B98" s="262" t="s">
        <v>309</v>
      </c>
      <c r="C98" s="263" t="s">
        <v>313</v>
      </c>
      <c r="D98" s="281"/>
      <c r="E98" s="282" t="s">
        <v>352</v>
      </c>
      <c r="F98" s="283">
        <v>30</v>
      </c>
      <c r="G98" s="283">
        <v>40</v>
      </c>
      <c r="H98" s="284">
        <f t="shared" ref="H98:H106" si="13">F98*G98</f>
        <v>1200</v>
      </c>
      <c r="I98" s="282"/>
      <c r="J98" s="283"/>
      <c r="K98" s="283"/>
      <c r="L98" s="284">
        <f t="shared" si="12"/>
        <v>0</v>
      </c>
    </row>
    <row r="99" spans="1:12" s="235" customFormat="1" x14ac:dyDescent="0.25">
      <c r="A99" s="262"/>
      <c r="B99" s="262"/>
      <c r="C99" s="263"/>
      <c r="D99" s="281"/>
      <c r="E99" s="282"/>
      <c r="F99" s="283"/>
      <c r="G99" s="283"/>
      <c r="H99" s="284">
        <f t="shared" si="13"/>
        <v>0</v>
      </c>
      <c r="I99" s="282"/>
      <c r="J99" s="283"/>
      <c r="K99" s="283"/>
      <c r="L99" s="284">
        <f t="shared" si="12"/>
        <v>0</v>
      </c>
    </row>
    <row r="100" spans="1:12" s="235" customFormat="1" x14ac:dyDescent="0.25">
      <c r="A100" s="262"/>
      <c r="B100" s="262"/>
      <c r="C100" s="263"/>
      <c r="D100" s="281"/>
      <c r="E100" s="282"/>
      <c r="F100" s="283"/>
      <c r="G100" s="283"/>
      <c r="H100" s="284">
        <f t="shared" si="13"/>
        <v>0</v>
      </c>
      <c r="I100" s="282"/>
      <c r="J100" s="283"/>
      <c r="K100" s="283"/>
      <c r="L100" s="284">
        <f t="shared" si="12"/>
        <v>0</v>
      </c>
    </row>
    <row r="101" spans="1:12" x14ac:dyDescent="0.25">
      <c r="A101" s="262"/>
      <c r="B101" s="262"/>
      <c r="C101" s="304"/>
      <c r="D101" s="236"/>
      <c r="E101" s="310"/>
      <c r="F101" s="265"/>
      <c r="G101" s="266"/>
      <c r="H101" s="267">
        <f t="shared" si="13"/>
        <v>0</v>
      </c>
      <c r="I101" s="310"/>
      <c r="J101" s="265"/>
      <c r="K101" s="266"/>
      <c r="L101" s="267">
        <f t="shared" si="12"/>
        <v>0</v>
      </c>
    </row>
    <row r="102" spans="1:12" x14ac:dyDescent="0.25">
      <c r="A102" s="262"/>
      <c r="B102" s="262"/>
      <c r="C102" s="304"/>
      <c r="D102" s="236"/>
      <c r="E102" s="310"/>
      <c r="F102" s="265"/>
      <c r="G102" s="266"/>
      <c r="H102" s="267">
        <f t="shared" si="13"/>
        <v>0</v>
      </c>
      <c r="I102" s="310"/>
      <c r="J102" s="265"/>
      <c r="K102" s="266"/>
      <c r="L102" s="267">
        <f t="shared" si="12"/>
        <v>0</v>
      </c>
    </row>
    <row r="103" spans="1:12" x14ac:dyDescent="0.25">
      <c r="A103" s="262"/>
      <c r="B103" s="262"/>
      <c r="C103" s="304"/>
      <c r="D103" s="236"/>
      <c r="E103" s="310"/>
      <c r="F103" s="265"/>
      <c r="G103" s="266"/>
      <c r="H103" s="267">
        <f t="shared" si="13"/>
        <v>0</v>
      </c>
      <c r="I103" s="310"/>
      <c r="J103" s="265"/>
      <c r="K103" s="266"/>
      <c r="L103" s="267">
        <f t="shared" si="12"/>
        <v>0</v>
      </c>
    </row>
    <row r="104" spans="1:12" x14ac:dyDescent="0.25">
      <c r="A104" s="262"/>
      <c r="B104" s="262"/>
      <c r="C104" s="275"/>
      <c r="D104" s="236"/>
      <c r="E104" s="264"/>
      <c r="F104" s="318"/>
      <c r="G104" s="320"/>
      <c r="H104" s="267">
        <f t="shared" si="13"/>
        <v>0</v>
      </c>
      <c r="I104" s="264"/>
      <c r="J104" s="318"/>
      <c r="K104" s="320"/>
      <c r="L104" s="267">
        <f t="shared" si="12"/>
        <v>0</v>
      </c>
    </row>
    <row r="105" spans="1:12" x14ac:dyDescent="0.25">
      <c r="A105" s="288"/>
      <c r="B105" s="262"/>
      <c r="C105" s="263"/>
      <c r="D105" s="306"/>
      <c r="E105" s="307"/>
      <c r="F105" s="321"/>
      <c r="G105" s="308"/>
      <c r="H105" s="267">
        <f t="shared" si="13"/>
        <v>0</v>
      </c>
      <c r="I105" s="307"/>
      <c r="J105" s="321"/>
      <c r="K105" s="308"/>
      <c r="L105" s="267">
        <f t="shared" si="12"/>
        <v>0</v>
      </c>
    </row>
    <row r="106" spans="1:12" s="235" customFormat="1" ht="15.75" thickBot="1" x14ac:dyDescent="0.3">
      <c r="A106" s="285"/>
      <c r="B106" s="262"/>
      <c r="C106" s="286"/>
      <c r="D106" s="281"/>
      <c r="E106" s="282"/>
      <c r="F106" s="287"/>
      <c r="G106" s="283"/>
      <c r="H106" s="267">
        <f t="shared" si="13"/>
        <v>0</v>
      </c>
      <c r="I106" s="282"/>
      <c r="J106" s="287"/>
      <c r="K106" s="283"/>
      <c r="L106" s="267">
        <f t="shared" si="12"/>
        <v>0</v>
      </c>
    </row>
    <row r="107" spans="1:12" ht="15.75" thickBot="1" x14ac:dyDescent="0.3">
      <c r="A107" s="288"/>
      <c r="B107" s="288"/>
      <c r="C107" s="263"/>
      <c r="D107" s="294" t="s">
        <v>0</v>
      </c>
      <c r="E107" s="295"/>
      <c r="F107" s="296">
        <f>SUM(F91:F106)</f>
        <v>1435</v>
      </c>
      <c r="G107" s="297">
        <f>H107/F107</f>
        <v>39.888850174216024</v>
      </c>
      <c r="H107" s="298">
        <f>SUM(H91:H106)</f>
        <v>57240.5</v>
      </c>
      <c r="I107" s="295"/>
      <c r="J107" s="296">
        <f>SUM(J91:J106)</f>
        <v>0</v>
      </c>
      <c r="K107" s="297" t="e">
        <f>L107/J107</f>
        <v>#DIV/0!</v>
      </c>
      <c r="L107" s="298">
        <f>SUM(L91:L106)</f>
        <v>0</v>
      </c>
    </row>
    <row r="108" spans="1:12" ht="15.75" thickBot="1" x14ac:dyDescent="0.3">
      <c r="A108" s="299"/>
      <c r="B108" s="299"/>
      <c r="C108" s="299"/>
      <c r="D108" s="300"/>
      <c r="E108" s="301"/>
      <c r="F108" s="301"/>
      <c r="G108" s="302"/>
      <c r="H108" s="303"/>
      <c r="I108" s="301"/>
      <c r="J108" s="301"/>
      <c r="K108" s="302"/>
      <c r="L108" s="303"/>
    </row>
    <row r="109" spans="1:12" x14ac:dyDescent="0.25">
      <c r="A109" s="288"/>
      <c r="B109" s="288"/>
      <c r="C109" s="263"/>
      <c r="D109" s="276"/>
      <c r="E109" s="277"/>
      <c r="F109" s="278"/>
      <c r="G109" s="279"/>
      <c r="H109" s="280">
        <f>F109*G109</f>
        <v>0</v>
      </c>
      <c r="I109" s="277"/>
      <c r="J109" s="278"/>
      <c r="K109" s="279"/>
      <c r="L109" s="280">
        <f>J109*K109</f>
        <v>0</v>
      </c>
    </row>
    <row r="110" spans="1:12" s="369" customFormat="1" x14ac:dyDescent="0.25">
      <c r="A110" s="262"/>
      <c r="B110" s="262"/>
      <c r="C110" s="275"/>
      <c r="D110" s="368">
        <f>D92+1</f>
        <v>45389</v>
      </c>
      <c r="E110" s="310"/>
      <c r="F110" s="265"/>
      <c r="G110" s="266"/>
      <c r="H110" s="309">
        <f>F110*G110</f>
        <v>0</v>
      </c>
      <c r="I110" s="310"/>
      <c r="J110" s="265"/>
      <c r="K110" s="266"/>
      <c r="L110" s="309">
        <f>J110*K110</f>
        <v>0</v>
      </c>
    </row>
    <row r="111" spans="1:12" s="235" customFormat="1" x14ac:dyDescent="0.25">
      <c r="A111" s="262" t="s">
        <v>6</v>
      </c>
      <c r="B111" s="262" t="s">
        <v>309</v>
      </c>
      <c r="C111" s="263" t="s">
        <v>353</v>
      </c>
      <c r="D111" s="281"/>
      <c r="E111" s="282">
        <v>149181</v>
      </c>
      <c r="F111" s="283">
        <v>500</v>
      </c>
      <c r="G111" s="283">
        <v>40.5</v>
      </c>
      <c r="H111" s="284">
        <f t="shared" ref="H111:H122" si="14">F111*G111</f>
        <v>20250</v>
      </c>
      <c r="I111" s="282"/>
      <c r="J111" s="283"/>
      <c r="K111" s="283"/>
      <c r="L111" s="284">
        <f t="shared" ref="L111:L122" si="15">J111*K111</f>
        <v>0</v>
      </c>
    </row>
    <row r="112" spans="1:12" s="235" customFormat="1" x14ac:dyDescent="0.25">
      <c r="A112" s="262" t="s">
        <v>6</v>
      </c>
      <c r="B112" s="262" t="s">
        <v>309</v>
      </c>
      <c r="C112" s="263" t="s">
        <v>354</v>
      </c>
      <c r="D112" s="281"/>
      <c r="E112" s="282">
        <v>149193</v>
      </c>
      <c r="F112" s="283">
        <v>500</v>
      </c>
      <c r="G112" s="283">
        <v>39.5</v>
      </c>
      <c r="H112" s="284">
        <f t="shared" si="14"/>
        <v>19750</v>
      </c>
      <c r="I112" s="282"/>
      <c r="J112" s="283"/>
      <c r="K112" s="283"/>
      <c r="L112" s="284">
        <f t="shared" si="15"/>
        <v>0</v>
      </c>
    </row>
    <row r="113" spans="1:12" s="235" customFormat="1" x14ac:dyDescent="0.25">
      <c r="A113" s="262" t="s">
        <v>6</v>
      </c>
      <c r="B113" s="262" t="s">
        <v>309</v>
      </c>
      <c r="C113" s="263" t="s">
        <v>353</v>
      </c>
      <c r="D113" s="281"/>
      <c r="E113" s="282">
        <v>149203</v>
      </c>
      <c r="F113" s="283">
        <v>250</v>
      </c>
      <c r="G113" s="283">
        <v>39.299999999999997</v>
      </c>
      <c r="H113" s="284">
        <f t="shared" si="14"/>
        <v>9825</v>
      </c>
      <c r="I113" s="282"/>
      <c r="J113" s="283"/>
      <c r="K113" s="283"/>
      <c r="L113" s="284">
        <f t="shared" si="15"/>
        <v>0</v>
      </c>
    </row>
    <row r="114" spans="1:12" s="235" customFormat="1" x14ac:dyDescent="0.25">
      <c r="A114" s="262" t="s">
        <v>6</v>
      </c>
      <c r="B114" s="262" t="s">
        <v>309</v>
      </c>
      <c r="C114" s="263" t="s">
        <v>355</v>
      </c>
      <c r="D114" s="281"/>
      <c r="E114" s="282">
        <v>149278</v>
      </c>
      <c r="F114" s="283">
        <v>33</v>
      </c>
      <c r="G114" s="283">
        <v>40</v>
      </c>
      <c r="H114" s="284">
        <f t="shared" si="14"/>
        <v>1320</v>
      </c>
      <c r="I114" s="282"/>
      <c r="J114" s="283"/>
      <c r="K114" s="283"/>
      <c r="L114" s="284">
        <f t="shared" si="15"/>
        <v>0</v>
      </c>
    </row>
    <row r="115" spans="1:12" s="235" customFormat="1" x14ac:dyDescent="0.25">
      <c r="A115" s="262" t="s">
        <v>6</v>
      </c>
      <c r="B115" s="262" t="s">
        <v>309</v>
      </c>
      <c r="C115" s="263" t="s">
        <v>356</v>
      </c>
      <c r="D115" s="281"/>
      <c r="E115" s="282">
        <v>149279</v>
      </c>
      <c r="F115" s="283">
        <v>67</v>
      </c>
      <c r="G115" s="283">
        <v>40</v>
      </c>
      <c r="H115" s="284">
        <f t="shared" si="14"/>
        <v>2680</v>
      </c>
      <c r="I115" s="282"/>
      <c r="J115" s="283"/>
      <c r="K115" s="283"/>
      <c r="L115" s="284">
        <f t="shared" si="15"/>
        <v>0</v>
      </c>
    </row>
    <row r="116" spans="1:12" s="235" customFormat="1" x14ac:dyDescent="0.25">
      <c r="A116" s="262" t="s">
        <v>6</v>
      </c>
      <c r="B116" s="262" t="s">
        <v>309</v>
      </c>
      <c r="C116" s="263" t="s">
        <v>357</v>
      </c>
      <c r="D116" s="281"/>
      <c r="E116" s="282">
        <v>149344</v>
      </c>
      <c r="F116" s="283">
        <v>20</v>
      </c>
      <c r="G116" s="283">
        <v>39</v>
      </c>
      <c r="H116" s="284">
        <f t="shared" si="14"/>
        <v>780</v>
      </c>
      <c r="I116" s="282"/>
      <c r="J116" s="283"/>
      <c r="K116" s="283"/>
      <c r="L116" s="284">
        <f t="shared" si="15"/>
        <v>0</v>
      </c>
    </row>
    <row r="117" spans="1:12" s="235" customFormat="1" x14ac:dyDescent="0.25">
      <c r="A117" s="262" t="s">
        <v>6</v>
      </c>
      <c r="B117" s="262" t="s">
        <v>309</v>
      </c>
      <c r="C117" s="263" t="s">
        <v>357</v>
      </c>
      <c r="D117" s="281"/>
      <c r="E117" s="282">
        <v>149345</v>
      </c>
      <c r="F117" s="283">
        <v>10</v>
      </c>
      <c r="G117" s="283">
        <v>39</v>
      </c>
      <c r="H117" s="284">
        <f t="shared" si="14"/>
        <v>390</v>
      </c>
      <c r="I117" s="282"/>
      <c r="J117" s="283"/>
      <c r="K117" s="283"/>
      <c r="L117" s="284">
        <f t="shared" si="15"/>
        <v>0</v>
      </c>
    </row>
    <row r="118" spans="1:12" s="235" customFormat="1" x14ac:dyDescent="0.25">
      <c r="A118" s="262" t="s">
        <v>6</v>
      </c>
      <c r="B118" s="262" t="s">
        <v>309</v>
      </c>
      <c r="C118" s="263" t="s">
        <v>356</v>
      </c>
      <c r="D118" s="281"/>
      <c r="E118" s="282">
        <v>149346</v>
      </c>
      <c r="F118" s="283">
        <v>20</v>
      </c>
      <c r="G118" s="283">
        <v>39</v>
      </c>
      <c r="H118" s="284">
        <f t="shared" si="14"/>
        <v>780</v>
      </c>
      <c r="I118" s="282"/>
      <c r="J118" s="283"/>
      <c r="K118" s="283"/>
      <c r="L118" s="284">
        <f t="shared" si="15"/>
        <v>0</v>
      </c>
    </row>
    <row r="119" spans="1:12" x14ac:dyDescent="0.25">
      <c r="A119" s="262"/>
      <c r="B119" s="262"/>
      <c r="C119" s="286"/>
      <c r="D119" s="305"/>
      <c r="E119" s="264"/>
      <c r="F119" s="265"/>
      <c r="G119" s="265"/>
      <c r="H119" s="267">
        <f t="shared" si="14"/>
        <v>0</v>
      </c>
      <c r="I119" s="264"/>
      <c r="J119" s="265"/>
      <c r="K119" s="265"/>
      <c r="L119" s="267">
        <f t="shared" si="15"/>
        <v>0</v>
      </c>
    </row>
    <row r="120" spans="1:12" s="316" customFormat="1" x14ac:dyDescent="0.25">
      <c r="A120" s="262"/>
      <c r="B120" s="262"/>
      <c r="C120" s="275"/>
      <c r="D120" s="312"/>
      <c r="E120" s="313"/>
      <c r="F120" s="314"/>
      <c r="G120" s="315"/>
      <c r="H120" s="309">
        <f t="shared" si="14"/>
        <v>0</v>
      </c>
      <c r="I120" s="313"/>
      <c r="J120" s="314"/>
      <c r="K120" s="315"/>
      <c r="L120" s="309">
        <f t="shared" si="15"/>
        <v>0</v>
      </c>
    </row>
    <row r="121" spans="1:12" s="316" customFormat="1" x14ac:dyDescent="0.25">
      <c r="A121" s="262"/>
      <c r="B121" s="262"/>
      <c r="C121" s="275"/>
      <c r="D121" s="312"/>
      <c r="E121" s="313"/>
      <c r="F121" s="314"/>
      <c r="G121" s="315"/>
      <c r="H121" s="309">
        <f t="shared" si="14"/>
        <v>0</v>
      </c>
      <c r="I121" s="313"/>
      <c r="J121" s="314"/>
      <c r="K121" s="315"/>
      <c r="L121" s="309">
        <f t="shared" si="15"/>
        <v>0</v>
      </c>
    </row>
    <row r="122" spans="1:12" s="316" customFormat="1" ht="15.75" thickBot="1" x14ac:dyDescent="0.3">
      <c r="A122" s="262"/>
      <c r="B122" s="262"/>
      <c r="C122" s="275"/>
      <c r="D122" s="312"/>
      <c r="E122" s="313"/>
      <c r="F122" s="314"/>
      <c r="G122" s="315"/>
      <c r="H122" s="309">
        <f t="shared" si="14"/>
        <v>0</v>
      </c>
      <c r="I122" s="313"/>
      <c r="J122" s="314"/>
      <c r="K122" s="315"/>
      <c r="L122" s="309">
        <f t="shared" si="15"/>
        <v>0</v>
      </c>
    </row>
    <row r="123" spans="1:12" ht="15.75" thickBot="1" x14ac:dyDescent="0.3">
      <c r="A123" s="288"/>
      <c r="B123" s="288"/>
      <c r="C123" s="263"/>
      <c r="D123" s="294" t="s">
        <v>0</v>
      </c>
      <c r="E123" s="295"/>
      <c r="F123" s="296">
        <f>SUM(F109:F122)</f>
        <v>1400</v>
      </c>
      <c r="G123" s="297">
        <f>H123/F123</f>
        <v>39.839285714285715</v>
      </c>
      <c r="H123" s="298">
        <f>SUM(H109:H122)</f>
        <v>55775</v>
      </c>
      <c r="I123" s="295"/>
      <c r="J123" s="296">
        <f>SUM(J109:J122)</f>
        <v>0</v>
      </c>
      <c r="K123" s="297" t="e">
        <f>L123/J123</f>
        <v>#DIV/0!</v>
      </c>
      <c r="L123" s="298">
        <f>SUM(L109:L122)</f>
        <v>0</v>
      </c>
    </row>
    <row r="124" spans="1:12" ht="15.75" thickBot="1" x14ac:dyDescent="0.3">
      <c r="A124" s="299"/>
      <c r="B124" s="299"/>
      <c r="C124" s="299"/>
      <c r="D124" s="300"/>
      <c r="E124" s="301"/>
      <c r="F124" s="301"/>
      <c r="G124" s="302"/>
      <c r="H124" s="303"/>
      <c r="I124" s="301"/>
      <c r="J124" s="301"/>
      <c r="K124" s="302"/>
      <c r="L124" s="303"/>
    </row>
    <row r="125" spans="1:12" x14ac:dyDescent="0.25">
      <c r="A125" s="288"/>
      <c r="B125" s="288"/>
      <c r="C125" s="263"/>
      <c r="D125" s="276"/>
      <c r="E125" s="277"/>
      <c r="F125" s="278"/>
      <c r="G125" s="279"/>
      <c r="H125" s="267">
        <f t="shared" ref="H125:H135" si="16">F125*G125</f>
        <v>0</v>
      </c>
      <c r="I125" s="277"/>
      <c r="J125" s="278"/>
      <c r="K125" s="279"/>
      <c r="L125" s="267">
        <f t="shared" ref="L125:L135" si="17">J125*K125</f>
        <v>0</v>
      </c>
    </row>
    <row r="126" spans="1:12" s="369" customFormat="1" x14ac:dyDescent="0.25">
      <c r="A126" s="262"/>
      <c r="B126" s="262"/>
      <c r="C126" s="275"/>
      <c r="D126" s="368">
        <f>+D110+1</f>
        <v>45390</v>
      </c>
      <c r="E126" s="264"/>
      <c r="F126" s="318"/>
      <c r="G126" s="320"/>
      <c r="H126" s="309">
        <f t="shared" si="16"/>
        <v>0</v>
      </c>
      <c r="I126" s="264"/>
      <c r="J126" s="318"/>
      <c r="K126" s="320"/>
      <c r="L126" s="309">
        <f t="shared" si="17"/>
        <v>0</v>
      </c>
    </row>
    <row r="127" spans="1:12" s="235" customFormat="1" x14ac:dyDescent="0.25">
      <c r="A127" s="262" t="s">
        <v>6</v>
      </c>
      <c r="B127" s="262" t="s">
        <v>309</v>
      </c>
      <c r="C127" s="263" t="s">
        <v>358</v>
      </c>
      <c r="D127" s="281"/>
      <c r="E127" s="282">
        <v>149295</v>
      </c>
      <c r="F127" s="283">
        <v>500</v>
      </c>
      <c r="G127" s="283">
        <v>41</v>
      </c>
      <c r="H127" s="284">
        <f t="shared" si="16"/>
        <v>20500</v>
      </c>
      <c r="I127" s="282"/>
      <c r="J127" s="283"/>
      <c r="K127" s="283"/>
      <c r="L127" s="284">
        <f t="shared" si="17"/>
        <v>0</v>
      </c>
    </row>
    <row r="128" spans="1:12" s="235" customFormat="1" x14ac:dyDescent="0.25">
      <c r="A128" s="262" t="s">
        <v>6</v>
      </c>
      <c r="B128" s="262" t="s">
        <v>309</v>
      </c>
      <c r="C128" s="263" t="s">
        <v>359</v>
      </c>
      <c r="D128" s="281"/>
      <c r="E128" s="282">
        <v>149301</v>
      </c>
      <c r="F128" s="283">
        <v>220</v>
      </c>
      <c r="G128" s="283">
        <v>41</v>
      </c>
      <c r="H128" s="284">
        <f t="shared" si="16"/>
        <v>9020</v>
      </c>
      <c r="I128" s="282"/>
      <c r="J128" s="283"/>
      <c r="K128" s="283"/>
      <c r="L128" s="284">
        <f t="shared" si="17"/>
        <v>0</v>
      </c>
    </row>
    <row r="129" spans="1:12" s="235" customFormat="1" x14ac:dyDescent="0.25">
      <c r="A129" s="262" t="s">
        <v>6</v>
      </c>
      <c r="B129" s="262" t="s">
        <v>309</v>
      </c>
      <c r="C129" s="263" t="s">
        <v>355</v>
      </c>
      <c r="D129" s="281"/>
      <c r="E129" s="282">
        <v>149302</v>
      </c>
      <c r="F129" s="283">
        <v>280</v>
      </c>
      <c r="G129" s="283">
        <v>41</v>
      </c>
      <c r="H129" s="284">
        <f t="shared" si="16"/>
        <v>11480</v>
      </c>
      <c r="I129" s="282"/>
      <c r="J129" s="283"/>
      <c r="K129" s="283"/>
      <c r="L129" s="284">
        <f t="shared" si="17"/>
        <v>0</v>
      </c>
    </row>
    <row r="130" spans="1:12" s="235" customFormat="1" x14ac:dyDescent="0.25">
      <c r="A130" s="262" t="s">
        <v>6</v>
      </c>
      <c r="B130" s="262" t="s">
        <v>309</v>
      </c>
      <c r="C130" s="263" t="s">
        <v>355</v>
      </c>
      <c r="D130" s="281"/>
      <c r="E130" s="282">
        <v>149303</v>
      </c>
      <c r="F130" s="283">
        <v>250</v>
      </c>
      <c r="G130" s="283">
        <v>41</v>
      </c>
      <c r="H130" s="284">
        <f t="shared" si="16"/>
        <v>10250</v>
      </c>
      <c r="I130" s="282"/>
      <c r="J130" s="283"/>
      <c r="K130" s="283"/>
      <c r="L130" s="284">
        <f t="shared" si="17"/>
        <v>0</v>
      </c>
    </row>
    <row r="131" spans="1:12" s="235" customFormat="1" x14ac:dyDescent="0.25">
      <c r="A131" s="262" t="s">
        <v>6</v>
      </c>
      <c r="B131" s="262" t="s">
        <v>309</v>
      </c>
      <c r="C131" s="263" t="s">
        <v>353</v>
      </c>
      <c r="D131" s="281"/>
      <c r="E131" s="282">
        <v>149430</v>
      </c>
      <c r="F131" s="283">
        <v>50</v>
      </c>
      <c r="G131" s="283">
        <v>42</v>
      </c>
      <c r="H131" s="284">
        <f t="shared" si="16"/>
        <v>2100</v>
      </c>
      <c r="I131" s="282"/>
      <c r="J131" s="283"/>
      <c r="K131" s="283"/>
      <c r="L131" s="284">
        <f t="shared" si="17"/>
        <v>0</v>
      </c>
    </row>
    <row r="132" spans="1:12" x14ac:dyDescent="0.25">
      <c r="A132" s="262"/>
      <c r="B132" s="262"/>
      <c r="C132" s="275"/>
      <c r="D132" s="236"/>
      <c r="E132" s="264"/>
      <c r="F132" s="318"/>
      <c r="G132" s="318"/>
      <c r="H132" s="267">
        <f t="shared" si="16"/>
        <v>0</v>
      </c>
      <c r="I132" s="264"/>
      <c r="J132" s="318"/>
      <c r="K132" s="318"/>
      <c r="L132" s="267">
        <f t="shared" si="17"/>
        <v>0</v>
      </c>
    </row>
    <row r="133" spans="1:12" x14ac:dyDescent="0.25">
      <c r="A133" s="262"/>
      <c r="B133" s="262"/>
      <c r="C133" s="275"/>
      <c r="D133" s="236"/>
      <c r="E133" s="264"/>
      <c r="F133" s="318"/>
      <c r="G133" s="318"/>
      <c r="H133" s="267">
        <f t="shared" si="16"/>
        <v>0</v>
      </c>
      <c r="I133" s="264"/>
      <c r="J133" s="318"/>
      <c r="K133" s="318"/>
      <c r="L133" s="267">
        <f t="shared" si="17"/>
        <v>0</v>
      </c>
    </row>
    <row r="134" spans="1:12" s="316" customFormat="1" x14ac:dyDescent="0.25">
      <c r="A134" s="262"/>
      <c r="B134" s="262"/>
      <c r="C134" s="275"/>
      <c r="D134" s="312"/>
      <c r="E134" s="322"/>
      <c r="F134" s="323"/>
      <c r="G134" s="324"/>
      <c r="H134" s="309">
        <f t="shared" si="16"/>
        <v>0</v>
      </c>
      <c r="I134" s="322"/>
      <c r="J134" s="323"/>
      <c r="K134" s="324"/>
      <c r="L134" s="309">
        <f t="shared" si="17"/>
        <v>0</v>
      </c>
    </row>
    <row r="135" spans="1:12" s="316" customFormat="1" ht="15.75" thickBot="1" x14ac:dyDescent="0.3">
      <c r="A135" s="262"/>
      <c r="B135" s="262"/>
      <c r="C135" s="275"/>
      <c r="D135" s="312"/>
      <c r="E135" s="322"/>
      <c r="F135" s="323"/>
      <c r="G135" s="324"/>
      <c r="H135" s="309">
        <f t="shared" si="16"/>
        <v>0</v>
      </c>
      <c r="I135" s="322"/>
      <c r="J135" s="323"/>
      <c r="K135" s="324"/>
      <c r="L135" s="309">
        <f t="shared" si="17"/>
        <v>0</v>
      </c>
    </row>
    <row r="136" spans="1:12" ht="15.75" thickBot="1" x14ac:dyDescent="0.3">
      <c r="A136" s="288"/>
      <c r="B136" s="288"/>
      <c r="C136" s="263"/>
      <c r="D136" s="294" t="s">
        <v>0</v>
      </c>
      <c r="E136" s="295"/>
      <c r="F136" s="296">
        <f>SUM(F125:F135)</f>
        <v>1300</v>
      </c>
      <c r="G136" s="297">
        <f>H136/F136</f>
        <v>41.03846153846154</v>
      </c>
      <c r="H136" s="298">
        <f>SUM(H125:H135)</f>
        <v>53350</v>
      </c>
      <c r="I136" s="295"/>
      <c r="J136" s="296">
        <f>SUM(J125:J135)</f>
        <v>0</v>
      </c>
      <c r="K136" s="297" t="e">
        <f>L136/J136</f>
        <v>#DIV/0!</v>
      </c>
      <c r="L136" s="298">
        <f>SUM(L125:L135)</f>
        <v>0</v>
      </c>
    </row>
    <row r="137" spans="1:12" ht="15.75" thickBot="1" x14ac:dyDescent="0.3">
      <c r="A137" s="299"/>
      <c r="B137" s="299"/>
      <c r="C137" s="299"/>
      <c r="D137" s="300"/>
      <c r="E137" s="301"/>
      <c r="F137" s="301"/>
      <c r="G137" s="302"/>
      <c r="H137" s="303"/>
      <c r="I137" s="301"/>
      <c r="J137" s="301"/>
      <c r="K137" s="302"/>
      <c r="L137" s="303"/>
    </row>
    <row r="138" spans="1:12" x14ac:dyDescent="0.25">
      <c r="A138" s="288"/>
      <c r="B138" s="288"/>
      <c r="C138" s="263"/>
      <c r="D138" s="276"/>
      <c r="E138" s="277"/>
      <c r="F138" s="265"/>
      <c r="G138" s="318"/>
      <c r="H138" s="280">
        <f t="shared" ref="H138:H152" si="18">F138*G138</f>
        <v>0</v>
      </c>
      <c r="I138" s="277"/>
      <c r="J138" s="265"/>
      <c r="K138" s="318"/>
      <c r="L138" s="280">
        <f t="shared" ref="L138:L152" si="19">J138*K138</f>
        <v>0</v>
      </c>
    </row>
    <row r="139" spans="1:12" x14ac:dyDescent="0.25">
      <c r="A139" s="262"/>
      <c r="B139" s="262"/>
      <c r="C139" s="286"/>
      <c r="D139" s="305">
        <f>D126+1</f>
        <v>45391</v>
      </c>
      <c r="E139" s="264"/>
      <c r="F139" s="265"/>
      <c r="G139" s="265"/>
      <c r="H139" s="267">
        <f t="shared" si="18"/>
        <v>0</v>
      </c>
      <c r="I139" s="264"/>
      <c r="J139" s="265"/>
      <c r="K139" s="265"/>
      <c r="L139" s="267">
        <f t="shared" si="19"/>
        <v>0</v>
      </c>
    </row>
    <row r="140" spans="1:12" s="235" customFormat="1" x14ac:dyDescent="0.25">
      <c r="A140" s="262" t="s">
        <v>6</v>
      </c>
      <c r="B140" s="262" t="s">
        <v>309</v>
      </c>
      <c r="C140" s="263" t="s">
        <v>358</v>
      </c>
      <c r="D140" s="281"/>
      <c r="E140" s="282">
        <v>149395</v>
      </c>
      <c r="F140" s="283">
        <v>500</v>
      </c>
      <c r="G140" s="283">
        <v>42</v>
      </c>
      <c r="H140" s="284">
        <f t="shared" si="18"/>
        <v>21000</v>
      </c>
      <c r="I140" s="282"/>
      <c r="J140" s="283"/>
      <c r="K140" s="283"/>
      <c r="L140" s="284">
        <f t="shared" si="19"/>
        <v>0</v>
      </c>
    </row>
    <row r="141" spans="1:12" s="235" customFormat="1" x14ac:dyDescent="0.25">
      <c r="A141" s="262" t="s">
        <v>6</v>
      </c>
      <c r="B141" s="262" t="s">
        <v>309</v>
      </c>
      <c r="C141" s="263" t="s">
        <v>355</v>
      </c>
      <c r="D141" s="281"/>
      <c r="E141" s="282">
        <v>149401</v>
      </c>
      <c r="F141" s="283">
        <v>500</v>
      </c>
      <c r="G141" s="283">
        <v>42</v>
      </c>
      <c r="H141" s="284">
        <f t="shared" si="18"/>
        <v>21000</v>
      </c>
      <c r="I141" s="282"/>
      <c r="J141" s="283"/>
      <c r="K141" s="283"/>
      <c r="L141" s="284">
        <f t="shared" si="19"/>
        <v>0</v>
      </c>
    </row>
    <row r="142" spans="1:12" s="235" customFormat="1" x14ac:dyDescent="0.25">
      <c r="A142" s="262" t="s">
        <v>6</v>
      </c>
      <c r="B142" s="262" t="s">
        <v>309</v>
      </c>
      <c r="C142" s="263" t="s">
        <v>358</v>
      </c>
      <c r="D142" s="281"/>
      <c r="E142" s="282">
        <v>149412</v>
      </c>
      <c r="F142" s="283">
        <v>300</v>
      </c>
      <c r="G142" s="283">
        <v>41.5</v>
      </c>
      <c r="H142" s="284">
        <f t="shared" si="18"/>
        <v>12450</v>
      </c>
      <c r="I142" s="282"/>
      <c r="J142" s="283"/>
      <c r="K142" s="283"/>
      <c r="L142" s="284">
        <f t="shared" si="19"/>
        <v>0</v>
      </c>
    </row>
    <row r="143" spans="1:12" s="235" customFormat="1" x14ac:dyDescent="0.25">
      <c r="A143" s="262" t="s">
        <v>6</v>
      </c>
      <c r="B143" s="262" t="s">
        <v>309</v>
      </c>
      <c r="C143" s="263" t="s">
        <v>353</v>
      </c>
      <c r="D143" s="281"/>
      <c r="E143" s="282">
        <v>149515</v>
      </c>
      <c r="F143" s="283">
        <v>50</v>
      </c>
      <c r="G143" s="283">
        <v>42</v>
      </c>
      <c r="H143" s="284">
        <f t="shared" si="18"/>
        <v>2100</v>
      </c>
      <c r="I143" s="282"/>
      <c r="J143" s="283"/>
      <c r="K143" s="283"/>
      <c r="L143" s="284">
        <f t="shared" si="19"/>
        <v>0</v>
      </c>
    </row>
    <row r="144" spans="1:12" s="235" customFormat="1" x14ac:dyDescent="0.25">
      <c r="A144" s="262" t="s">
        <v>6</v>
      </c>
      <c r="B144" s="262" t="s">
        <v>309</v>
      </c>
      <c r="C144" s="263" t="s">
        <v>360</v>
      </c>
      <c r="D144" s="281"/>
      <c r="E144" s="282">
        <v>149522</v>
      </c>
      <c r="F144" s="283">
        <v>30</v>
      </c>
      <c r="G144" s="283">
        <v>41.7</v>
      </c>
      <c r="H144" s="284">
        <f t="shared" si="18"/>
        <v>1251</v>
      </c>
      <c r="I144" s="282"/>
      <c r="J144" s="283"/>
      <c r="K144" s="283"/>
      <c r="L144" s="284">
        <f t="shared" si="19"/>
        <v>0</v>
      </c>
    </row>
    <row r="145" spans="1:12" s="235" customFormat="1" x14ac:dyDescent="0.25">
      <c r="A145" s="262"/>
      <c r="B145" s="262"/>
      <c r="C145" s="263"/>
      <c r="D145" s="281"/>
      <c r="E145" s="282"/>
      <c r="F145" s="283"/>
      <c r="G145" s="283"/>
      <c r="H145" s="284">
        <f t="shared" si="18"/>
        <v>0</v>
      </c>
      <c r="I145" s="282"/>
      <c r="J145" s="283"/>
      <c r="K145" s="283"/>
      <c r="L145" s="284">
        <f t="shared" si="19"/>
        <v>0</v>
      </c>
    </row>
    <row r="146" spans="1:12" s="235" customFormat="1" x14ac:dyDescent="0.25">
      <c r="A146" s="262"/>
      <c r="B146" s="262"/>
      <c r="C146" s="263"/>
      <c r="D146" s="281"/>
      <c r="E146" s="282"/>
      <c r="F146" s="283"/>
      <c r="G146" s="283"/>
      <c r="H146" s="284">
        <f t="shared" si="18"/>
        <v>0</v>
      </c>
      <c r="I146" s="282"/>
      <c r="J146" s="283"/>
      <c r="K146" s="283"/>
      <c r="L146" s="284">
        <f t="shared" si="19"/>
        <v>0</v>
      </c>
    </row>
    <row r="147" spans="1:12" s="235" customFormat="1" x14ac:dyDescent="0.25">
      <c r="A147" s="262"/>
      <c r="B147" s="262"/>
      <c r="C147" s="263"/>
      <c r="D147" s="281"/>
      <c r="E147" s="282"/>
      <c r="F147" s="283"/>
      <c r="G147" s="283"/>
      <c r="H147" s="284">
        <f t="shared" si="18"/>
        <v>0</v>
      </c>
      <c r="I147" s="282"/>
      <c r="J147" s="283"/>
      <c r="K147" s="283"/>
      <c r="L147" s="284">
        <f t="shared" si="19"/>
        <v>0</v>
      </c>
    </row>
    <row r="148" spans="1:12" x14ac:dyDescent="0.25">
      <c r="A148" s="262"/>
      <c r="B148" s="262"/>
      <c r="C148" s="263"/>
      <c r="D148" s="305"/>
      <c r="E148" s="264"/>
      <c r="F148" s="265"/>
      <c r="G148" s="265"/>
      <c r="H148" s="267">
        <f t="shared" si="18"/>
        <v>0</v>
      </c>
      <c r="I148" s="282"/>
      <c r="J148" s="283"/>
      <c r="K148" s="283"/>
      <c r="L148" s="267">
        <f t="shared" si="19"/>
        <v>0</v>
      </c>
    </row>
    <row r="149" spans="1:12" x14ac:dyDescent="0.25">
      <c r="A149" s="288"/>
      <c r="B149" s="288"/>
      <c r="C149" s="263"/>
      <c r="D149" s="305"/>
      <c r="E149" s="264"/>
      <c r="F149" s="318"/>
      <c r="G149" s="318"/>
      <c r="H149" s="267">
        <f t="shared" si="18"/>
        <v>0</v>
      </c>
      <c r="I149" s="264"/>
      <c r="J149" s="318"/>
      <c r="K149" s="318"/>
      <c r="L149" s="267">
        <f t="shared" si="19"/>
        <v>0</v>
      </c>
    </row>
    <row r="150" spans="1:12" x14ac:dyDescent="0.25">
      <c r="A150" s="285"/>
      <c r="B150" s="285"/>
      <c r="C150" s="286"/>
      <c r="D150" s="305"/>
      <c r="E150" s="264"/>
      <c r="F150" s="265"/>
      <c r="G150" s="265"/>
      <c r="H150" s="267">
        <f t="shared" si="18"/>
        <v>0</v>
      </c>
      <c r="I150" s="264"/>
      <c r="J150" s="265"/>
      <c r="K150" s="265"/>
      <c r="L150" s="267">
        <f t="shared" si="19"/>
        <v>0</v>
      </c>
    </row>
    <row r="151" spans="1:12" x14ac:dyDescent="0.25">
      <c r="A151" s="262"/>
      <c r="B151" s="262"/>
      <c r="C151" s="263"/>
      <c r="D151" s="306"/>
      <c r="E151" s="307"/>
      <c r="F151" s="321"/>
      <c r="G151" s="308"/>
      <c r="H151" s="267">
        <f t="shared" si="18"/>
        <v>0</v>
      </c>
      <c r="I151" s="307"/>
      <c r="J151" s="321"/>
      <c r="K151" s="308"/>
      <c r="L151" s="267">
        <f t="shared" si="19"/>
        <v>0</v>
      </c>
    </row>
    <row r="152" spans="1:12" ht="15.75" thickBot="1" x14ac:dyDescent="0.3">
      <c r="A152" s="288"/>
      <c r="B152" s="262"/>
      <c r="C152" s="263"/>
      <c r="D152" s="306"/>
      <c r="E152" s="307"/>
      <c r="F152" s="321"/>
      <c r="G152" s="308"/>
      <c r="H152" s="267">
        <f t="shared" si="18"/>
        <v>0</v>
      </c>
      <c r="I152" s="307"/>
      <c r="J152" s="321"/>
      <c r="K152" s="308"/>
      <c r="L152" s="267">
        <f t="shared" si="19"/>
        <v>0</v>
      </c>
    </row>
    <row r="153" spans="1:12" ht="15.75" thickBot="1" x14ac:dyDescent="0.3">
      <c r="A153" s="288"/>
      <c r="B153" s="288"/>
      <c r="C153" s="263"/>
      <c r="D153" s="294" t="s">
        <v>0</v>
      </c>
      <c r="E153" s="295"/>
      <c r="F153" s="296">
        <f>SUM(F138:F152)</f>
        <v>1380</v>
      </c>
      <c r="G153" s="297">
        <f>H153/F153</f>
        <v>41.884782608695652</v>
      </c>
      <c r="H153" s="298">
        <f>SUM(H138:H152)</f>
        <v>57801</v>
      </c>
      <c r="I153" s="295"/>
      <c r="J153" s="296">
        <f>SUM(J138:J152)</f>
        <v>0</v>
      </c>
      <c r="K153" s="297" t="e">
        <f>L153/J153</f>
        <v>#DIV/0!</v>
      </c>
      <c r="L153" s="298">
        <f>SUM(L138:L152)</f>
        <v>0</v>
      </c>
    </row>
    <row r="154" spans="1:12" ht="15.75" thickBot="1" x14ac:dyDescent="0.3">
      <c r="A154" s="299"/>
      <c r="B154" s="299"/>
      <c r="C154" s="299"/>
      <c r="D154" s="300"/>
      <c r="E154" s="301"/>
      <c r="F154" s="301"/>
      <c r="G154" s="302"/>
      <c r="H154" s="303"/>
      <c r="I154" s="301"/>
      <c r="J154" s="301"/>
      <c r="K154" s="302"/>
      <c r="L154" s="303"/>
    </row>
    <row r="155" spans="1:12" x14ac:dyDescent="0.25">
      <c r="A155" s="288"/>
      <c r="B155" s="288"/>
      <c r="C155" s="263"/>
      <c r="D155" s="276"/>
      <c r="E155" s="277"/>
      <c r="F155" s="278"/>
      <c r="G155" s="279"/>
      <c r="H155" s="280">
        <f>F155*G155</f>
        <v>0</v>
      </c>
      <c r="I155" s="277"/>
      <c r="J155" s="278"/>
      <c r="K155" s="279"/>
      <c r="L155" s="280">
        <f>J155*K155</f>
        <v>0</v>
      </c>
    </row>
    <row r="156" spans="1:12" x14ac:dyDescent="0.25">
      <c r="A156" s="262"/>
      <c r="B156" s="262"/>
      <c r="C156" s="286"/>
      <c r="D156" s="236">
        <f>D139+1</f>
        <v>45392</v>
      </c>
      <c r="E156" s="264"/>
      <c r="F156" s="265"/>
      <c r="G156" s="266"/>
      <c r="H156" s="267">
        <f>F156*G156</f>
        <v>0</v>
      </c>
      <c r="I156" s="264"/>
      <c r="J156" s="265"/>
      <c r="K156" s="266"/>
      <c r="L156" s="267">
        <f>J156*K156</f>
        <v>0</v>
      </c>
    </row>
    <row r="157" spans="1:12" x14ac:dyDescent="0.25">
      <c r="A157" s="262" t="s">
        <v>6</v>
      </c>
      <c r="B157" s="262" t="s">
        <v>309</v>
      </c>
      <c r="C157" s="286" t="s">
        <v>358</v>
      </c>
      <c r="D157" s="325"/>
      <c r="E157" s="307">
        <v>149454</v>
      </c>
      <c r="F157" s="379">
        <v>500</v>
      </c>
      <c r="G157" s="283">
        <v>42</v>
      </c>
      <c r="H157" s="267">
        <f t="shared" ref="H157:H162" si="20">F157*G157</f>
        <v>21000</v>
      </c>
      <c r="I157" s="307"/>
      <c r="J157" s="379"/>
      <c r="K157" s="283"/>
      <c r="L157" s="267">
        <f t="shared" ref="L157:L170" si="21">J157*K157</f>
        <v>0</v>
      </c>
    </row>
    <row r="158" spans="1:12" x14ac:dyDescent="0.25">
      <c r="A158" s="262" t="s">
        <v>6</v>
      </c>
      <c r="B158" s="262" t="s">
        <v>309</v>
      </c>
      <c r="C158" s="286" t="s">
        <v>358</v>
      </c>
      <c r="D158" s="325"/>
      <c r="E158" s="307">
        <v>149458</v>
      </c>
      <c r="F158" s="379">
        <v>500</v>
      </c>
      <c r="G158" s="283">
        <v>42</v>
      </c>
      <c r="H158" s="267">
        <f t="shared" si="20"/>
        <v>21000</v>
      </c>
      <c r="I158" s="307"/>
      <c r="J158" s="379"/>
      <c r="K158" s="283"/>
      <c r="L158" s="267">
        <f t="shared" si="21"/>
        <v>0</v>
      </c>
    </row>
    <row r="159" spans="1:12" x14ac:dyDescent="0.25">
      <c r="A159" s="262" t="s">
        <v>6</v>
      </c>
      <c r="B159" s="262" t="s">
        <v>309</v>
      </c>
      <c r="C159" s="286" t="s">
        <v>358</v>
      </c>
      <c r="D159" s="325"/>
      <c r="E159" s="307">
        <v>149470</v>
      </c>
      <c r="F159" s="379">
        <v>300</v>
      </c>
      <c r="G159" s="283">
        <v>42</v>
      </c>
      <c r="H159" s="267">
        <f t="shared" si="20"/>
        <v>12600</v>
      </c>
      <c r="I159" s="307"/>
      <c r="J159" s="379"/>
      <c r="K159" s="283"/>
      <c r="L159" s="267">
        <f t="shared" si="21"/>
        <v>0</v>
      </c>
    </row>
    <row r="160" spans="1:12" x14ac:dyDescent="0.25">
      <c r="A160" s="262"/>
      <c r="B160" s="262"/>
      <c r="C160" s="263"/>
      <c r="D160" s="325"/>
      <c r="E160" s="307"/>
      <c r="F160" s="379"/>
      <c r="G160" s="283"/>
      <c r="H160" s="267">
        <f t="shared" si="20"/>
        <v>0</v>
      </c>
      <c r="I160" s="282"/>
      <c r="J160" s="283"/>
      <c r="K160" s="283"/>
      <c r="L160" s="267">
        <f t="shared" si="21"/>
        <v>0</v>
      </c>
    </row>
    <row r="161" spans="1:12" x14ac:dyDescent="0.25">
      <c r="A161" s="262"/>
      <c r="B161" s="262"/>
      <c r="C161" s="275"/>
      <c r="D161" s="236"/>
      <c r="E161" s="264"/>
      <c r="F161" s="318"/>
      <c r="G161" s="318"/>
      <c r="H161" s="267">
        <f t="shared" si="20"/>
        <v>0</v>
      </c>
      <c r="I161" s="264"/>
      <c r="J161" s="318"/>
      <c r="K161" s="318"/>
      <c r="L161" s="267">
        <f t="shared" si="21"/>
        <v>0</v>
      </c>
    </row>
    <row r="162" spans="1:12" x14ac:dyDescent="0.25">
      <c r="A162" s="262"/>
      <c r="B162" s="262"/>
      <c r="C162" s="275"/>
      <c r="D162" s="236"/>
      <c r="E162" s="264"/>
      <c r="F162" s="318"/>
      <c r="G162" s="318"/>
      <c r="H162" s="267">
        <f t="shared" si="20"/>
        <v>0</v>
      </c>
      <c r="I162" s="264"/>
      <c r="J162" s="318"/>
      <c r="K162" s="318"/>
      <c r="L162" s="267">
        <f t="shared" si="21"/>
        <v>0</v>
      </c>
    </row>
    <row r="163" spans="1:12" x14ac:dyDescent="0.25">
      <c r="A163" s="262"/>
      <c r="B163" s="262"/>
      <c r="C163" s="275"/>
      <c r="D163" s="236"/>
      <c r="E163" s="264"/>
      <c r="F163" s="318"/>
      <c r="G163" s="318"/>
      <c r="H163" s="267">
        <f t="shared" ref="H163:H170" si="22">F163*G163</f>
        <v>0</v>
      </c>
      <c r="I163" s="264"/>
      <c r="J163" s="318"/>
      <c r="K163" s="318"/>
      <c r="L163" s="267">
        <f t="shared" si="21"/>
        <v>0</v>
      </c>
    </row>
    <row r="164" spans="1:12" x14ac:dyDescent="0.25">
      <c r="A164" s="262"/>
      <c r="B164" s="262"/>
      <c r="C164" s="275"/>
      <c r="D164" s="236"/>
      <c r="E164" s="264"/>
      <c r="F164" s="318"/>
      <c r="G164" s="318"/>
      <c r="H164" s="267">
        <f t="shared" si="22"/>
        <v>0</v>
      </c>
      <c r="I164" s="264"/>
      <c r="J164" s="318"/>
      <c r="K164" s="318"/>
      <c r="L164" s="267">
        <f t="shared" si="21"/>
        <v>0</v>
      </c>
    </row>
    <row r="165" spans="1:12" x14ac:dyDescent="0.25">
      <c r="A165" s="262"/>
      <c r="B165" s="262"/>
      <c r="C165" s="275"/>
      <c r="D165" s="236"/>
      <c r="E165" s="264"/>
      <c r="F165" s="318"/>
      <c r="G165" s="318"/>
      <c r="H165" s="267">
        <f t="shared" si="22"/>
        <v>0</v>
      </c>
      <c r="I165" s="264"/>
      <c r="J165" s="318"/>
      <c r="K165" s="318"/>
      <c r="L165" s="267">
        <f t="shared" si="21"/>
        <v>0</v>
      </c>
    </row>
    <row r="166" spans="1:12" x14ac:dyDescent="0.25">
      <c r="A166" s="262"/>
      <c r="B166" s="262"/>
      <c r="C166" s="275"/>
      <c r="D166" s="236"/>
      <c r="E166" s="264"/>
      <c r="F166" s="318"/>
      <c r="G166" s="318"/>
      <c r="H166" s="267">
        <f t="shared" si="22"/>
        <v>0</v>
      </c>
      <c r="I166" s="264"/>
      <c r="J166" s="318"/>
      <c r="K166" s="318"/>
      <c r="L166" s="267">
        <f t="shared" si="21"/>
        <v>0</v>
      </c>
    </row>
    <row r="167" spans="1:12" x14ac:dyDescent="0.25">
      <c r="A167" s="262"/>
      <c r="B167" s="262"/>
      <c r="C167" s="275"/>
      <c r="D167" s="236"/>
      <c r="E167" s="264"/>
      <c r="F167" s="318"/>
      <c r="G167" s="318"/>
      <c r="H167" s="267">
        <f t="shared" si="22"/>
        <v>0</v>
      </c>
      <c r="I167" s="264"/>
      <c r="J167" s="318"/>
      <c r="K167" s="318"/>
      <c r="L167" s="267">
        <f t="shared" si="21"/>
        <v>0</v>
      </c>
    </row>
    <row r="168" spans="1:12" x14ac:dyDescent="0.25">
      <c r="A168" s="262"/>
      <c r="B168" s="262"/>
      <c r="C168" s="275"/>
      <c r="D168" s="236"/>
      <c r="E168" s="264"/>
      <c r="F168" s="318"/>
      <c r="G168" s="318"/>
      <c r="H168" s="267">
        <f t="shared" si="22"/>
        <v>0</v>
      </c>
      <c r="I168" s="264"/>
      <c r="J168" s="318"/>
      <c r="K168" s="318"/>
      <c r="L168" s="267">
        <f t="shared" si="21"/>
        <v>0</v>
      </c>
    </row>
    <row r="169" spans="1:12" x14ac:dyDescent="0.25">
      <c r="A169" s="262"/>
      <c r="B169" s="262"/>
      <c r="C169" s="275"/>
      <c r="D169" s="236"/>
      <c r="E169" s="264"/>
      <c r="F169" s="318"/>
      <c r="G169" s="318"/>
      <c r="H169" s="267">
        <f t="shared" si="22"/>
        <v>0</v>
      </c>
      <c r="I169" s="264"/>
      <c r="J169" s="318"/>
      <c r="K169" s="318"/>
      <c r="L169" s="267">
        <f t="shared" si="21"/>
        <v>0</v>
      </c>
    </row>
    <row r="170" spans="1:12" ht="15.75" thickBot="1" x14ac:dyDescent="0.3">
      <c r="A170" s="288"/>
      <c r="B170" s="262"/>
      <c r="C170" s="263"/>
      <c r="D170" s="306"/>
      <c r="E170" s="307"/>
      <c r="F170" s="321"/>
      <c r="G170" s="308"/>
      <c r="H170" s="267">
        <f t="shared" si="22"/>
        <v>0</v>
      </c>
      <c r="I170" s="307"/>
      <c r="J170" s="321"/>
      <c r="K170" s="308"/>
      <c r="L170" s="267">
        <f t="shared" si="21"/>
        <v>0</v>
      </c>
    </row>
    <row r="171" spans="1:12" ht="15.75" thickBot="1" x14ac:dyDescent="0.3">
      <c r="A171" s="288"/>
      <c r="B171" s="288"/>
      <c r="C171" s="263"/>
      <c r="D171" s="294" t="s">
        <v>0</v>
      </c>
      <c r="E171" s="295"/>
      <c r="F171" s="296">
        <f>SUM(F155:F170)</f>
        <v>1300</v>
      </c>
      <c r="G171" s="297">
        <f>H171/F171</f>
        <v>42</v>
      </c>
      <c r="H171" s="298">
        <f>SUM(H155:H170)</f>
        <v>54600</v>
      </c>
      <c r="I171" s="295"/>
      <c r="J171" s="296">
        <f>SUM(J155:J170)</f>
        <v>0</v>
      </c>
      <c r="K171" s="297" t="e">
        <f>L171/J171</f>
        <v>#DIV/0!</v>
      </c>
      <c r="L171" s="298">
        <f>SUM(L155:L170)</f>
        <v>0</v>
      </c>
    </row>
    <row r="172" spans="1:12" ht="15.75" thickBot="1" x14ac:dyDescent="0.3">
      <c r="A172" s="299"/>
      <c r="B172" s="299"/>
      <c r="C172" s="299"/>
      <c r="D172" s="300"/>
      <c r="E172" s="301"/>
      <c r="F172" s="301"/>
      <c r="G172" s="302"/>
      <c r="H172" s="303"/>
      <c r="I172" s="301"/>
      <c r="J172" s="301"/>
      <c r="K172" s="302"/>
      <c r="L172" s="303"/>
    </row>
    <row r="173" spans="1:12" x14ac:dyDescent="0.25">
      <c r="A173" s="288"/>
      <c r="B173" s="288"/>
      <c r="C173" s="263"/>
      <c r="D173" s="276"/>
      <c r="E173" s="277"/>
      <c r="F173" s="278"/>
      <c r="G173" s="279"/>
      <c r="H173" s="280">
        <f t="shared" ref="H173:H181" si="23">F173*G173</f>
        <v>0</v>
      </c>
      <c r="I173" s="277"/>
      <c r="J173" s="278"/>
      <c r="K173" s="279"/>
      <c r="L173" s="280">
        <f t="shared" ref="L173:L181" si="24">J173*K173</f>
        <v>0</v>
      </c>
    </row>
    <row r="174" spans="1:12" x14ac:dyDescent="0.25">
      <c r="A174" s="262"/>
      <c r="B174" s="262"/>
      <c r="C174" s="304"/>
      <c r="D174" s="236">
        <f>D156+1</f>
        <v>45393</v>
      </c>
      <c r="E174" s="310"/>
      <c r="F174" s="265"/>
      <c r="G174" s="266"/>
      <c r="H174" s="267">
        <f t="shared" si="23"/>
        <v>0</v>
      </c>
      <c r="I174" s="310"/>
      <c r="J174" s="265"/>
      <c r="K174" s="266"/>
      <c r="L174" s="267">
        <f t="shared" si="24"/>
        <v>0</v>
      </c>
    </row>
    <row r="175" spans="1:12" s="235" customFormat="1" x14ac:dyDescent="0.25">
      <c r="A175" s="262" t="s">
        <v>6</v>
      </c>
      <c r="B175" s="262" t="s">
        <v>309</v>
      </c>
      <c r="C175" s="286" t="s">
        <v>358</v>
      </c>
      <c r="D175" s="281"/>
      <c r="E175" s="282">
        <v>149534</v>
      </c>
      <c r="F175" s="283">
        <v>500</v>
      </c>
      <c r="G175" s="283">
        <v>43</v>
      </c>
      <c r="H175" s="284">
        <f t="shared" si="23"/>
        <v>21500</v>
      </c>
      <c r="I175" s="282"/>
      <c r="J175" s="283"/>
      <c r="K175" s="283"/>
      <c r="L175" s="284">
        <f t="shared" si="24"/>
        <v>0</v>
      </c>
    </row>
    <row r="176" spans="1:12" s="235" customFormat="1" x14ac:dyDescent="0.25">
      <c r="A176" s="262" t="s">
        <v>6</v>
      </c>
      <c r="B176" s="262" t="s">
        <v>309</v>
      </c>
      <c r="C176" s="263" t="s">
        <v>358</v>
      </c>
      <c r="D176" s="281"/>
      <c r="E176" s="282">
        <v>149541</v>
      </c>
      <c r="F176" s="283">
        <v>500</v>
      </c>
      <c r="G176" s="283">
        <v>43</v>
      </c>
      <c r="H176" s="284">
        <f t="shared" si="23"/>
        <v>21500</v>
      </c>
      <c r="I176" s="282"/>
      <c r="J176" s="283"/>
      <c r="K176" s="283"/>
      <c r="L176" s="284">
        <f t="shared" si="24"/>
        <v>0</v>
      </c>
    </row>
    <row r="177" spans="1:12" s="235" customFormat="1" x14ac:dyDescent="0.25">
      <c r="A177" s="262" t="s">
        <v>6</v>
      </c>
      <c r="B177" s="262" t="s">
        <v>309</v>
      </c>
      <c r="C177" s="263" t="s">
        <v>353</v>
      </c>
      <c r="D177" s="281"/>
      <c r="E177" s="282">
        <v>149561</v>
      </c>
      <c r="F177" s="283">
        <v>350</v>
      </c>
      <c r="G177" s="283">
        <v>43</v>
      </c>
      <c r="H177" s="284">
        <f t="shared" si="23"/>
        <v>15050</v>
      </c>
      <c r="I177" s="282"/>
      <c r="J177" s="283"/>
      <c r="K177" s="283"/>
      <c r="L177" s="284">
        <f t="shared" si="24"/>
        <v>0</v>
      </c>
    </row>
    <row r="178" spans="1:12" s="235" customFormat="1" x14ac:dyDescent="0.25">
      <c r="A178" s="262"/>
      <c r="B178" s="262"/>
      <c r="C178" s="263"/>
      <c r="D178" s="281"/>
      <c r="E178" s="282"/>
      <c r="F178" s="283"/>
      <c r="G178" s="283"/>
      <c r="H178" s="284">
        <f t="shared" si="23"/>
        <v>0</v>
      </c>
      <c r="I178" s="282"/>
      <c r="J178" s="283"/>
      <c r="K178" s="283"/>
      <c r="L178" s="284">
        <f t="shared" si="24"/>
        <v>0</v>
      </c>
    </row>
    <row r="179" spans="1:12" s="235" customFormat="1" x14ac:dyDescent="0.25">
      <c r="A179" s="262"/>
      <c r="B179" s="262"/>
      <c r="C179" s="263"/>
      <c r="D179" s="281"/>
      <c r="E179" s="282"/>
      <c r="F179" s="283"/>
      <c r="G179" s="283"/>
      <c r="H179" s="284">
        <f t="shared" si="23"/>
        <v>0</v>
      </c>
      <c r="I179" s="282"/>
      <c r="J179" s="283"/>
      <c r="K179" s="283"/>
      <c r="L179" s="284">
        <f t="shared" si="24"/>
        <v>0</v>
      </c>
    </row>
    <row r="180" spans="1:12" s="235" customFormat="1" x14ac:dyDescent="0.25">
      <c r="A180" s="262"/>
      <c r="B180" s="262"/>
      <c r="C180" s="263"/>
      <c r="D180" s="281"/>
      <c r="E180" s="282"/>
      <c r="F180" s="283"/>
      <c r="G180" s="283"/>
      <c r="H180" s="284">
        <f t="shared" si="23"/>
        <v>0</v>
      </c>
      <c r="I180" s="282"/>
      <c r="J180" s="283"/>
      <c r="K180" s="283"/>
      <c r="L180" s="284">
        <f t="shared" si="24"/>
        <v>0</v>
      </c>
    </row>
    <row r="181" spans="1:12" s="235" customFormat="1" x14ac:dyDescent="0.25">
      <c r="A181" s="262"/>
      <c r="B181" s="262"/>
      <c r="C181" s="263"/>
      <c r="D181" s="281"/>
      <c r="E181" s="282"/>
      <c r="F181" s="283"/>
      <c r="G181" s="283"/>
      <c r="H181" s="284">
        <f t="shared" si="23"/>
        <v>0</v>
      </c>
      <c r="I181" s="282"/>
      <c r="J181" s="283"/>
      <c r="K181" s="283"/>
      <c r="L181" s="284">
        <f t="shared" si="24"/>
        <v>0</v>
      </c>
    </row>
    <row r="182" spans="1:12" s="235" customFormat="1" ht="15.75" thickBot="1" x14ac:dyDescent="0.3">
      <c r="A182" s="262"/>
      <c r="B182" s="262"/>
      <c r="C182" s="263"/>
      <c r="D182" s="281"/>
      <c r="E182" s="282"/>
      <c r="F182" s="283"/>
      <c r="G182" s="283"/>
      <c r="H182" s="284">
        <f>F182*G182</f>
        <v>0</v>
      </c>
      <c r="I182" s="282"/>
      <c r="J182" s="283"/>
      <c r="K182" s="283"/>
      <c r="L182" s="284">
        <f>J182*K182</f>
        <v>0</v>
      </c>
    </row>
    <row r="183" spans="1:12" ht="15.75" thickBot="1" x14ac:dyDescent="0.3">
      <c r="A183" s="288"/>
      <c r="B183" s="288"/>
      <c r="C183" s="263"/>
      <c r="D183" s="294" t="s">
        <v>0</v>
      </c>
      <c r="E183" s="295"/>
      <c r="F183" s="296">
        <f>SUM(F173:F182)</f>
        <v>1350</v>
      </c>
      <c r="G183" s="297">
        <f>H183/F183</f>
        <v>43</v>
      </c>
      <c r="H183" s="298">
        <f>SUM(H173:H182)</f>
        <v>58050</v>
      </c>
      <c r="I183" s="295"/>
      <c r="J183" s="296">
        <f>SUM(J173:J182)</f>
        <v>0</v>
      </c>
      <c r="K183" s="297" t="e">
        <f>L183/J183</f>
        <v>#DIV/0!</v>
      </c>
      <c r="L183" s="298">
        <f>SUM(L173:L182)</f>
        <v>0</v>
      </c>
    </row>
    <row r="184" spans="1:12" ht="15.75" thickBot="1" x14ac:dyDescent="0.3">
      <c r="A184" s="299"/>
      <c r="B184" s="299"/>
      <c r="C184" s="299"/>
      <c r="D184" s="300"/>
      <c r="E184" s="301"/>
      <c r="F184" s="301"/>
      <c r="G184" s="302"/>
      <c r="H184" s="303"/>
      <c r="I184" s="301"/>
      <c r="J184" s="301"/>
      <c r="K184" s="302"/>
      <c r="L184" s="303"/>
    </row>
    <row r="185" spans="1:12" x14ac:dyDescent="0.25">
      <c r="A185" s="288"/>
      <c r="B185" s="288"/>
      <c r="C185" s="263"/>
      <c r="D185" s="276"/>
      <c r="E185" s="277"/>
      <c r="F185" s="278"/>
      <c r="G185" s="279"/>
      <c r="H185" s="280">
        <f t="shared" ref="H185:H198" si="25">F185*G185</f>
        <v>0</v>
      </c>
      <c r="I185" s="277"/>
      <c r="J185" s="278"/>
      <c r="K185" s="279"/>
      <c r="L185" s="280">
        <f t="shared" ref="L185:L198" si="26">J185*K185</f>
        <v>0</v>
      </c>
    </row>
    <row r="186" spans="1:12" x14ac:dyDescent="0.25">
      <c r="A186" s="262"/>
      <c r="B186" s="262"/>
      <c r="C186" s="304"/>
      <c r="D186" s="236">
        <f>D174+1</f>
        <v>45394</v>
      </c>
      <c r="E186" s="264"/>
      <c r="F186" s="265"/>
      <c r="G186" s="266"/>
      <c r="H186" s="267">
        <f t="shared" si="25"/>
        <v>0</v>
      </c>
      <c r="I186" s="264"/>
      <c r="J186" s="265"/>
      <c r="K186" s="266"/>
      <c r="L186" s="267">
        <f t="shared" si="26"/>
        <v>0</v>
      </c>
    </row>
    <row r="187" spans="1:12" x14ac:dyDescent="0.25">
      <c r="A187" s="262" t="s">
        <v>6</v>
      </c>
      <c r="B187" s="262" t="s">
        <v>309</v>
      </c>
      <c r="C187" s="275" t="s">
        <v>358</v>
      </c>
      <c r="D187" s="325"/>
      <c r="E187" s="307">
        <v>149610</v>
      </c>
      <c r="F187" s="379">
        <v>500</v>
      </c>
      <c r="G187" s="283">
        <v>44.8</v>
      </c>
      <c r="H187" s="267">
        <f t="shared" si="25"/>
        <v>22400</v>
      </c>
      <c r="I187" s="307"/>
      <c r="J187" s="379"/>
      <c r="K187" s="283"/>
      <c r="L187" s="267">
        <f t="shared" si="26"/>
        <v>0</v>
      </c>
    </row>
    <row r="188" spans="1:12" x14ac:dyDescent="0.25">
      <c r="A188" s="262" t="s">
        <v>6</v>
      </c>
      <c r="B188" s="262" t="s">
        <v>309</v>
      </c>
      <c r="C188" s="304" t="s">
        <v>353</v>
      </c>
      <c r="D188" s="325"/>
      <c r="E188" s="307">
        <v>149617</v>
      </c>
      <c r="F188" s="379">
        <v>500</v>
      </c>
      <c r="G188" s="283">
        <v>44.8</v>
      </c>
      <c r="H188" s="267">
        <f t="shared" si="25"/>
        <v>22400</v>
      </c>
      <c r="I188" s="307"/>
      <c r="J188" s="379"/>
      <c r="K188" s="283"/>
      <c r="L188" s="267">
        <f t="shared" si="26"/>
        <v>0</v>
      </c>
    </row>
    <row r="189" spans="1:12" ht="14.45" customHeight="1" x14ac:dyDescent="0.25">
      <c r="A189" s="262" t="s">
        <v>6</v>
      </c>
      <c r="B189" s="262" t="s">
        <v>309</v>
      </c>
      <c r="C189" s="304" t="s">
        <v>358</v>
      </c>
      <c r="D189" s="325"/>
      <c r="E189" s="307">
        <v>149622</v>
      </c>
      <c r="F189" s="379">
        <v>180</v>
      </c>
      <c r="G189" s="283">
        <v>44.5</v>
      </c>
      <c r="H189" s="267">
        <f t="shared" si="25"/>
        <v>8010</v>
      </c>
      <c r="I189" s="307"/>
      <c r="J189" s="379"/>
      <c r="K189" s="283"/>
      <c r="L189" s="267">
        <f t="shared" si="26"/>
        <v>0</v>
      </c>
    </row>
    <row r="190" spans="1:12" s="664" customFormat="1" x14ac:dyDescent="0.25">
      <c r="A190" s="658" t="s">
        <v>6</v>
      </c>
      <c r="B190" s="658" t="s">
        <v>361</v>
      </c>
      <c r="C190" s="659" t="s">
        <v>362</v>
      </c>
      <c r="D190" s="660"/>
      <c r="E190" s="661"/>
      <c r="F190" s="662"/>
      <c r="G190" s="662"/>
      <c r="H190" s="663">
        <f t="shared" si="25"/>
        <v>0</v>
      </c>
      <c r="I190" s="661">
        <v>149729</v>
      </c>
      <c r="J190" s="662">
        <v>50</v>
      </c>
      <c r="K190" s="662">
        <v>45.5</v>
      </c>
      <c r="L190" s="663">
        <f t="shared" si="26"/>
        <v>2275</v>
      </c>
    </row>
    <row r="191" spans="1:12" s="664" customFormat="1" x14ac:dyDescent="0.25">
      <c r="A191" s="658" t="s">
        <v>6</v>
      </c>
      <c r="B191" s="658" t="s">
        <v>361</v>
      </c>
      <c r="C191" s="659" t="s">
        <v>363</v>
      </c>
      <c r="D191" s="660"/>
      <c r="E191" s="661"/>
      <c r="F191" s="662"/>
      <c r="G191" s="662"/>
      <c r="H191" s="663">
        <f t="shared" si="25"/>
        <v>0</v>
      </c>
      <c r="I191" s="661">
        <v>514092</v>
      </c>
      <c r="J191" s="662">
        <v>35</v>
      </c>
      <c r="K191" s="662">
        <v>50.94</v>
      </c>
      <c r="L191" s="663">
        <f t="shared" si="26"/>
        <v>1782.8999999999999</v>
      </c>
    </row>
    <row r="192" spans="1:12" s="664" customFormat="1" x14ac:dyDescent="0.25">
      <c r="A192" s="658" t="s">
        <v>6</v>
      </c>
      <c r="B192" s="658" t="s">
        <v>361</v>
      </c>
      <c r="C192" s="659" t="s">
        <v>363</v>
      </c>
      <c r="D192" s="660"/>
      <c r="E192" s="661"/>
      <c r="F192" s="662"/>
      <c r="G192" s="662"/>
      <c r="H192" s="663">
        <f t="shared" si="25"/>
        <v>0</v>
      </c>
      <c r="I192" s="661">
        <v>514095</v>
      </c>
      <c r="J192" s="662">
        <v>15</v>
      </c>
      <c r="K192" s="662">
        <v>50.94</v>
      </c>
      <c r="L192" s="663">
        <f t="shared" si="26"/>
        <v>764.09999999999991</v>
      </c>
    </row>
    <row r="193" spans="1:13" s="25" customFormat="1" x14ac:dyDescent="0.25">
      <c r="A193" s="658" t="s">
        <v>6</v>
      </c>
      <c r="B193" s="658" t="s">
        <v>361</v>
      </c>
      <c r="C193" s="665" t="s">
        <v>364</v>
      </c>
      <c r="D193" s="666"/>
      <c r="E193" s="667"/>
      <c r="F193" s="668"/>
      <c r="G193" s="668"/>
      <c r="H193" s="669">
        <f t="shared" si="25"/>
        <v>0</v>
      </c>
      <c r="I193" s="667">
        <v>514104</v>
      </c>
      <c r="J193" s="668">
        <v>50</v>
      </c>
      <c r="K193" s="668">
        <v>50.35</v>
      </c>
      <c r="L193" s="669">
        <f t="shared" si="26"/>
        <v>2517.5</v>
      </c>
    </row>
    <row r="194" spans="1:13" x14ac:dyDescent="0.25">
      <c r="A194" s="262"/>
      <c r="B194" s="262"/>
      <c r="C194" s="275"/>
      <c r="D194" s="236"/>
      <c r="E194" s="264"/>
      <c r="F194" s="318"/>
      <c r="G194" s="318"/>
      <c r="H194" s="267">
        <f t="shared" si="25"/>
        <v>0</v>
      </c>
      <c r="I194" s="264"/>
      <c r="J194" s="318"/>
      <c r="K194" s="318"/>
      <c r="L194" s="267">
        <f t="shared" si="26"/>
        <v>0</v>
      </c>
    </row>
    <row r="195" spans="1:13" x14ac:dyDescent="0.25">
      <c r="A195" s="262"/>
      <c r="B195" s="262"/>
      <c r="C195" s="275"/>
      <c r="D195" s="236"/>
      <c r="E195" s="264"/>
      <c r="F195" s="318"/>
      <c r="G195" s="318"/>
      <c r="H195" s="267">
        <f t="shared" si="25"/>
        <v>0</v>
      </c>
      <c r="I195" s="264"/>
      <c r="J195" s="318"/>
      <c r="K195" s="318"/>
      <c r="L195" s="267">
        <f t="shared" si="26"/>
        <v>0</v>
      </c>
    </row>
    <row r="196" spans="1:13" s="235" customFormat="1" x14ac:dyDescent="0.25">
      <c r="A196" s="262"/>
      <c r="B196" s="262"/>
      <c r="C196" s="286"/>
      <c r="D196" s="281"/>
      <c r="E196" s="282"/>
      <c r="F196" s="287"/>
      <c r="G196" s="283"/>
      <c r="H196" s="267">
        <f t="shared" si="25"/>
        <v>0</v>
      </c>
      <c r="I196" s="282"/>
      <c r="J196" s="287"/>
      <c r="K196" s="283"/>
      <c r="L196" s="267">
        <f t="shared" si="26"/>
        <v>0</v>
      </c>
    </row>
    <row r="197" spans="1:13" s="235" customFormat="1" x14ac:dyDescent="0.25">
      <c r="A197" s="285"/>
      <c r="B197" s="262"/>
      <c r="C197" s="286"/>
      <c r="D197" s="281"/>
      <c r="E197" s="282"/>
      <c r="F197" s="287"/>
      <c r="G197" s="283"/>
      <c r="H197" s="267">
        <f t="shared" si="25"/>
        <v>0</v>
      </c>
      <c r="I197" s="282"/>
      <c r="J197" s="287"/>
      <c r="K197" s="283"/>
      <c r="L197" s="267">
        <f t="shared" si="26"/>
        <v>0</v>
      </c>
    </row>
    <row r="198" spans="1:13" s="235" customFormat="1" ht="15.75" thickBot="1" x14ac:dyDescent="0.3">
      <c r="A198" s="285"/>
      <c r="B198" s="262"/>
      <c r="C198" s="286"/>
      <c r="D198" s="281"/>
      <c r="E198" s="282"/>
      <c r="F198" s="287"/>
      <c r="G198" s="283"/>
      <c r="H198" s="267">
        <f t="shared" si="25"/>
        <v>0</v>
      </c>
      <c r="I198" s="282"/>
      <c r="J198" s="287"/>
      <c r="K198" s="283"/>
      <c r="L198" s="267">
        <f t="shared" si="26"/>
        <v>0</v>
      </c>
    </row>
    <row r="199" spans="1:13" ht="15.75" thickBot="1" x14ac:dyDescent="0.3">
      <c r="A199" s="288"/>
      <c r="B199" s="288"/>
      <c r="C199" s="263"/>
      <c r="D199" s="294" t="s">
        <v>0</v>
      </c>
      <c r="E199" s="295"/>
      <c r="F199" s="296">
        <f>SUM(F185:F198)</f>
        <v>1180</v>
      </c>
      <c r="G199" s="297">
        <f>H199/F199</f>
        <v>44.754237288135592</v>
      </c>
      <c r="H199" s="298">
        <f>SUM(H185:H198)</f>
        <v>52810</v>
      </c>
      <c r="I199" s="295"/>
      <c r="J199" s="296">
        <f>SUM(J185:J198)</f>
        <v>150</v>
      </c>
      <c r="K199" s="297">
        <f>L199/J199</f>
        <v>48.93</v>
      </c>
      <c r="L199" s="298">
        <f>SUM(L185:L198)</f>
        <v>7339.5</v>
      </c>
    </row>
    <row r="200" spans="1:13" ht="15.75" thickBot="1" x14ac:dyDescent="0.3">
      <c r="A200" s="299"/>
      <c r="B200" s="299"/>
      <c r="C200" s="299"/>
      <c r="D200" s="300"/>
      <c r="E200" s="301"/>
      <c r="F200" s="301"/>
      <c r="G200" s="302"/>
      <c r="H200" s="303"/>
      <c r="I200" s="301"/>
      <c r="J200" s="301"/>
      <c r="K200" s="302"/>
      <c r="L200" s="303"/>
    </row>
    <row r="201" spans="1:13" x14ac:dyDescent="0.25">
      <c r="A201" s="288"/>
      <c r="B201" s="288"/>
      <c r="C201" s="263"/>
      <c r="D201" s="276"/>
      <c r="E201" s="277"/>
      <c r="F201" s="278"/>
      <c r="G201" s="279"/>
      <c r="H201" s="280">
        <f t="shared" ref="H201:H211" si="27">F201*G201</f>
        <v>0</v>
      </c>
      <c r="I201" s="277"/>
      <c r="J201" s="278"/>
      <c r="K201" s="279"/>
      <c r="L201" s="280">
        <f t="shared" ref="L201:L211" si="28">J201*K201</f>
        <v>0</v>
      </c>
    </row>
    <row r="202" spans="1:13" x14ac:dyDescent="0.25">
      <c r="A202" s="262"/>
      <c r="B202" s="262"/>
      <c r="C202" s="304"/>
      <c r="D202" s="236">
        <f>D186+1</f>
        <v>45395</v>
      </c>
      <c r="E202" s="264"/>
      <c r="F202" s="265"/>
      <c r="G202" s="266"/>
      <c r="H202" s="267">
        <f t="shared" si="27"/>
        <v>0</v>
      </c>
      <c r="I202" s="264"/>
      <c r="J202" s="265"/>
      <c r="K202" s="266"/>
      <c r="L202" s="267">
        <f t="shared" si="28"/>
        <v>0</v>
      </c>
    </row>
    <row r="203" spans="1:13" s="235" customFormat="1" x14ac:dyDescent="0.25">
      <c r="A203" s="262" t="s">
        <v>6</v>
      </c>
      <c r="B203" s="262" t="s">
        <v>309</v>
      </c>
      <c r="C203" s="263" t="s">
        <v>358</v>
      </c>
      <c r="D203" s="281"/>
      <c r="E203" s="282">
        <v>149725</v>
      </c>
      <c r="F203" s="283">
        <v>200</v>
      </c>
      <c r="G203" s="283">
        <v>43.5</v>
      </c>
      <c r="H203" s="284">
        <f t="shared" si="27"/>
        <v>8700</v>
      </c>
      <c r="I203" s="282"/>
      <c r="J203" s="283"/>
      <c r="K203" s="283"/>
      <c r="L203" s="284">
        <f t="shared" si="28"/>
        <v>0</v>
      </c>
    </row>
    <row r="204" spans="1:13" s="235" customFormat="1" ht="23.25" customHeight="1" x14ac:dyDescent="0.25">
      <c r="A204" s="262" t="s">
        <v>6</v>
      </c>
      <c r="B204" s="262" t="s">
        <v>309</v>
      </c>
      <c r="C204" s="263" t="s">
        <v>357</v>
      </c>
      <c r="D204" s="281"/>
      <c r="E204" s="282">
        <v>149761</v>
      </c>
      <c r="F204" s="283">
        <v>30</v>
      </c>
      <c r="G204" s="283">
        <v>43</v>
      </c>
      <c r="H204" s="284">
        <f t="shared" si="27"/>
        <v>1290</v>
      </c>
      <c r="I204" s="282"/>
      <c r="J204" s="283"/>
      <c r="K204" s="283"/>
      <c r="L204" s="284">
        <f t="shared" si="28"/>
        <v>0</v>
      </c>
    </row>
    <row r="205" spans="1:13" s="235" customFormat="1" x14ac:dyDescent="0.25">
      <c r="A205" s="262"/>
      <c r="B205" s="262"/>
      <c r="C205" s="263"/>
      <c r="D205" s="281"/>
      <c r="E205" s="282"/>
      <c r="F205" s="283"/>
      <c r="G205" s="283"/>
      <c r="H205" s="284">
        <f t="shared" si="27"/>
        <v>0</v>
      </c>
      <c r="I205" s="282"/>
      <c r="J205" s="283"/>
      <c r="K205" s="283"/>
      <c r="L205" s="284">
        <f t="shared" si="28"/>
        <v>0</v>
      </c>
      <c r="M205" s="235">
        <f>K205/1.95583</f>
        <v>0</v>
      </c>
    </row>
    <row r="206" spans="1:13" s="235" customFormat="1" x14ac:dyDescent="0.25">
      <c r="A206" s="262"/>
      <c r="B206" s="262"/>
      <c r="C206" s="263"/>
      <c r="D206" s="281"/>
      <c r="E206" s="282"/>
      <c r="F206" s="283"/>
      <c r="G206" s="283"/>
      <c r="H206" s="284">
        <f t="shared" si="27"/>
        <v>0</v>
      </c>
      <c r="I206" s="282"/>
      <c r="J206" s="283"/>
      <c r="K206" s="283"/>
      <c r="L206" s="284">
        <f t="shared" si="28"/>
        <v>0</v>
      </c>
    </row>
    <row r="207" spans="1:13" s="235" customFormat="1" x14ac:dyDescent="0.25">
      <c r="A207" s="262"/>
      <c r="B207" s="262"/>
      <c r="C207" s="263"/>
      <c r="D207" s="281"/>
      <c r="E207" s="282"/>
      <c r="F207" s="283"/>
      <c r="G207" s="283"/>
      <c r="H207" s="284">
        <f t="shared" si="27"/>
        <v>0</v>
      </c>
      <c r="I207" s="282"/>
      <c r="J207" s="283"/>
      <c r="K207" s="283"/>
      <c r="L207" s="284">
        <f t="shared" si="28"/>
        <v>0</v>
      </c>
    </row>
    <row r="208" spans="1:13" s="235" customFormat="1" x14ac:dyDescent="0.25">
      <c r="A208" s="262"/>
      <c r="B208" s="262"/>
      <c r="C208" s="263"/>
      <c r="D208" s="281"/>
      <c r="E208" s="282"/>
      <c r="F208" s="283"/>
      <c r="G208" s="283"/>
      <c r="H208" s="284">
        <f t="shared" si="27"/>
        <v>0</v>
      </c>
      <c r="I208" s="282"/>
      <c r="J208" s="283"/>
      <c r="K208" s="283"/>
      <c r="L208" s="284">
        <f t="shared" si="28"/>
        <v>0</v>
      </c>
    </row>
    <row r="209" spans="1:12" s="235" customFormat="1" x14ac:dyDescent="0.25">
      <c r="A209" s="262"/>
      <c r="B209" s="262"/>
      <c r="C209" s="286"/>
      <c r="D209" s="281"/>
      <c r="E209" s="282"/>
      <c r="F209" s="287"/>
      <c r="G209" s="283"/>
      <c r="H209" s="267">
        <f t="shared" si="27"/>
        <v>0</v>
      </c>
      <c r="I209" s="282"/>
      <c r="J209" s="287"/>
      <c r="K209" s="283"/>
      <c r="L209" s="267">
        <f t="shared" si="28"/>
        <v>0</v>
      </c>
    </row>
    <row r="210" spans="1:12" x14ac:dyDescent="0.25">
      <c r="A210" s="262"/>
      <c r="B210" s="262"/>
      <c r="C210" s="304"/>
      <c r="D210" s="236"/>
      <c r="E210" s="264"/>
      <c r="F210" s="265"/>
      <c r="G210" s="266"/>
      <c r="H210" s="267">
        <f t="shared" si="27"/>
        <v>0</v>
      </c>
      <c r="I210" s="264"/>
      <c r="J210" s="265"/>
      <c r="K210" s="266"/>
      <c r="L210" s="267">
        <f t="shared" si="28"/>
        <v>0</v>
      </c>
    </row>
    <row r="211" spans="1:12" ht="15.75" thickBot="1" x14ac:dyDescent="0.3">
      <c r="A211" s="285"/>
      <c r="B211" s="285"/>
      <c r="C211" s="286"/>
      <c r="D211" s="306"/>
      <c r="E211" s="307"/>
      <c r="F211" s="265"/>
      <c r="G211" s="265"/>
      <c r="H211" s="267">
        <f t="shared" si="27"/>
        <v>0</v>
      </c>
      <c r="I211" s="307"/>
      <c r="J211" s="265"/>
      <c r="K211" s="265"/>
      <c r="L211" s="267">
        <f t="shared" si="28"/>
        <v>0</v>
      </c>
    </row>
    <row r="212" spans="1:12" ht="15.75" thickBot="1" x14ac:dyDescent="0.3">
      <c r="A212" s="288"/>
      <c r="B212" s="288"/>
      <c r="C212" s="263"/>
      <c r="D212" s="294" t="s">
        <v>0</v>
      </c>
      <c r="E212" s="295"/>
      <c r="F212" s="296">
        <f>SUM(F201:F211)</f>
        <v>230</v>
      </c>
      <c r="G212" s="297">
        <f>H212/F212</f>
        <v>43.434782608695649</v>
      </c>
      <c r="H212" s="298">
        <f>SUM(H201:H211)</f>
        <v>9990</v>
      </c>
      <c r="I212" s="295"/>
      <c r="J212" s="296">
        <f>SUM(J201:J211)</f>
        <v>0</v>
      </c>
      <c r="K212" s="297" t="e">
        <f>L212/J212</f>
        <v>#DIV/0!</v>
      </c>
      <c r="L212" s="298">
        <f>SUM(L201:L211)</f>
        <v>0</v>
      </c>
    </row>
    <row r="213" spans="1:12" ht="15.75" thickBot="1" x14ac:dyDescent="0.3">
      <c r="A213" s="299"/>
      <c r="B213" s="299"/>
      <c r="C213" s="299"/>
      <c r="D213" s="300"/>
      <c r="E213" s="301"/>
      <c r="F213" s="301"/>
      <c r="G213" s="302"/>
      <c r="H213" s="303"/>
      <c r="I213" s="301"/>
      <c r="J213" s="301"/>
      <c r="K213" s="302"/>
      <c r="L213" s="303"/>
    </row>
    <row r="214" spans="1:12" x14ac:dyDescent="0.25">
      <c r="A214" s="288"/>
      <c r="B214" s="288"/>
      <c r="C214" s="263"/>
      <c r="D214" s="276"/>
      <c r="E214" s="277"/>
      <c r="F214" s="278"/>
      <c r="G214" s="279"/>
      <c r="H214" s="280">
        <f t="shared" ref="H214:H229" si="29">F214*G214</f>
        <v>0</v>
      </c>
      <c r="I214" s="277"/>
      <c r="J214" s="278"/>
      <c r="K214" s="279"/>
      <c r="L214" s="280">
        <f t="shared" ref="L214:L229" si="30">J214*K214</f>
        <v>0</v>
      </c>
    </row>
    <row r="215" spans="1:12" x14ac:dyDescent="0.25">
      <c r="A215" s="262"/>
      <c r="B215" s="262"/>
      <c r="C215" s="275"/>
      <c r="D215" s="236">
        <f>D202+1</f>
        <v>45396</v>
      </c>
      <c r="E215" s="264"/>
      <c r="F215" s="318"/>
      <c r="G215" s="320"/>
      <c r="H215" s="267">
        <f t="shared" si="29"/>
        <v>0</v>
      </c>
      <c r="I215" s="264"/>
      <c r="J215" s="318"/>
      <c r="K215" s="320"/>
      <c r="L215" s="267">
        <f t="shared" si="30"/>
        <v>0</v>
      </c>
    </row>
    <row r="216" spans="1:12" s="235" customFormat="1" x14ac:dyDescent="0.25">
      <c r="A216" s="262" t="s">
        <v>6</v>
      </c>
      <c r="B216" s="262" t="s">
        <v>309</v>
      </c>
      <c r="C216" s="263" t="s">
        <v>311</v>
      </c>
      <c r="D216" s="281"/>
      <c r="E216" s="282" t="s">
        <v>366</v>
      </c>
      <c r="F216" s="283">
        <v>200</v>
      </c>
      <c r="G216" s="283">
        <v>43.5</v>
      </c>
      <c r="H216" s="284">
        <f t="shared" si="29"/>
        <v>8700</v>
      </c>
      <c r="I216" s="282"/>
      <c r="J216" s="283"/>
      <c r="K216" s="283"/>
      <c r="L216" s="284">
        <f t="shared" si="30"/>
        <v>0</v>
      </c>
    </row>
    <row r="217" spans="1:12" s="235" customFormat="1" x14ac:dyDescent="0.25">
      <c r="A217" s="262" t="s">
        <v>6</v>
      </c>
      <c r="B217" s="262" t="s">
        <v>309</v>
      </c>
      <c r="C217" s="263" t="s">
        <v>365</v>
      </c>
      <c r="D217" s="281"/>
      <c r="E217" s="282" t="s">
        <v>367</v>
      </c>
      <c r="F217" s="283">
        <v>10</v>
      </c>
      <c r="G217" s="283">
        <v>42.5</v>
      </c>
      <c r="H217" s="284">
        <f t="shared" si="29"/>
        <v>425</v>
      </c>
      <c r="I217" s="282"/>
      <c r="J217" s="283"/>
      <c r="K217" s="283"/>
      <c r="L217" s="284">
        <f t="shared" si="30"/>
        <v>0</v>
      </c>
    </row>
    <row r="218" spans="1:12" s="235" customFormat="1" x14ac:dyDescent="0.25">
      <c r="A218" s="262"/>
      <c r="B218" s="262"/>
      <c r="C218" s="263"/>
      <c r="D218" s="281"/>
      <c r="E218" s="282"/>
      <c r="F218" s="283"/>
      <c r="G218" s="283"/>
      <c r="H218" s="284">
        <f t="shared" si="29"/>
        <v>0</v>
      </c>
      <c r="I218" s="282"/>
      <c r="J218" s="283"/>
      <c r="K218" s="283"/>
      <c r="L218" s="284">
        <f t="shared" si="30"/>
        <v>0</v>
      </c>
    </row>
    <row r="219" spans="1:12" s="235" customFormat="1" x14ac:dyDescent="0.25">
      <c r="A219" s="262"/>
      <c r="B219" s="262"/>
      <c r="C219" s="263"/>
      <c r="D219" s="281"/>
      <c r="E219" s="282"/>
      <c r="F219" s="283"/>
      <c r="G219" s="283"/>
      <c r="H219" s="284">
        <f t="shared" si="29"/>
        <v>0</v>
      </c>
      <c r="I219" s="282"/>
      <c r="J219" s="283"/>
      <c r="K219" s="283"/>
      <c r="L219" s="284">
        <f t="shared" si="30"/>
        <v>0</v>
      </c>
    </row>
    <row r="220" spans="1:12" s="235" customFormat="1" x14ac:dyDescent="0.25">
      <c r="A220" s="262"/>
      <c r="B220" s="262"/>
      <c r="C220" s="263"/>
      <c r="D220" s="281"/>
      <c r="E220" s="282"/>
      <c r="F220" s="283"/>
      <c r="G220" s="283"/>
      <c r="H220" s="284">
        <f t="shared" si="29"/>
        <v>0</v>
      </c>
      <c r="I220" s="282"/>
      <c r="J220" s="283"/>
      <c r="K220" s="283"/>
      <c r="L220" s="284">
        <f t="shared" si="30"/>
        <v>0</v>
      </c>
    </row>
    <row r="221" spans="1:12" s="235" customFormat="1" x14ac:dyDescent="0.25">
      <c r="A221" s="262"/>
      <c r="B221" s="262"/>
      <c r="C221" s="263"/>
      <c r="D221" s="281"/>
      <c r="E221" s="282"/>
      <c r="F221" s="283"/>
      <c r="G221" s="283"/>
      <c r="H221" s="284">
        <f t="shared" si="29"/>
        <v>0</v>
      </c>
      <c r="I221" s="282"/>
      <c r="J221" s="283"/>
      <c r="K221" s="283"/>
      <c r="L221" s="284">
        <f t="shared" si="30"/>
        <v>0</v>
      </c>
    </row>
    <row r="222" spans="1:12" s="235" customFormat="1" x14ac:dyDescent="0.25">
      <c r="A222" s="262"/>
      <c r="B222" s="262"/>
      <c r="C222" s="263"/>
      <c r="D222" s="281"/>
      <c r="E222" s="282"/>
      <c r="F222" s="283"/>
      <c r="G222" s="283"/>
      <c r="H222" s="284">
        <f t="shared" si="29"/>
        <v>0</v>
      </c>
      <c r="I222" s="282"/>
      <c r="J222" s="283"/>
      <c r="K222" s="283"/>
      <c r="L222" s="284">
        <f t="shared" si="30"/>
        <v>0</v>
      </c>
    </row>
    <row r="223" spans="1:12" s="235" customFormat="1" x14ac:dyDescent="0.25">
      <c r="A223" s="262"/>
      <c r="B223" s="262"/>
      <c r="C223" s="263"/>
      <c r="D223" s="281"/>
      <c r="E223" s="282"/>
      <c r="F223" s="283"/>
      <c r="G223" s="283"/>
      <c r="H223" s="284">
        <f t="shared" si="29"/>
        <v>0</v>
      </c>
      <c r="I223" s="282"/>
      <c r="J223" s="283"/>
      <c r="K223" s="283"/>
      <c r="L223" s="284">
        <f t="shared" si="30"/>
        <v>0</v>
      </c>
    </row>
    <row r="224" spans="1:12" s="235" customFormat="1" x14ac:dyDescent="0.25">
      <c r="A224" s="262"/>
      <c r="B224" s="262"/>
      <c r="C224" s="263"/>
      <c r="D224" s="281"/>
      <c r="E224" s="282"/>
      <c r="F224" s="283"/>
      <c r="G224" s="283"/>
      <c r="H224" s="284">
        <f t="shared" si="29"/>
        <v>0</v>
      </c>
      <c r="I224" s="282"/>
      <c r="J224" s="283"/>
      <c r="K224" s="283"/>
      <c r="L224" s="284">
        <f t="shared" si="30"/>
        <v>0</v>
      </c>
    </row>
    <row r="225" spans="1:12" x14ac:dyDescent="0.25">
      <c r="A225" s="262"/>
      <c r="B225" s="262"/>
      <c r="C225" s="275"/>
      <c r="D225" s="236"/>
      <c r="E225" s="264"/>
      <c r="F225" s="318"/>
      <c r="G225" s="320"/>
      <c r="H225" s="267">
        <f t="shared" si="29"/>
        <v>0</v>
      </c>
      <c r="I225" s="264"/>
      <c r="J225" s="318"/>
      <c r="K225" s="320"/>
      <c r="L225" s="267">
        <f t="shared" si="30"/>
        <v>0</v>
      </c>
    </row>
    <row r="226" spans="1:12" x14ac:dyDescent="0.25">
      <c r="A226" s="262"/>
      <c r="B226" s="262"/>
      <c r="C226" s="275"/>
      <c r="D226" s="236"/>
      <c r="E226" s="264"/>
      <c r="F226" s="318"/>
      <c r="G226" s="320"/>
      <c r="H226" s="267">
        <f t="shared" si="29"/>
        <v>0</v>
      </c>
      <c r="I226" s="264"/>
      <c r="J226" s="318"/>
      <c r="K226" s="320"/>
      <c r="L226" s="267">
        <f t="shared" si="30"/>
        <v>0</v>
      </c>
    </row>
    <row r="227" spans="1:12" x14ac:dyDescent="0.25">
      <c r="A227" s="262"/>
      <c r="B227" s="262"/>
      <c r="C227" s="275"/>
      <c r="D227" s="236"/>
      <c r="E227" s="264"/>
      <c r="F227" s="318"/>
      <c r="G227" s="320"/>
      <c r="H227" s="267">
        <f t="shared" si="29"/>
        <v>0</v>
      </c>
      <c r="I227" s="264"/>
      <c r="J227" s="318"/>
      <c r="K227" s="320"/>
      <c r="L227" s="267">
        <f t="shared" si="30"/>
        <v>0</v>
      </c>
    </row>
    <row r="228" spans="1:12" x14ac:dyDescent="0.25">
      <c r="A228" s="262"/>
      <c r="B228" s="262"/>
      <c r="C228" s="275"/>
      <c r="D228" s="236"/>
      <c r="E228" s="264"/>
      <c r="F228" s="318"/>
      <c r="G228" s="320"/>
      <c r="H228" s="267">
        <f t="shared" si="29"/>
        <v>0</v>
      </c>
      <c r="I228" s="264"/>
      <c r="J228" s="318"/>
      <c r="K228" s="320"/>
      <c r="L228" s="267">
        <f t="shared" si="30"/>
        <v>0</v>
      </c>
    </row>
    <row r="229" spans="1:12" ht="15.75" thickBot="1" x14ac:dyDescent="0.3">
      <c r="A229" s="317"/>
      <c r="B229" s="317"/>
      <c r="C229" s="317"/>
      <c r="D229" s="289"/>
      <c r="E229" s="290"/>
      <c r="F229" s="291"/>
      <c r="G229" s="292"/>
      <c r="H229" s="309">
        <f t="shared" si="29"/>
        <v>0</v>
      </c>
      <c r="I229" s="290"/>
      <c r="J229" s="291"/>
      <c r="K229" s="292"/>
      <c r="L229" s="309">
        <f t="shared" si="30"/>
        <v>0</v>
      </c>
    </row>
    <row r="230" spans="1:12" ht="15.75" thickBot="1" x14ac:dyDescent="0.3">
      <c r="A230" s="288"/>
      <c r="B230" s="288"/>
      <c r="C230" s="263"/>
      <c r="D230" s="294" t="s">
        <v>0</v>
      </c>
      <c r="E230" s="295"/>
      <c r="F230" s="296">
        <f>SUM(F214:F229)</f>
        <v>210</v>
      </c>
      <c r="G230" s="297">
        <f>H230/F230</f>
        <v>43.452380952380949</v>
      </c>
      <c r="H230" s="298">
        <f>SUM(H214:H229)</f>
        <v>9125</v>
      </c>
      <c r="I230" s="295"/>
      <c r="J230" s="296">
        <f>SUM(J214:J229)</f>
        <v>0</v>
      </c>
      <c r="K230" s="297" t="e">
        <f>L230/J230</f>
        <v>#DIV/0!</v>
      </c>
      <c r="L230" s="298">
        <f>SUM(L214:L229)</f>
        <v>0</v>
      </c>
    </row>
    <row r="231" spans="1:12" ht="15.75" thickBot="1" x14ac:dyDescent="0.3">
      <c r="A231" s="299"/>
      <c r="B231" s="299"/>
      <c r="C231" s="299"/>
      <c r="D231" s="300"/>
      <c r="E231" s="301"/>
      <c r="F231" s="301"/>
      <c r="G231" s="302"/>
      <c r="H231" s="303"/>
      <c r="I231" s="301"/>
      <c r="J231" s="301"/>
      <c r="K231" s="302"/>
      <c r="L231" s="303"/>
    </row>
    <row r="232" spans="1:12" x14ac:dyDescent="0.25">
      <c r="A232" s="288"/>
      <c r="B232" s="288"/>
      <c r="C232" s="263"/>
      <c r="D232" s="276"/>
      <c r="E232" s="277"/>
      <c r="F232" s="278"/>
      <c r="G232" s="279"/>
      <c r="H232" s="280">
        <f t="shared" ref="H232:H247" si="31">F232*G232</f>
        <v>0</v>
      </c>
      <c r="I232" s="277"/>
      <c r="J232" s="278"/>
      <c r="K232" s="279"/>
      <c r="L232" s="280">
        <f t="shared" ref="L232:L247" si="32">J232*K232</f>
        <v>0</v>
      </c>
    </row>
    <row r="233" spans="1:12" x14ac:dyDescent="0.25">
      <c r="A233" s="262"/>
      <c r="B233" s="262"/>
      <c r="C233" s="304"/>
      <c r="D233" s="236">
        <f>D215+1</f>
        <v>45397</v>
      </c>
      <c r="E233" s="264"/>
      <c r="F233" s="265"/>
      <c r="G233" s="266"/>
      <c r="H233" s="267">
        <f t="shared" si="31"/>
        <v>0</v>
      </c>
      <c r="I233" s="264"/>
      <c r="J233" s="265"/>
      <c r="K233" s="266"/>
      <c r="L233" s="267">
        <f t="shared" si="32"/>
        <v>0</v>
      </c>
    </row>
    <row r="234" spans="1:12" s="235" customFormat="1" x14ac:dyDescent="0.25">
      <c r="A234" s="262" t="s">
        <v>6</v>
      </c>
      <c r="B234" s="262" t="s">
        <v>309</v>
      </c>
      <c r="C234" s="263" t="s">
        <v>324</v>
      </c>
      <c r="D234" s="281"/>
      <c r="E234" s="282" t="s">
        <v>368</v>
      </c>
      <c r="F234" s="283">
        <v>280</v>
      </c>
      <c r="G234" s="283">
        <v>44</v>
      </c>
      <c r="H234" s="284">
        <f t="shared" si="31"/>
        <v>12320</v>
      </c>
      <c r="I234" s="282"/>
      <c r="J234" s="283"/>
      <c r="K234" s="283"/>
      <c r="L234" s="284">
        <f t="shared" si="32"/>
        <v>0</v>
      </c>
    </row>
    <row r="235" spans="1:12" s="235" customFormat="1" x14ac:dyDescent="0.25">
      <c r="A235" s="262"/>
      <c r="B235" s="262"/>
      <c r="C235" s="263"/>
      <c r="D235" s="281"/>
      <c r="E235" s="282"/>
      <c r="F235" s="283"/>
      <c r="G235" s="283"/>
      <c r="H235" s="284">
        <f t="shared" si="31"/>
        <v>0</v>
      </c>
      <c r="I235" s="282"/>
      <c r="J235" s="283"/>
      <c r="K235" s="283"/>
      <c r="L235" s="284">
        <f t="shared" si="32"/>
        <v>0</v>
      </c>
    </row>
    <row r="236" spans="1:12" s="235" customFormat="1" x14ac:dyDescent="0.25">
      <c r="A236" s="262"/>
      <c r="B236" s="262"/>
      <c r="C236" s="263"/>
      <c r="D236" s="281"/>
      <c r="E236" s="282"/>
      <c r="F236" s="283"/>
      <c r="G236" s="283"/>
      <c r="H236" s="284">
        <f t="shared" si="31"/>
        <v>0</v>
      </c>
      <c r="I236" s="282"/>
      <c r="J236" s="283"/>
      <c r="K236" s="283"/>
      <c r="L236" s="284">
        <f t="shared" si="32"/>
        <v>0</v>
      </c>
    </row>
    <row r="237" spans="1:12" s="235" customFormat="1" x14ac:dyDescent="0.25">
      <c r="A237" s="262"/>
      <c r="B237" s="262"/>
      <c r="C237" s="263"/>
      <c r="D237" s="281"/>
      <c r="E237" s="282"/>
      <c r="F237" s="283"/>
      <c r="G237" s="283"/>
      <c r="H237" s="284">
        <f t="shared" si="31"/>
        <v>0</v>
      </c>
      <c r="I237" s="282"/>
      <c r="J237" s="283"/>
      <c r="K237" s="283"/>
      <c r="L237" s="284">
        <f t="shared" si="32"/>
        <v>0</v>
      </c>
    </row>
    <row r="238" spans="1:12" s="235" customFormat="1" x14ac:dyDescent="0.25">
      <c r="A238" s="262"/>
      <c r="B238" s="262"/>
      <c r="C238" s="263"/>
      <c r="D238" s="281"/>
      <c r="E238" s="282"/>
      <c r="F238" s="283"/>
      <c r="G238" s="283"/>
      <c r="H238" s="284">
        <f t="shared" si="31"/>
        <v>0</v>
      </c>
      <c r="I238" s="282"/>
      <c r="J238" s="283"/>
      <c r="K238" s="283"/>
      <c r="L238" s="284">
        <f t="shared" si="32"/>
        <v>0</v>
      </c>
    </row>
    <row r="239" spans="1:12" x14ac:dyDescent="0.25">
      <c r="A239" s="262"/>
      <c r="B239" s="262"/>
      <c r="C239" s="275"/>
      <c r="D239" s="236"/>
      <c r="E239" s="264"/>
      <c r="F239" s="318"/>
      <c r="G239" s="318"/>
      <c r="H239" s="267">
        <f t="shared" si="31"/>
        <v>0</v>
      </c>
      <c r="I239" s="264"/>
      <c r="J239" s="318"/>
      <c r="K239" s="318"/>
      <c r="L239" s="267">
        <f t="shared" si="32"/>
        <v>0</v>
      </c>
    </row>
    <row r="240" spans="1:12" s="235" customFormat="1" x14ac:dyDescent="0.25">
      <c r="A240" s="262"/>
      <c r="B240" s="262"/>
      <c r="C240" s="286"/>
      <c r="D240" s="281"/>
      <c r="E240" s="282"/>
      <c r="F240" s="287"/>
      <c r="G240" s="283"/>
      <c r="H240" s="267">
        <f t="shared" si="31"/>
        <v>0</v>
      </c>
      <c r="I240" s="282"/>
      <c r="J240" s="287"/>
      <c r="K240" s="283"/>
      <c r="L240" s="267">
        <f t="shared" si="32"/>
        <v>0</v>
      </c>
    </row>
    <row r="241" spans="1:12" s="235" customFormat="1" x14ac:dyDescent="0.25">
      <c r="A241" s="262"/>
      <c r="B241" s="262"/>
      <c r="C241" s="263"/>
      <c r="D241" s="281"/>
      <c r="E241" s="282"/>
      <c r="F241" s="283"/>
      <c r="G241" s="283"/>
      <c r="H241" s="284">
        <f t="shared" si="31"/>
        <v>0</v>
      </c>
      <c r="I241" s="282"/>
      <c r="J241" s="283"/>
      <c r="K241" s="283"/>
      <c r="L241" s="284">
        <f t="shared" si="32"/>
        <v>0</v>
      </c>
    </row>
    <row r="242" spans="1:12" x14ac:dyDescent="0.25">
      <c r="A242" s="262"/>
      <c r="B242" s="262"/>
      <c r="C242" s="304"/>
      <c r="D242" s="236"/>
      <c r="E242" s="310"/>
      <c r="F242" s="265"/>
      <c r="G242" s="266"/>
      <c r="H242" s="267">
        <f t="shared" si="31"/>
        <v>0</v>
      </c>
      <c r="I242" s="310"/>
      <c r="J242" s="265"/>
      <c r="K242" s="266"/>
      <c r="L242" s="267">
        <f t="shared" si="32"/>
        <v>0</v>
      </c>
    </row>
    <row r="243" spans="1:12" x14ac:dyDescent="0.25">
      <c r="A243" s="262"/>
      <c r="B243" s="262"/>
      <c r="C243" s="304"/>
      <c r="D243" s="236"/>
      <c r="E243" s="310"/>
      <c r="F243" s="265"/>
      <c r="G243" s="266"/>
      <c r="H243" s="267">
        <f t="shared" si="31"/>
        <v>0</v>
      </c>
      <c r="I243" s="310"/>
      <c r="J243" s="265"/>
      <c r="K243" s="266"/>
      <c r="L243" s="267">
        <f t="shared" si="32"/>
        <v>0</v>
      </c>
    </row>
    <row r="244" spans="1:12" s="235" customFormat="1" x14ac:dyDescent="0.25">
      <c r="A244" s="262"/>
      <c r="B244" s="262"/>
      <c r="C244" s="286"/>
      <c r="D244" s="281"/>
      <c r="E244" s="282"/>
      <c r="F244" s="287"/>
      <c r="G244" s="283"/>
      <c r="H244" s="267">
        <f t="shared" si="31"/>
        <v>0</v>
      </c>
      <c r="I244" s="282"/>
      <c r="J244" s="287"/>
      <c r="K244" s="283"/>
      <c r="L244" s="267">
        <f t="shared" si="32"/>
        <v>0</v>
      </c>
    </row>
    <row r="245" spans="1:12" s="235" customFormat="1" x14ac:dyDescent="0.25">
      <c r="A245" s="262"/>
      <c r="B245" s="262"/>
      <c r="C245" s="286"/>
      <c r="D245" s="281"/>
      <c r="E245" s="282"/>
      <c r="F245" s="287"/>
      <c r="G245" s="283"/>
      <c r="H245" s="267">
        <f t="shared" si="31"/>
        <v>0</v>
      </c>
      <c r="I245" s="282"/>
      <c r="J245" s="287"/>
      <c r="K245" s="283"/>
      <c r="L245" s="267">
        <f t="shared" si="32"/>
        <v>0</v>
      </c>
    </row>
    <row r="246" spans="1:12" s="235" customFormat="1" x14ac:dyDescent="0.25">
      <c r="A246" s="262"/>
      <c r="B246" s="262"/>
      <c r="C246" s="286"/>
      <c r="D246" s="281"/>
      <c r="E246" s="282"/>
      <c r="F246" s="287"/>
      <c r="G246" s="283"/>
      <c r="H246" s="267">
        <f t="shared" si="31"/>
        <v>0</v>
      </c>
      <c r="I246" s="282"/>
      <c r="J246" s="287"/>
      <c r="K246" s="283"/>
      <c r="L246" s="267">
        <f t="shared" si="32"/>
        <v>0</v>
      </c>
    </row>
    <row r="247" spans="1:12" ht="15.75" thickBot="1" x14ac:dyDescent="0.3">
      <c r="A247" s="285"/>
      <c r="B247" s="262"/>
      <c r="C247" s="286"/>
      <c r="D247" s="281"/>
      <c r="E247" s="282"/>
      <c r="F247" s="287"/>
      <c r="G247" s="283"/>
      <c r="H247" s="293">
        <f t="shared" si="31"/>
        <v>0</v>
      </c>
      <c r="I247" s="282"/>
      <c r="J247" s="287"/>
      <c r="K247" s="283"/>
      <c r="L247" s="293">
        <f t="shared" si="32"/>
        <v>0</v>
      </c>
    </row>
    <row r="248" spans="1:12" ht="15.75" thickBot="1" x14ac:dyDescent="0.3">
      <c r="A248" s="288"/>
      <c r="B248" s="288"/>
      <c r="C248" s="263"/>
      <c r="D248" s="294" t="s">
        <v>0</v>
      </c>
      <c r="E248" s="295"/>
      <c r="F248" s="296">
        <f>SUM(F232:F247)</f>
        <v>280</v>
      </c>
      <c r="G248" s="297">
        <f>H248/F248</f>
        <v>44</v>
      </c>
      <c r="H248" s="298">
        <f>SUM(H232:H247)</f>
        <v>12320</v>
      </c>
      <c r="I248" s="295"/>
      <c r="J248" s="296">
        <f>SUM(J232:J247)</f>
        <v>0</v>
      </c>
      <c r="K248" s="297" t="e">
        <f>L248/J248</f>
        <v>#DIV/0!</v>
      </c>
      <c r="L248" s="298">
        <f>SUM(L232:L247)</f>
        <v>0</v>
      </c>
    </row>
    <row r="249" spans="1:12" ht="15.75" thickBot="1" x14ac:dyDescent="0.3">
      <c r="A249" s="299"/>
      <c r="B249" s="299"/>
      <c r="C249" s="299"/>
      <c r="D249" s="300"/>
      <c r="E249" s="301"/>
      <c r="F249" s="301"/>
      <c r="G249" s="302"/>
      <c r="H249" s="303"/>
      <c r="I249" s="301"/>
      <c r="J249" s="301"/>
      <c r="K249" s="302"/>
      <c r="L249" s="303"/>
    </row>
    <row r="250" spans="1:12" x14ac:dyDescent="0.25">
      <c r="A250" s="288"/>
      <c r="B250" s="288"/>
      <c r="C250" s="263"/>
      <c r="D250" s="276"/>
      <c r="E250" s="277"/>
      <c r="F250" s="278"/>
      <c r="G250" s="279"/>
      <c r="H250" s="280">
        <f t="shared" ref="H250:H261" si="33">F250*G250</f>
        <v>0</v>
      </c>
      <c r="I250" s="277"/>
      <c r="J250" s="278"/>
      <c r="K250" s="279"/>
      <c r="L250" s="280">
        <f t="shared" ref="L250:L261" si="34">J250*K250</f>
        <v>0</v>
      </c>
    </row>
    <row r="251" spans="1:12" x14ac:dyDescent="0.25">
      <c r="A251" s="262"/>
      <c r="B251" s="262"/>
      <c r="C251" s="403"/>
      <c r="D251" s="236">
        <f>D233+1</f>
        <v>45398</v>
      </c>
      <c r="E251" s="282"/>
      <c r="F251" s="283"/>
      <c r="G251" s="283"/>
      <c r="H251" s="267">
        <f t="shared" si="33"/>
        <v>0</v>
      </c>
      <c r="I251" s="310"/>
      <c r="J251" s="265"/>
      <c r="K251" s="266"/>
      <c r="L251" s="267">
        <f t="shared" si="34"/>
        <v>0</v>
      </c>
    </row>
    <row r="252" spans="1:12" s="235" customFormat="1" x14ac:dyDescent="0.25">
      <c r="A252" s="262"/>
      <c r="B252" s="262"/>
      <c r="C252" s="263"/>
      <c r="D252" s="281"/>
      <c r="E252" s="282"/>
      <c r="F252" s="283"/>
      <c r="G252" s="283"/>
      <c r="H252" s="284">
        <f t="shared" si="33"/>
        <v>0</v>
      </c>
      <c r="I252" s="282"/>
      <c r="J252" s="283"/>
      <c r="K252" s="283"/>
      <c r="L252" s="284">
        <f t="shared" si="34"/>
        <v>0</v>
      </c>
    </row>
    <row r="253" spans="1:12" s="235" customFormat="1" x14ac:dyDescent="0.25">
      <c r="A253" s="262"/>
      <c r="B253" s="262"/>
      <c r="C253" s="263"/>
      <c r="D253" s="281"/>
      <c r="E253" s="282"/>
      <c r="F253" s="283"/>
      <c r="G253" s="283"/>
      <c r="H253" s="284">
        <f t="shared" si="33"/>
        <v>0</v>
      </c>
      <c r="I253" s="282"/>
      <c r="J253" s="283"/>
      <c r="K253" s="283"/>
      <c r="L253" s="284">
        <f t="shared" si="34"/>
        <v>0</v>
      </c>
    </row>
    <row r="254" spans="1:12" s="235" customFormat="1" x14ac:dyDescent="0.25">
      <c r="A254" s="262"/>
      <c r="B254" s="262"/>
      <c r="C254" s="263"/>
      <c r="D254" s="281"/>
      <c r="E254" s="282"/>
      <c r="F254" s="283"/>
      <c r="G254" s="283"/>
      <c r="H254" s="284">
        <f t="shared" si="33"/>
        <v>0</v>
      </c>
      <c r="I254" s="282"/>
      <c r="J254" s="283"/>
      <c r="K254" s="283"/>
      <c r="L254" s="284">
        <f t="shared" si="34"/>
        <v>0</v>
      </c>
    </row>
    <row r="255" spans="1:12" s="235" customFormat="1" x14ac:dyDescent="0.25">
      <c r="A255" s="262"/>
      <c r="B255" s="262"/>
      <c r="C255" s="263"/>
      <c r="D255" s="281"/>
      <c r="E255" s="282"/>
      <c r="F255" s="283"/>
      <c r="G255" s="283"/>
      <c r="H255" s="284">
        <f t="shared" si="33"/>
        <v>0</v>
      </c>
      <c r="I255" s="282"/>
      <c r="J255" s="283"/>
      <c r="K255" s="283"/>
      <c r="L255" s="284">
        <f t="shared" si="34"/>
        <v>0</v>
      </c>
    </row>
    <row r="256" spans="1:12" s="235" customFormat="1" x14ac:dyDescent="0.25">
      <c r="A256" s="262"/>
      <c r="B256" s="262"/>
      <c r="C256" s="263"/>
      <c r="D256" s="281"/>
      <c r="E256" s="282"/>
      <c r="F256" s="283"/>
      <c r="G256" s="283"/>
      <c r="H256" s="284">
        <f t="shared" si="33"/>
        <v>0</v>
      </c>
      <c r="I256" s="282"/>
      <c r="J256" s="283"/>
      <c r="K256" s="283"/>
      <c r="L256" s="284">
        <f t="shared" si="34"/>
        <v>0</v>
      </c>
    </row>
    <row r="257" spans="1:12" x14ac:dyDescent="0.25">
      <c r="A257" s="262"/>
      <c r="B257" s="288"/>
      <c r="C257" s="275"/>
      <c r="D257" s="325"/>
      <c r="E257" s="282"/>
      <c r="F257" s="287"/>
      <c r="G257" s="283"/>
      <c r="H257" s="267">
        <f t="shared" si="33"/>
        <v>0</v>
      </c>
      <c r="I257" s="282"/>
      <c r="J257" s="287"/>
      <c r="K257" s="283"/>
      <c r="L257" s="267">
        <f t="shared" si="34"/>
        <v>0</v>
      </c>
    </row>
    <row r="258" spans="1:12" x14ac:dyDescent="0.25">
      <c r="A258" s="262"/>
      <c r="B258" s="288"/>
      <c r="C258" s="286"/>
      <c r="D258" s="281"/>
      <c r="E258" s="282"/>
      <c r="F258" s="287"/>
      <c r="G258" s="283"/>
      <c r="H258" s="309">
        <f t="shared" si="33"/>
        <v>0</v>
      </c>
      <c r="I258" s="282"/>
      <c r="J258" s="287"/>
      <c r="K258" s="283"/>
      <c r="L258" s="309">
        <f t="shared" si="34"/>
        <v>0</v>
      </c>
    </row>
    <row r="259" spans="1:12" ht="15.75" thickBot="1" x14ac:dyDescent="0.3">
      <c r="A259" s="262"/>
      <c r="B259" s="288"/>
      <c r="C259" s="286"/>
      <c r="D259" s="281"/>
      <c r="E259" s="282"/>
      <c r="F259" s="287"/>
      <c r="G259" s="283"/>
      <c r="H259" s="293">
        <f t="shared" si="33"/>
        <v>0</v>
      </c>
      <c r="I259" s="282"/>
      <c r="J259" s="287"/>
      <c r="K259" s="283"/>
      <c r="L259" s="293">
        <f t="shared" si="34"/>
        <v>0</v>
      </c>
    </row>
    <row r="260" spans="1:12" x14ac:dyDescent="0.25">
      <c r="A260" s="285"/>
      <c r="B260" s="262"/>
      <c r="C260" s="317"/>
      <c r="D260" s="306"/>
      <c r="E260" s="282"/>
      <c r="F260" s="265"/>
      <c r="G260" s="283"/>
      <c r="H260" s="267">
        <f t="shared" si="33"/>
        <v>0</v>
      </c>
      <c r="I260" s="282"/>
      <c r="J260" s="265"/>
      <c r="K260" s="283"/>
      <c r="L260" s="267">
        <f t="shared" si="34"/>
        <v>0</v>
      </c>
    </row>
    <row r="261" spans="1:12" ht="15.75" thickBot="1" x14ac:dyDescent="0.3">
      <c r="A261" s="285"/>
      <c r="B261" s="262"/>
      <c r="C261" s="317"/>
      <c r="D261" s="289"/>
      <c r="E261" s="290"/>
      <c r="F261" s="265"/>
      <c r="G261" s="292"/>
      <c r="H261" s="267">
        <f t="shared" si="33"/>
        <v>0</v>
      </c>
      <c r="I261" s="290"/>
      <c r="J261" s="265"/>
      <c r="K261" s="292"/>
      <c r="L261" s="267">
        <f t="shared" si="34"/>
        <v>0</v>
      </c>
    </row>
    <row r="262" spans="1:12" ht="15.75" thickBot="1" x14ac:dyDescent="0.3">
      <c r="A262" s="288"/>
      <c r="B262" s="288"/>
      <c r="C262" s="263"/>
      <c r="D262" s="294" t="s">
        <v>0</v>
      </c>
      <c r="E262" s="295"/>
      <c r="F262" s="296">
        <f>SUM(F250:F261)</f>
        <v>0</v>
      </c>
      <c r="G262" s="297" t="e">
        <f>H262/F262</f>
        <v>#DIV/0!</v>
      </c>
      <c r="H262" s="298">
        <f>SUM(H250:H261)</f>
        <v>0</v>
      </c>
      <c r="I262" s="295"/>
      <c r="J262" s="296">
        <f>SUM(J250:J261)</f>
        <v>0</v>
      </c>
      <c r="K262" s="297" t="e">
        <f>L262/J262</f>
        <v>#DIV/0!</v>
      </c>
      <c r="L262" s="298">
        <f>SUM(L250:L261)</f>
        <v>0</v>
      </c>
    </row>
    <row r="263" spans="1:12" ht="15.75" thickBot="1" x14ac:dyDescent="0.3">
      <c r="A263" s="299"/>
      <c r="B263" s="299"/>
      <c r="C263" s="299"/>
      <c r="D263" s="300"/>
      <c r="E263" s="301"/>
      <c r="F263" s="301"/>
      <c r="G263" s="302"/>
      <c r="H263" s="303"/>
      <c r="I263" s="301"/>
      <c r="J263" s="301"/>
      <c r="K263" s="302"/>
      <c r="L263" s="303"/>
    </row>
    <row r="264" spans="1:12" x14ac:dyDescent="0.25">
      <c r="A264" s="288"/>
      <c r="B264" s="288"/>
      <c r="C264" s="263"/>
      <c r="D264" s="276"/>
      <c r="E264" s="277"/>
      <c r="F264" s="278"/>
      <c r="G264" s="319"/>
      <c r="H264" s="280">
        <f t="shared" ref="H264:H279" si="35">F264*G264</f>
        <v>0</v>
      </c>
      <c r="I264" s="277"/>
      <c r="J264" s="278"/>
      <c r="K264" s="319"/>
      <c r="L264" s="280">
        <f t="shared" ref="L264:L279" si="36">J264*K264</f>
        <v>0</v>
      </c>
    </row>
    <row r="265" spans="1:12" x14ac:dyDescent="0.25">
      <c r="A265" s="262"/>
      <c r="B265" s="262"/>
      <c r="C265" s="275"/>
      <c r="D265" s="325">
        <f>D251+1</f>
        <v>45399</v>
      </c>
      <c r="E265" s="282"/>
      <c r="F265" s="265"/>
      <c r="G265" s="283"/>
      <c r="H265" s="267">
        <f t="shared" si="35"/>
        <v>0</v>
      </c>
      <c r="I265" s="282"/>
      <c r="J265" s="265"/>
      <c r="K265" s="283"/>
      <c r="L265" s="267">
        <f t="shared" si="36"/>
        <v>0</v>
      </c>
    </row>
    <row r="266" spans="1:12" s="235" customFormat="1" x14ac:dyDescent="0.25">
      <c r="A266" s="262"/>
      <c r="B266" s="262"/>
      <c r="C266" s="263"/>
      <c r="D266" s="281"/>
      <c r="E266" s="282"/>
      <c r="F266" s="283"/>
      <c r="G266" s="283"/>
      <c r="H266" s="284">
        <f t="shared" si="35"/>
        <v>0</v>
      </c>
      <c r="I266" s="282"/>
      <c r="J266" s="283"/>
      <c r="K266" s="283"/>
      <c r="L266" s="284">
        <f t="shared" si="36"/>
        <v>0</v>
      </c>
    </row>
    <row r="267" spans="1:12" s="235" customFormat="1" x14ac:dyDescent="0.25">
      <c r="A267" s="262"/>
      <c r="B267" s="262"/>
      <c r="C267" s="263"/>
      <c r="D267" s="281"/>
      <c r="E267" s="282"/>
      <c r="F267" s="283"/>
      <c r="G267" s="283"/>
      <c r="H267" s="284">
        <f t="shared" si="35"/>
        <v>0</v>
      </c>
      <c r="I267" s="282"/>
      <c r="J267" s="283"/>
      <c r="K267" s="283"/>
      <c r="L267" s="284">
        <f t="shared" si="36"/>
        <v>0</v>
      </c>
    </row>
    <row r="268" spans="1:12" s="235" customFormat="1" x14ac:dyDescent="0.25">
      <c r="A268" s="262"/>
      <c r="B268" s="262"/>
      <c r="C268" s="263"/>
      <c r="D268" s="281"/>
      <c r="E268" s="282"/>
      <c r="F268" s="283"/>
      <c r="G268" s="283"/>
      <c r="H268" s="284">
        <f t="shared" si="35"/>
        <v>0</v>
      </c>
      <c r="I268" s="282"/>
      <c r="J268" s="283"/>
      <c r="K268" s="283"/>
      <c r="L268" s="284">
        <f t="shared" si="36"/>
        <v>0</v>
      </c>
    </row>
    <row r="269" spans="1:12" s="235" customFormat="1" x14ac:dyDescent="0.25">
      <c r="A269" s="262"/>
      <c r="B269" s="262"/>
      <c r="C269" s="263"/>
      <c r="D269" s="281"/>
      <c r="E269" s="282"/>
      <c r="F269" s="283"/>
      <c r="G269" s="283"/>
      <c r="H269" s="284">
        <f t="shared" si="35"/>
        <v>0</v>
      </c>
      <c r="I269" s="282"/>
      <c r="J269" s="283"/>
      <c r="K269" s="283"/>
      <c r="L269" s="284">
        <f t="shared" si="36"/>
        <v>0</v>
      </c>
    </row>
    <row r="270" spans="1:12" s="235" customFormat="1" x14ac:dyDescent="0.25">
      <c r="A270" s="262"/>
      <c r="B270" s="262"/>
      <c r="C270" s="263"/>
      <c r="D270" s="281"/>
      <c r="E270" s="282"/>
      <c r="F270" s="283"/>
      <c r="G270" s="283"/>
      <c r="H270" s="284">
        <f t="shared" si="35"/>
        <v>0</v>
      </c>
      <c r="I270" s="282"/>
      <c r="J270" s="283"/>
      <c r="K270" s="283"/>
      <c r="L270" s="284">
        <f t="shared" si="36"/>
        <v>0</v>
      </c>
    </row>
    <row r="271" spans="1:12" s="235" customFormat="1" x14ac:dyDescent="0.25">
      <c r="A271" s="262"/>
      <c r="B271" s="262"/>
      <c r="C271" s="263"/>
      <c r="D271" s="281"/>
      <c r="E271" s="282"/>
      <c r="F271" s="283"/>
      <c r="G271" s="283"/>
      <c r="H271" s="284">
        <f t="shared" si="35"/>
        <v>0</v>
      </c>
      <c r="I271" s="282"/>
      <c r="J271" s="283"/>
      <c r="K271" s="283"/>
      <c r="L271" s="284">
        <f t="shared" si="36"/>
        <v>0</v>
      </c>
    </row>
    <row r="272" spans="1:12" s="235" customFormat="1" x14ac:dyDescent="0.25">
      <c r="A272" s="262"/>
      <c r="B272" s="262"/>
      <c r="C272" s="263"/>
      <c r="D272" s="281"/>
      <c r="E272" s="282"/>
      <c r="F272" s="283"/>
      <c r="G272" s="283"/>
      <c r="H272" s="284">
        <f t="shared" si="35"/>
        <v>0</v>
      </c>
      <c r="I272" s="282"/>
      <c r="J272" s="283"/>
      <c r="K272" s="283"/>
      <c r="L272" s="284">
        <f t="shared" si="36"/>
        <v>0</v>
      </c>
    </row>
    <row r="273" spans="1:12" x14ac:dyDescent="0.25">
      <c r="A273" s="262"/>
      <c r="B273" s="262"/>
      <c r="C273" s="275"/>
      <c r="D273" s="236"/>
      <c r="E273" s="264"/>
      <c r="F273" s="318"/>
      <c r="G273" s="318"/>
      <c r="H273" s="267">
        <f t="shared" si="35"/>
        <v>0</v>
      </c>
      <c r="I273" s="264"/>
      <c r="J273" s="318"/>
      <c r="K273" s="318"/>
      <c r="L273" s="267">
        <f t="shared" si="36"/>
        <v>0</v>
      </c>
    </row>
    <row r="274" spans="1:12" s="235" customFormat="1" x14ac:dyDescent="0.25">
      <c r="A274" s="262"/>
      <c r="B274" s="262"/>
      <c r="C274" s="286"/>
      <c r="D274" s="281"/>
      <c r="E274" s="282"/>
      <c r="F274" s="287"/>
      <c r="G274" s="283"/>
      <c r="H274" s="267">
        <f t="shared" si="35"/>
        <v>0</v>
      </c>
      <c r="I274" s="282"/>
      <c r="J274" s="287"/>
      <c r="K274" s="283"/>
      <c r="L274" s="267">
        <f t="shared" si="36"/>
        <v>0</v>
      </c>
    </row>
    <row r="275" spans="1:12" s="235" customFormat="1" x14ac:dyDescent="0.25">
      <c r="A275" s="262"/>
      <c r="B275" s="262"/>
      <c r="C275" s="263"/>
      <c r="D275" s="281"/>
      <c r="E275" s="282"/>
      <c r="F275" s="283"/>
      <c r="G275" s="283"/>
      <c r="H275" s="284">
        <f t="shared" si="35"/>
        <v>0</v>
      </c>
      <c r="I275" s="282"/>
      <c r="J275" s="283"/>
      <c r="K275" s="283"/>
      <c r="L275" s="284">
        <f t="shared" si="36"/>
        <v>0</v>
      </c>
    </row>
    <row r="276" spans="1:12" s="235" customFormat="1" x14ac:dyDescent="0.25">
      <c r="A276" s="262"/>
      <c r="B276" s="262"/>
      <c r="C276" s="263"/>
      <c r="D276" s="281"/>
      <c r="E276" s="282"/>
      <c r="F276" s="283"/>
      <c r="G276" s="283"/>
      <c r="H276" s="284">
        <f t="shared" si="35"/>
        <v>0</v>
      </c>
      <c r="I276" s="282"/>
      <c r="J276" s="283"/>
      <c r="K276" s="283"/>
      <c r="L276" s="284">
        <f t="shared" si="36"/>
        <v>0</v>
      </c>
    </row>
    <row r="277" spans="1:12" x14ac:dyDescent="0.25">
      <c r="A277" s="262"/>
      <c r="B277" s="262"/>
      <c r="C277" s="275"/>
      <c r="D277" s="325"/>
      <c r="E277" s="282"/>
      <c r="F277" s="265"/>
      <c r="G277" s="266"/>
      <c r="H277" s="267">
        <f t="shared" si="35"/>
        <v>0</v>
      </c>
      <c r="I277" s="282"/>
      <c r="J277" s="265"/>
      <c r="K277" s="266"/>
      <c r="L277" s="267">
        <f t="shared" si="36"/>
        <v>0</v>
      </c>
    </row>
    <row r="278" spans="1:12" x14ac:dyDescent="0.25">
      <c r="A278" s="262"/>
      <c r="B278" s="262"/>
      <c r="C278" s="275"/>
      <c r="D278" s="325"/>
      <c r="E278" s="282"/>
      <c r="F278" s="265"/>
      <c r="G278" s="283"/>
      <c r="H278" s="267">
        <f t="shared" si="35"/>
        <v>0</v>
      </c>
      <c r="I278" s="282"/>
      <c r="J278" s="265"/>
      <c r="K278" s="283"/>
      <c r="L278" s="267">
        <f t="shared" si="36"/>
        <v>0</v>
      </c>
    </row>
    <row r="279" spans="1:12" ht="15.75" thickBot="1" x14ac:dyDescent="0.3">
      <c r="A279" s="317"/>
      <c r="B279" s="317"/>
      <c r="C279" s="317"/>
      <c r="D279" s="289"/>
      <c r="E279" s="290"/>
      <c r="F279" s="265"/>
      <c r="G279" s="292"/>
      <c r="H279" s="309">
        <f t="shared" si="35"/>
        <v>0</v>
      </c>
      <c r="I279" s="290"/>
      <c r="J279" s="265"/>
      <c r="K279" s="292"/>
      <c r="L279" s="309">
        <f t="shared" si="36"/>
        <v>0</v>
      </c>
    </row>
    <row r="280" spans="1:12" ht="15.75" thickBot="1" x14ac:dyDescent="0.3">
      <c r="A280" s="288"/>
      <c r="B280" s="288"/>
      <c r="C280" s="263"/>
      <c r="D280" s="294" t="s">
        <v>0</v>
      </c>
      <c r="E280" s="295"/>
      <c r="F280" s="296">
        <f>SUM(F264:F279)</f>
        <v>0</v>
      </c>
      <c r="G280" s="297" t="e">
        <f>H280/F280</f>
        <v>#DIV/0!</v>
      </c>
      <c r="H280" s="298">
        <f>SUM(H264:H279)</f>
        <v>0</v>
      </c>
      <c r="I280" s="295"/>
      <c r="J280" s="296">
        <f>SUM(J264:J279)</f>
        <v>0</v>
      </c>
      <c r="K280" s="297" t="e">
        <f>L280/J280</f>
        <v>#DIV/0!</v>
      </c>
      <c r="L280" s="298">
        <f>SUM(L264:L279)</f>
        <v>0</v>
      </c>
    </row>
    <row r="281" spans="1:12" ht="15.75" thickBot="1" x14ac:dyDescent="0.3">
      <c r="A281" s="299"/>
      <c r="B281" s="299"/>
      <c r="C281" s="299"/>
      <c r="D281" s="300"/>
      <c r="E281" s="301"/>
      <c r="F281" s="301"/>
      <c r="G281" s="302"/>
      <c r="H281" s="303"/>
      <c r="I281" s="301"/>
      <c r="J281" s="301"/>
      <c r="K281" s="302"/>
      <c r="L281" s="303"/>
    </row>
    <row r="282" spans="1:12" x14ac:dyDescent="0.25">
      <c r="A282" s="288"/>
      <c r="B282" s="288"/>
      <c r="C282" s="263"/>
      <c r="D282" s="276"/>
      <c r="E282" s="277"/>
      <c r="F282" s="278"/>
      <c r="G282" s="279"/>
      <c r="H282" s="280">
        <f t="shared" ref="H282:H292" si="37">F282*G282</f>
        <v>0</v>
      </c>
      <c r="I282" s="277"/>
      <c r="J282" s="278"/>
      <c r="K282" s="279"/>
      <c r="L282" s="280">
        <f t="shared" ref="L282:L292" si="38">J282*K282</f>
        <v>0</v>
      </c>
    </row>
    <row r="283" spans="1:12" x14ac:dyDescent="0.25">
      <c r="A283" s="262"/>
      <c r="B283" s="262"/>
      <c r="C283" s="286"/>
      <c r="D283" s="281">
        <f>D265+1</f>
        <v>45400</v>
      </c>
      <c r="E283" s="282"/>
      <c r="F283" s="287"/>
      <c r="G283" s="283"/>
      <c r="H283" s="309">
        <f t="shared" si="37"/>
        <v>0</v>
      </c>
      <c r="I283" s="282"/>
      <c r="J283" s="287"/>
      <c r="K283" s="283"/>
      <c r="L283" s="309">
        <f t="shared" si="38"/>
        <v>0</v>
      </c>
    </row>
    <row r="284" spans="1:12" s="235" customFormat="1" x14ac:dyDescent="0.25">
      <c r="A284" s="262"/>
      <c r="B284" s="262"/>
      <c r="C284" s="263"/>
      <c r="D284" s="281"/>
      <c r="E284" s="282"/>
      <c r="F284" s="283"/>
      <c r="G284" s="283"/>
      <c r="H284" s="284">
        <f t="shared" si="37"/>
        <v>0</v>
      </c>
      <c r="I284" s="282"/>
      <c r="J284" s="283"/>
      <c r="K284" s="283"/>
      <c r="L284" s="284">
        <f t="shared" si="38"/>
        <v>0</v>
      </c>
    </row>
    <row r="285" spans="1:12" s="235" customFormat="1" x14ac:dyDescent="0.25">
      <c r="A285" s="262"/>
      <c r="B285" s="262"/>
      <c r="C285" s="263"/>
      <c r="D285" s="281"/>
      <c r="E285" s="282"/>
      <c r="F285" s="283"/>
      <c r="G285" s="283"/>
      <c r="H285" s="284">
        <f t="shared" si="37"/>
        <v>0</v>
      </c>
      <c r="I285" s="282"/>
      <c r="J285" s="283"/>
      <c r="K285" s="283"/>
      <c r="L285" s="284">
        <f t="shared" si="38"/>
        <v>0</v>
      </c>
    </row>
    <row r="286" spans="1:12" s="235" customFormat="1" x14ac:dyDescent="0.25">
      <c r="A286" s="262"/>
      <c r="B286" s="262"/>
      <c r="C286" s="263"/>
      <c r="D286" s="281"/>
      <c r="E286" s="282"/>
      <c r="F286" s="283"/>
      <c r="G286" s="283"/>
      <c r="H286" s="284">
        <f t="shared" si="37"/>
        <v>0</v>
      </c>
      <c r="I286" s="282"/>
      <c r="J286" s="283"/>
      <c r="K286" s="283"/>
      <c r="L286" s="284">
        <f t="shared" si="38"/>
        <v>0</v>
      </c>
    </row>
    <row r="287" spans="1:12" s="235" customFormat="1" x14ac:dyDescent="0.25">
      <c r="A287" s="262"/>
      <c r="B287" s="262"/>
      <c r="C287" s="263"/>
      <c r="D287" s="281"/>
      <c r="E287" s="282"/>
      <c r="F287" s="283"/>
      <c r="G287" s="283"/>
      <c r="H287" s="284">
        <f t="shared" si="37"/>
        <v>0</v>
      </c>
      <c r="I287" s="282"/>
      <c r="J287" s="283"/>
      <c r="K287" s="283"/>
      <c r="L287" s="284">
        <f t="shared" si="38"/>
        <v>0</v>
      </c>
    </row>
    <row r="288" spans="1:12" s="235" customFormat="1" x14ac:dyDescent="0.25">
      <c r="A288" s="262"/>
      <c r="B288" s="262"/>
      <c r="C288" s="263"/>
      <c r="D288" s="281"/>
      <c r="E288" s="282"/>
      <c r="F288" s="283"/>
      <c r="G288" s="283"/>
      <c r="H288" s="284">
        <f t="shared" si="37"/>
        <v>0</v>
      </c>
      <c r="I288" s="282"/>
      <c r="J288" s="283"/>
      <c r="K288" s="283"/>
      <c r="L288" s="284">
        <f t="shared" si="38"/>
        <v>0</v>
      </c>
    </row>
    <row r="289" spans="1:12" s="235" customFormat="1" x14ac:dyDescent="0.25">
      <c r="A289" s="262"/>
      <c r="B289" s="262"/>
      <c r="C289" s="286"/>
      <c r="D289" s="281"/>
      <c r="E289" s="282"/>
      <c r="F289" s="287"/>
      <c r="G289" s="283"/>
      <c r="H289" s="267">
        <f t="shared" si="37"/>
        <v>0</v>
      </c>
      <c r="I289" s="282"/>
      <c r="J289" s="287"/>
      <c r="K289" s="283"/>
      <c r="L289" s="267">
        <f t="shared" si="38"/>
        <v>0</v>
      </c>
    </row>
    <row r="290" spans="1:12" s="235" customFormat="1" x14ac:dyDescent="0.25">
      <c r="A290" s="262"/>
      <c r="B290" s="262"/>
      <c r="C290" s="286"/>
      <c r="D290" s="281"/>
      <c r="E290" s="282"/>
      <c r="F290" s="287"/>
      <c r="G290" s="283"/>
      <c r="H290" s="267">
        <f t="shared" si="37"/>
        <v>0</v>
      </c>
      <c r="I290" s="282"/>
      <c r="J290" s="287"/>
      <c r="K290" s="283"/>
      <c r="L290" s="267">
        <f t="shared" si="38"/>
        <v>0</v>
      </c>
    </row>
    <row r="291" spans="1:12" s="235" customFormat="1" x14ac:dyDescent="0.25">
      <c r="A291" s="262"/>
      <c r="B291" s="262"/>
      <c r="C291" s="286"/>
      <c r="D291" s="281"/>
      <c r="E291" s="282"/>
      <c r="F291" s="287"/>
      <c r="G291" s="283"/>
      <c r="H291" s="267">
        <f t="shared" si="37"/>
        <v>0</v>
      </c>
      <c r="I291" s="282"/>
      <c r="J291" s="287"/>
      <c r="K291" s="283"/>
      <c r="L291" s="267">
        <f t="shared" si="38"/>
        <v>0</v>
      </c>
    </row>
    <row r="292" spans="1:12" s="235" customFormat="1" ht="15.75" thickBot="1" x14ac:dyDescent="0.3">
      <c r="A292" s="262"/>
      <c r="B292" s="262"/>
      <c r="C292" s="286"/>
      <c r="D292" s="281"/>
      <c r="E292" s="282"/>
      <c r="F292" s="287"/>
      <c r="G292" s="283"/>
      <c r="H292" s="267">
        <f t="shared" si="37"/>
        <v>0</v>
      </c>
      <c r="I292" s="282"/>
      <c r="J292" s="287"/>
      <c r="K292" s="283"/>
      <c r="L292" s="267">
        <f t="shared" si="38"/>
        <v>0</v>
      </c>
    </row>
    <row r="293" spans="1:12" ht="15.75" thickBot="1" x14ac:dyDescent="0.3">
      <c r="A293" s="288"/>
      <c r="B293" s="288"/>
      <c r="C293" s="263"/>
      <c r="D293" s="294" t="s">
        <v>0</v>
      </c>
      <c r="E293" s="295"/>
      <c r="F293" s="296">
        <f>SUM(F282:F292)</f>
        <v>0</v>
      </c>
      <c r="G293" s="297" t="e">
        <f>H293/F293</f>
        <v>#DIV/0!</v>
      </c>
      <c r="H293" s="298">
        <f>SUM(H282:H292)</f>
        <v>0</v>
      </c>
      <c r="I293" s="295"/>
      <c r="J293" s="296">
        <f>SUM(J282:J292)</f>
        <v>0</v>
      </c>
      <c r="K293" s="297" t="e">
        <f>L293/J293</f>
        <v>#DIV/0!</v>
      </c>
      <c r="L293" s="298">
        <f>SUM(L282:L292)</f>
        <v>0</v>
      </c>
    </row>
    <row r="294" spans="1:12" ht="15.75" thickBot="1" x14ac:dyDescent="0.3">
      <c r="A294" s="299"/>
      <c r="B294" s="299"/>
      <c r="C294" s="299"/>
      <c r="D294" s="300"/>
      <c r="E294" s="301"/>
      <c r="F294" s="301"/>
      <c r="G294" s="302"/>
      <c r="H294" s="303"/>
      <c r="I294" s="301"/>
      <c r="J294" s="301"/>
      <c r="K294" s="302"/>
      <c r="L294" s="303"/>
    </row>
    <row r="295" spans="1:12" x14ac:dyDescent="0.25">
      <c r="A295" s="288"/>
      <c r="B295" s="288"/>
      <c r="C295" s="263"/>
      <c r="D295" s="276"/>
      <c r="E295" s="277"/>
      <c r="F295" s="278"/>
      <c r="G295" s="279"/>
      <c r="H295" s="280">
        <f t="shared" ref="H295:H309" si="39">F295*G295</f>
        <v>0</v>
      </c>
      <c r="I295" s="277"/>
      <c r="J295" s="278"/>
      <c r="K295" s="279"/>
      <c r="L295" s="280">
        <f t="shared" ref="L295:L309" si="40">J295*K295</f>
        <v>0</v>
      </c>
    </row>
    <row r="296" spans="1:12" x14ac:dyDescent="0.25">
      <c r="A296" s="262"/>
      <c r="B296" s="262"/>
      <c r="C296" s="263"/>
      <c r="D296" s="236">
        <f>D283+1</f>
        <v>45401</v>
      </c>
      <c r="E296" s="310"/>
      <c r="F296" s="265"/>
      <c r="G296" s="266"/>
      <c r="H296" s="267">
        <f t="shared" si="39"/>
        <v>0</v>
      </c>
      <c r="I296" s="310"/>
      <c r="J296" s="265"/>
      <c r="K296" s="266"/>
      <c r="L296" s="267">
        <f t="shared" si="40"/>
        <v>0</v>
      </c>
    </row>
    <row r="297" spans="1:12" x14ac:dyDescent="0.25">
      <c r="A297" s="262"/>
      <c r="B297" s="262"/>
      <c r="C297" s="263"/>
      <c r="D297" s="281"/>
      <c r="E297" s="282"/>
      <c r="F297" s="287"/>
      <c r="G297" s="283"/>
      <c r="H297" s="309">
        <f t="shared" si="39"/>
        <v>0</v>
      </c>
      <c r="I297" s="282"/>
      <c r="J297" s="287"/>
      <c r="K297" s="283"/>
      <c r="L297" s="309">
        <f t="shared" si="40"/>
        <v>0</v>
      </c>
    </row>
    <row r="298" spans="1:12" x14ac:dyDescent="0.25">
      <c r="A298" s="262"/>
      <c r="B298" s="262"/>
      <c r="C298" s="263"/>
      <c r="D298" s="281"/>
      <c r="E298" s="282"/>
      <c r="F298" s="287"/>
      <c r="G298" s="283"/>
      <c r="H298" s="309">
        <f t="shared" ref="H298:H304" si="41">F298*G298</f>
        <v>0</v>
      </c>
      <c r="I298" s="282"/>
      <c r="J298" s="287"/>
      <c r="K298" s="283"/>
      <c r="L298" s="309">
        <f t="shared" si="40"/>
        <v>0</v>
      </c>
    </row>
    <row r="299" spans="1:12" x14ac:dyDescent="0.25">
      <c r="A299" s="262"/>
      <c r="B299" s="262"/>
      <c r="C299" s="263"/>
      <c r="D299" s="281"/>
      <c r="E299" s="282"/>
      <c r="F299" s="287"/>
      <c r="G299" s="283"/>
      <c r="H299" s="309">
        <f t="shared" si="41"/>
        <v>0</v>
      </c>
      <c r="I299" s="282"/>
      <c r="J299" s="287"/>
      <c r="K299" s="283"/>
      <c r="L299" s="309">
        <f t="shared" si="40"/>
        <v>0</v>
      </c>
    </row>
    <row r="300" spans="1:12" s="235" customFormat="1" x14ac:dyDescent="0.25">
      <c r="A300" s="262"/>
      <c r="B300" s="262"/>
      <c r="C300" s="263"/>
      <c r="D300" s="281"/>
      <c r="E300" s="282"/>
      <c r="F300" s="283"/>
      <c r="G300" s="283"/>
      <c r="H300" s="284">
        <f t="shared" si="41"/>
        <v>0</v>
      </c>
      <c r="I300" s="282"/>
      <c r="J300" s="283"/>
      <c r="K300" s="283"/>
      <c r="L300" s="284">
        <f t="shared" si="40"/>
        <v>0</v>
      </c>
    </row>
    <row r="301" spans="1:12" s="235" customFormat="1" x14ac:dyDescent="0.25">
      <c r="A301" s="262"/>
      <c r="B301" s="262"/>
      <c r="C301" s="263"/>
      <c r="D301" s="281"/>
      <c r="E301" s="282"/>
      <c r="F301" s="283"/>
      <c r="G301" s="283"/>
      <c r="H301" s="284">
        <f t="shared" si="41"/>
        <v>0</v>
      </c>
      <c r="I301" s="282"/>
      <c r="J301" s="283"/>
      <c r="K301" s="283"/>
      <c r="L301" s="284">
        <f t="shared" si="40"/>
        <v>0</v>
      </c>
    </row>
    <row r="302" spans="1:12" s="235" customFormat="1" x14ac:dyDescent="0.25">
      <c r="A302" s="262"/>
      <c r="B302" s="262"/>
      <c r="C302" s="263"/>
      <c r="D302" s="281"/>
      <c r="E302" s="282"/>
      <c r="F302" s="283"/>
      <c r="G302" s="283"/>
      <c r="H302" s="284">
        <f t="shared" si="41"/>
        <v>0</v>
      </c>
      <c r="I302" s="282"/>
      <c r="J302" s="283"/>
      <c r="K302" s="283"/>
      <c r="L302" s="284">
        <f t="shared" si="40"/>
        <v>0</v>
      </c>
    </row>
    <row r="303" spans="1:12" s="235" customFormat="1" x14ac:dyDescent="0.25">
      <c r="A303" s="262"/>
      <c r="B303" s="262"/>
      <c r="C303" s="263"/>
      <c r="D303" s="281"/>
      <c r="E303" s="282"/>
      <c r="F303" s="283"/>
      <c r="G303" s="283"/>
      <c r="H303" s="284">
        <f t="shared" si="41"/>
        <v>0</v>
      </c>
      <c r="I303" s="282"/>
      <c r="J303" s="283"/>
      <c r="K303" s="283"/>
      <c r="L303" s="284">
        <f t="shared" si="40"/>
        <v>0</v>
      </c>
    </row>
    <row r="304" spans="1:12" s="235" customFormat="1" x14ac:dyDescent="0.25">
      <c r="A304" s="262"/>
      <c r="B304" s="262"/>
      <c r="C304" s="263"/>
      <c r="D304" s="281"/>
      <c r="E304" s="282"/>
      <c r="F304" s="283"/>
      <c r="G304" s="283"/>
      <c r="H304" s="284">
        <f t="shared" si="41"/>
        <v>0</v>
      </c>
      <c r="I304" s="282"/>
      <c r="J304" s="283"/>
      <c r="K304" s="283"/>
      <c r="L304" s="284">
        <f t="shared" si="40"/>
        <v>0</v>
      </c>
    </row>
    <row r="305" spans="1:12" s="235" customFormat="1" x14ac:dyDescent="0.25">
      <c r="A305" s="262"/>
      <c r="B305" s="262"/>
      <c r="C305" s="263"/>
      <c r="D305" s="281"/>
      <c r="E305" s="282"/>
      <c r="F305" s="283"/>
      <c r="G305" s="283"/>
      <c r="H305" s="284">
        <f t="shared" si="39"/>
        <v>0</v>
      </c>
      <c r="I305" s="282"/>
      <c r="J305" s="283"/>
      <c r="K305" s="283"/>
      <c r="L305" s="284">
        <f t="shared" si="40"/>
        <v>0</v>
      </c>
    </row>
    <row r="306" spans="1:12" x14ac:dyDescent="0.25">
      <c r="A306" s="262"/>
      <c r="B306" s="262"/>
      <c r="C306" s="275"/>
      <c r="D306" s="236"/>
      <c r="E306" s="264"/>
      <c r="F306" s="318"/>
      <c r="G306" s="318"/>
      <c r="H306" s="267">
        <f t="shared" si="39"/>
        <v>0</v>
      </c>
      <c r="I306" s="264"/>
      <c r="J306" s="318"/>
      <c r="K306" s="318"/>
      <c r="L306" s="267">
        <f t="shared" si="40"/>
        <v>0</v>
      </c>
    </row>
    <row r="307" spans="1:12" x14ac:dyDescent="0.25">
      <c r="A307" s="262"/>
      <c r="B307" s="262"/>
      <c r="C307" s="275"/>
      <c r="D307" s="236"/>
      <c r="E307" s="264"/>
      <c r="F307" s="318"/>
      <c r="G307" s="318"/>
      <c r="H307" s="267">
        <f t="shared" si="39"/>
        <v>0</v>
      </c>
      <c r="I307" s="264"/>
      <c r="J307" s="318"/>
      <c r="K307" s="318"/>
      <c r="L307" s="267">
        <f t="shared" si="40"/>
        <v>0</v>
      </c>
    </row>
    <row r="308" spans="1:12" x14ac:dyDescent="0.25">
      <c r="A308" s="262"/>
      <c r="B308" s="262"/>
      <c r="C308" s="275"/>
      <c r="D308" s="236"/>
      <c r="E308" s="264"/>
      <c r="F308" s="318"/>
      <c r="G308" s="318"/>
      <c r="H308" s="267">
        <f t="shared" si="39"/>
        <v>0</v>
      </c>
      <c r="I308" s="264"/>
      <c r="J308" s="318"/>
      <c r="K308" s="318"/>
      <c r="L308" s="267">
        <f t="shared" si="40"/>
        <v>0</v>
      </c>
    </row>
    <row r="309" spans="1:12" x14ac:dyDescent="0.25">
      <c r="A309" s="262"/>
      <c r="B309" s="262"/>
      <c r="C309" s="275"/>
      <c r="D309" s="236"/>
      <c r="E309" s="264"/>
      <c r="F309" s="318"/>
      <c r="G309" s="318"/>
      <c r="H309" s="267">
        <f t="shared" si="39"/>
        <v>0</v>
      </c>
      <c r="I309" s="264"/>
      <c r="J309" s="318"/>
      <c r="K309" s="318"/>
      <c r="L309" s="267">
        <f t="shared" si="40"/>
        <v>0</v>
      </c>
    </row>
    <row r="310" spans="1:12" s="235" customFormat="1" x14ac:dyDescent="0.25">
      <c r="A310" s="262"/>
      <c r="B310" s="262"/>
      <c r="C310" s="286"/>
      <c r="D310" s="281"/>
      <c r="E310" s="282"/>
      <c r="F310" s="287"/>
      <c r="G310" s="283"/>
      <c r="H310" s="267">
        <f>F310*G310</f>
        <v>0</v>
      </c>
      <c r="I310" s="282"/>
      <c r="J310" s="287"/>
      <c r="K310" s="283"/>
      <c r="L310" s="267">
        <f>J310*K310</f>
        <v>0</v>
      </c>
    </row>
    <row r="311" spans="1:12" s="235" customFormat="1" ht="15.75" thickBot="1" x14ac:dyDescent="0.3">
      <c r="A311" s="285"/>
      <c r="B311" s="262"/>
      <c r="C311" s="286"/>
      <c r="D311" s="281"/>
      <c r="E311" s="282"/>
      <c r="F311" s="287"/>
      <c r="G311" s="283"/>
      <c r="H311" s="267">
        <f>F311*G311</f>
        <v>0</v>
      </c>
      <c r="I311" s="282"/>
      <c r="J311" s="287"/>
      <c r="K311" s="283"/>
      <c r="L311" s="267">
        <f>J311*K311</f>
        <v>0</v>
      </c>
    </row>
    <row r="312" spans="1:12" ht="15.75" thickBot="1" x14ac:dyDescent="0.3">
      <c r="A312" s="288"/>
      <c r="B312" s="288"/>
      <c r="C312" s="263"/>
      <c r="D312" s="294" t="s">
        <v>0</v>
      </c>
      <c r="E312" s="295"/>
      <c r="F312" s="296">
        <f>SUM(F295:F311)</f>
        <v>0</v>
      </c>
      <c r="G312" s="297" t="e">
        <f>H312/F312</f>
        <v>#DIV/0!</v>
      </c>
      <c r="H312" s="298">
        <f>SUM(H295:H311)</f>
        <v>0</v>
      </c>
      <c r="I312" s="295"/>
      <c r="J312" s="296">
        <f>SUM(J295:J311)</f>
        <v>0</v>
      </c>
      <c r="K312" s="297" t="e">
        <f>L312/J312</f>
        <v>#DIV/0!</v>
      </c>
      <c r="L312" s="298">
        <f>SUM(L295:L311)</f>
        <v>0</v>
      </c>
    </row>
    <row r="313" spans="1:12" ht="15.75" thickBot="1" x14ac:dyDescent="0.3">
      <c r="A313" s="299"/>
      <c r="B313" s="299"/>
      <c r="C313" s="299"/>
      <c r="D313" s="300"/>
      <c r="E313" s="301"/>
      <c r="F313" s="301"/>
      <c r="G313" s="302"/>
      <c r="H313" s="303"/>
      <c r="I313" s="301"/>
      <c r="J313" s="301"/>
      <c r="K313" s="302"/>
      <c r="L313" s="303"/>
    </row>
    <row r="314" spans="1:12" x14ac:dyDescent="0.25">
      <c r="A314" s="288"/>
      <c r="B314" s="288"/>
      <c r="C314" s="263"/>
      <c r="D314" s="276"/>
      <c r="E314" s="277"/>
      <c r="F314" s="265"/>
      <c r="G314" s="279"/>
      <c r="H314" s="280">
        <f>F314*G314</f>
        <v>0</v>
      </c>
      <c r="I314" s="277"/>
      <c r="J314" s="265"/>
      <c r="K314" s="279"/>
      <c r="L314" s="280">
        <f>J314*K314</f>
        <v>0</v>
      </c>
    </row>
    <row r="315" spans="1:12" x14ac:dyDescent="0.25">
      <c r="A315" s="262"/>
      <c r="B315" s="262"/>
      <c r="C315" s="370"/>
      <c r="D315" s="236">
        <f>D296+1</f>
        <v>45402</v>
      </c>
      <c r="E315" s="310"/>
      <c r="F315" s="265"/>
      <c r="G315" s="266"/>
      <c r="H315" s="267">
        <f>F315*G315</f>
        <v>0</v>
      </c>
      <c r="I315" s="310"/>
      <c r="J315" s="265"/>
      <c r="K315" s="266"/>
      <c r="L315" s="267">
        <f>J315*K315</f>
        <v>0</v>
      </c>
    </row>
    <row r="316" spans="1:12" x14ac:dyDescent="0.25">
      <c r="A316" s="262"/>
      <c r="B316" s="262"/>
      <c r="C316" s="286"/>
      <c r="D316" s="281"/>
      <c r="E316" s="282"/>
      <c r="F316" s="287"/>
      <c r="G316" s="283"/>
      <c r="H316" s="309">
        <f>F316*G316</f>
        <v>0</v>
      </c>
      <c r="I316" s="282"/>
      <c r="J316" s="287"/>
      <c r="K316" s="283"/>
      <c r="L316" s="309">
        <f>J316*K316</f>
        <v>0</v>
      </c>
    </row>
    <row r="317" spans="1:12" s="235" customFormat="1" x14ac:dyDescent="0.25">
      <c r="A317" s="262"/>
      <c r="B317" s="262"/>
      <c r="C317" s="263"/>
      <c r="D317" s="281"/>
      <c r="E317" s="282"/>
      <c r="F317" s="283"/>
      <c r="G317" s="283"/>
      <c r="H317" s="284">
        <f t="shared" ref="H317:H324" si="42">F317*G317</f>
        <v>0</v>
      </c>
      <c r="I317" s="282"/>
      <c r="J317" s="283"/>
      <c r="K317" s="283"/>
      <c r="L317" s="284">
        <f t="shared" ref="L317:L324" si="43">J317*K317</f>
        <v>0</v>
      </c>
    </row>
    <row r="318" spans="1:12" s="235" customFormat="1" x14ac:dyDescent="0.25">
      <c r="A318" s="262"/>
      <c r="B318" s="262"/>
      <c r="C318" s="263"/>
      <c r="D318" s="281"/>
      <c r="E318" s="282"/>
      <c r="F318" s="283"/>
      <c r="G318" s="283"/>
      <c r="H318" s="284">
        <f t="shared" si="42"/>
        <v>0</v>
      </c>
      <c r="I318" s="282"/>
      <c r="J318" s="283"/>
      <c r="K318" s="283"/>
      <c r="L318" s="284">
        <f t="shared" si="43"/>
        <v>0</v>
      </c>
    </row>
    <row r="319" spans="1:12" s="235" customFormat="1" x14ac:dyDescent="0.25">
      <c r="A319" s="262"/>
      <c r="B319" s="262"/>
      <c r="C319" s="263"/>
      <c r="D319" s="281"/>
      <c r="E319" s="282"/>
      <c r="F319" s="283"/>
      <c r="G319" s="283"/>
      <c r="H319" s="284">
        <f t="shared" si="42"/>
        <v>0</v>
      </c>
      <c r="I319" s="282"/>
      <c r="J319" s="283"/>
      <c r="K319" s="283"/>
      <c r="L319" s="284">
        <f t="shared" si="43"/>
        <v>0</v>
      </c>
    </row>
    <row r="320" spans="1:12" x14ac:dyDescent="0.25">
      <c r="A320" s="262"/>
      <c r="B320" s="262"/>
      <c r="C320" s="275"/>
      <c r="D320" s="236"/>
      <c r="E320" s="264"/>
      <c r="F320" s="318"/>
      <c r="G320" s="318"/>
      <c r="H320" s="267">
        <f t="shared" si="42"/>
        <v>0</v>
      </c>
      <c r="I320" s="264"/>
      <c r="J320" s="318"/>
      <c r="K320" s="318"/>
      <c r="L320" s="267">
        <f t="shared" si="43"/>
        <v>0</v>
      </c>
    </row>
    <row r="321" spans="1:12" s="235" customFormat="1" x14ac:dyDescent="0.25">
      <c r="A321" s="262"/>
      <c r="B321" s="262"/>
      <c r="C321" s="263"/>
      <c r="D321" s="281"/>
      <c r="E321" s="282"/>
      <c r="F321" s="283"/>
      <c r="G321" s="283"/>
      <c r="H321" s="284">
        <f t="shared" si="42"/>
        <v>0</v>
      </c>
      <c r="I321" s="282"/>
      <c r="J321" s="283"/>
      <c r="K321" s="283"/>
      <c r="L321" s="284">
        <f t="shared" si="43"/>
        <v>0</v>
      </c>
    </row>
    <row r="322" spans="1:12" s="235" customFormat="1" x14ac:dyDescent="0.25">
      <c r="A322" s="262"/>
      <c r="B322" s="262"/>
      <c r="C322" s="286"/>
      <c r="D322" s="281"/>
      <c r="E322" s="282"/>
      <c r="F322" s="287"/>
      <c r="G322" s="283"/>
      <c r="H322" s="267">
        <f t="shared" si="42"/>
        <v>0</v>
      </c>
      <c r="I322" s="282"/>
      <c r="J322" s="287"/>
      <c r="K322" s="283"/>
      <c r="L322" s="267">
        <f t="shared" si="43"/>
        <v>0</v>
      </c>
    </row>
    <row r="323" spans="1:12" s="235" customFormat="1" x14ac:dyDescent="0.25">
      <c r="A323" s="262"/>
      <c r="B323" s="262"/>
      <c r="C323" s="263"/>
      <c r="D323" s="281"/>
      <c r="E323" s="282"/>
      <c r="F323" s="283"/>
      <c r="G323" s="283"/>
      <c r="H323" s="284">
        <f t="shared" si="42"/>
        <v>0</v>
      </c>
      <c r="I323" s="282"/>
      <c r="J323" s="283"/>
      <c r="K323" s="283"/>
      <c r="L323" s="284">
        <f t="shared" si="43"/>
        <v>0</v>
      </c>
    </row>
    <row r="324" spans="1:12" x14ac:dyDescent="0.25">
      <c r="A324" s="262"/>
      <c r="B324" s="262"/>
      <c r="C324" s="275"/>
      <c r="D324" s="325"/>
      <c r="E324" s="282"/>
      <c r="F324" s="265"/>
      <c r="G324" s="266"/>
      <c r="H324" s="267">
        <f t="shared" si="42"/>
        <v>0</v>
      </c>
      <c r="I324" s="282"/>
      <c r="J324" s="265"/>
      <c r="K324" s="266"/>
      <c r="L324" s="267">
        <f t="shared" si="43"/>
        <v>0</v>
      </c>
    </row>
    <row r="325" spans="1:12" s="235" customFormat="1" x14ac:dyDescent="0.25">
      <c r="A325" s="285"/>
      <c r="B325" s="262"/>
      <c r="C325" s="286"/>
      <c r="D325" s="281"/>
      <c r="E325" s="282"/>
      <c r="F325" s="287"/>
      <c r="G325" s="283"/>
      <c r="H325" s="267">
        <f>F325*G325</f>
        <v>0</v>
      </c>
      <c r="I325" s="282"/>
      <c r="J325" s="287"/>
      <c r="K325" s="283"/>
      <c r="L325" s="267">
        <f>J325*K325</f>
        <v>0</v>
      </c>
    </row>
    <row r="326" spans="1:12" x14ac:dyDescent="0.25">
      <c r="A326" s="262"/>
      <c r="B326" s="262"/>
      <c r="C326" s="286"/>
      <c r="D326" s="325"/>
      <c r="E326" s="282"/>
      <c r="F326" s="265"/>
      <c r="G326" s="283"/>
      <c r="H326" s="267">
        <f>F326*G326</f>
        <v>0</v>
      </c>
      <c r="I326" s="282"/>
      <c r="J326" s="265"/>
      <c r="K326" s="283"/>
      <c r="L326" s="267">
        <f>J326*K326</f>
        <v>0</v>
      </c>
    </row>
    <row r="327" spans="1:12" ht="15.75" thickBot="1" x14ac:dyDescent="0.3">
      <c r="A327" s="262"/>
      <c r="B327" s="262"/>
      <c r="C327" s="263"/>
      <c r="D327" s="289"/>
      <c r="E327" s="290"/>
      <c r="F327" s="265"/>
      <c r="G327" s="292"/>
      <c r="H327" s="293">
        <f>F327*G327</f>
        <v>0</v>
      </c>
      <c r="I327" s="290"/>
      <c r="J327" s="265"/>
      <c r="K327" s="292"/>
      <c r="L327" s="293">
        <f>J327*K327</f>
        <v>0</v>
      </c>
    </row>
    <row r="328" spans="1:12" ht="15.75" thickBot="1" x14ac:dyDescent="0.3">
      <c r="A328" s="288"/>
      <c r="B328" s="288"/>
      <c r="C328" s="263"/>
      <c r="D328" s="294" t="s">
        <v>0</v>
      </c>
      <c r="E328" s="295"/>
      <c r="F328" s="296">
        <f>SUM(F314:F327)</f>
        <v>0</v>
      </c>
      <c r="G328" s="297" t="e">
        <f>H328/F328</f>
        <v>#DIV/0!</v>
      </c>
      <c r="H328" s="298">
        <f>SUM(H314:H327)</f>
        <v>0</v>
      </c>
      <c r="I328" s="295"/>
      <c r="J328" s="296">
        <f>SUM(J314:J327)</f>
        <v>0</v>
      </c>
      <c r="K328" s="297" t="e">
        <f>L328/J328</f>
        <v>#DIV/0!</v>
      </c>
      <c r="L328" s="298">
        <f>SUM(L314:L327)</f>
        <v>0</v>
      </c>
    </row>
    <row r="329" spans="1:12" ht="15.75" thickBot="1" x14ac:dyDescent="0.3">
      <c r="A329" s="299"/>
      <c r="B329" s="299"/>
      <c r="C329" s="299"/>
      <c r="D329" s="300"/>
      <c r="E329" s="301"/>
      <c r="F329" s="301"/>
      <c r="G329" s="302"/>
      <c r="H329" s="303"/>
      <c r="I329" s="301"/>
      <c r="J329" s="301"/>
      <c r="K329" s="302"/>
      <c r="L329" s="303"/>
    </row>
    <row r="330" spans="1:12" x14ac:dyDescent="0.25">
      <c r="A330" s="288"/>
      <c r="B330" s="288"/>
      <c r="C330" s="263"/>
      <c r="D330" s="276"/>
      <c r="E330" s="277"/>
      <c r="F330" s="278"/>
      <c r="G330" s="279"/>
      <c r="H330" s="280">
        <f t="shared" ref="H330:H341" si="44">F330*G330</f>
        <v>0</v>
      </c>
      <c r="I330" s="277"/>
      <c r="J330" s="278"/>
      <c r="K330" s="279"/>
      <c r="L330" s="280">
        <f t="shared" ref="L330:L336" si="45">J330*K330</f>
        <v>0</v>
      </c>
    </row>
    <row r="331" spans="1:12" x14ac:dyDescent="0.25">
      <c r="A331" s="262"/>
      <c r="B331" s="262"/>
      <c r="C331" s="275"/>
      <c r="D331" s="236">
        <f>D315+1</f>
        <v>45403</v>
      </c>
      <c r="E331" s="264"/>
      <c r="F331" s="265"/>
      <c r="G331" s="266"/>
      <c r="H331" s="267">
        <f t="shared" si="44"/>
        <v>0</v>
      </c>
      <c r="I331" s="264"/>
      <c r="J331" s="265"/>
      <c r="K331" s="266"/>
      <c r="L331" s="267">
        <f t="shared" si="45"/>
        <v>0</v>
      </c>
    </row>
    <row r="332" spans="1:12" s="235" customFormat="1" x14ac:dyDescent="0.25">
      <c r="A332" s="262"/>
      <c r="B332" s="262"/>
      <c r="C332" s="263"/>
      <c r="D332" s="281"/>
      <c r="E332" s="282"/>
      <c r="F332" s="283"/>
      <c r="G332" s="283"/>
      <c r="H332" s="284">
        <f t="shared" si="44"/>
        <v>0</v>
      </c>
      <c r="I332" s="282"/>
      <c r="J332" s="283"/>
      <c r="K332" s="283"/>
      <c r="L332" s="284">
        <f t="shared" si="45"/>
        <v>0</v>
      </c>
    </row>
    <row r="333" spans="1:12" s="235" customFormat="1" x14ac:dyDescent="0.25">
      <c r="A333" s="262"/>
      <c r="B333" s="262"/>
      <c r="C333" s="263"/>
      <c r="D333" s="281"/>
      <c r="E333" s="282"/>
      <c r="F333" s="283"/>
      <c r="G333" s="283"/>
      <c r="H333" s="284">
        <f t="shared" si="44"/>
        <v>0</v>
      </c>
      <c r="I333" s="282"/>
      <c r="J333" s="283"/>
      <c r="K333" s="283"/>
      <c r="L333" s="284">
        <f t="shared" si="45"/>
        <v>0</v>
      </c>
    </row>
    <row r="334" spans="1:12" s="235" customFormat="1" x14ac:dyDescent="0.25">
      <c r="A334" s="262"/>
      <c r="B334" s="262"/>
      <c r="C334" s="263"/>
      <c r="D334" s="281"/>
      <c r="E334" s="282"/>
      <c r="F334" s="283"/>
      <c r="G334" s="283"/>
      <c r="H334" s="284">
        <f t="shared" si="44"/>
        <v>0</v>
      </c>
      <c r="I334" s="282"/>
      <c r="J334" s="283"/>
      <c r="K334" s="283"/>
      <c r="L334" s="284">
        <f t="shared" si="45"/>
        <v>0</v>
      </c>
    </row>
    <row r="335" spans="1:12" s="235" customFormat="1" x14ac:dyDescent="0.25">
      <c r="A335" s="262"/>
      <c r="B335" s="262"/>
      <c r="C335" s="263"/>
      <c r="D335" s="281"/>
      <c r="E335" s="282"/>
      <c r="F335" s="283"/>
      <c r="G335" s="283"/>
      <c r="H335" s="284">
        <f t="shared" si="44"/>
        <v>0</v>
      </c>
      <c r="I335" s="282"/>
      <c r="J335" s="283"/>
      <c r="K335" s="283"/>
      <c r="L335" s="284">
        <f t="shared" si="45"/>
        <v>0</v>
      </c>
    </row>
    <row r="336" spans="1:12" s="235" customFormat="1" x14ac:dyDescent="0.25">
      <c r="A336" s="262"/>
      <c r="B336" s="262"/>
      <c r="C336" s="263"/>
      <c r="D336" s="281"/>
      <c r="E336" s="282"/>
      <c r="F336" s="283"/>
      <c r="G336" s="283"/>
      <c r="H336" s="284">
        <f t="shared" si="44"/>
        <v>0</v>
      </c>
      <c r="I336" s="282"/>
      <c r="J336" s="283"/>
      <c r="K336" s="283"/>
      <c r="L336" s="284">
        <f t="shared" si="45"/>
        <v>0</v>
      </c>
    </row>
    <row r="337" spans="1:12" s="235" customFormat="1" x14ac:dyDescent="0.25">
      <c r="A337" s="262"/>
      <c r="B337" s="262"/>
      <c r="C337" s="263"/>
      <c r="D337" s="281"/>
      <c r="E337" s="282"/>
      <c r="F337" s="283"/>
      <c r="G337" s="283"/>
      <c r="H337" s="284">
        <f>F337*G337</f>
        <v>0</v>
      </c>
      <c r="I337" s="282"/>
      <c r="J337" s="283"/>
      <c r="K337" s="283"/>
      <c r="L337" s="284">
        <f>J337*K337</f>
        <v>0</v>
      </c>
    </row>
    <row r="338" spans="1:12" x14ac:dyDescent="0.25">
      <c r="A338" s="262"/>
      <c r="B338" s="262"/>
      <c r="C338" s="275"/>
      <c r="D338" s="236"/>
      <c r="E338" s="264"/>
      <c r="F338" s="318"/>
      <c r="G338" s="318"/>
      <c r="H338" s="267">
        <f t="shared" si="44"/>
        <v>0</v>
      </c>
      <c r="I338" s="264"/>
      <c r="J338" s="318"/>
      <c r="K338" s="318"/>
      <c r="L338" s="267">
        <f t="shared" ref="L338" si="46">J338*K338</f>
        <v>0</v>
      </c>
    </row>
    <row r="339" spans="1:12" x14ac:dyDescent="0.25">
      <c r="A339" s="262"/>
      <c r="B339" s="262"/>
      <c r="C339" s="275"/>
      <c r="D339" s="236"/>
      <c r="E339" s="264"/>
      <c r="F339" s="318"/>
      <c r="G339" s="318"/>
      <c r="H339" s="267">
        <f>F339*G339</f>
        <v>0</v>
      </c>
      <c r="I339" s="264"/>
      <c r="J339" s="318"/>
      <c r="K339" s="318"/>
      <c r="L339" s="267">
        <f>J339*K339</f>
        <v>0</v>
      </c>
    </row>
    <row r="340" spans="1:12" s="235" customFormat="1" x14ac:dyDescent="0.25">
      <c r="A340" s="262"/>
      <c r="B340" s="262"/>
      <c r="C340" s="286"/>
      <c r="D340" s="281"/>
      <c r="E340" s="282"/>
      <c r="F340" s="287"/>
      <c r="G340" s="283"/>
      <c r="H340" s="267">
        <f>F340*G340</f>
        <v>0</v>
      </c>
      <c r="I340" s="282"/>
      <c r="J340" s="287"/>
      <c r="K340" s="283"/>
      <c r="L340" s="267">
        <f>J340*K340</f>
        <v>0</v>
      </c>
    </row>
    <row r="341" spans="1:12" x14ac:dyDescent="0.25">
      <c r="A341" s="285"/>
      <c r="B341" s="262"/>
      <c r="C341" s="286"/>
      <c r="D341" s="281"/>
      <c r="E341" s="282"/>
      <c r="F341" s="287"/>
      <c r="G341" s="283"/>
      <c r="H341" s="309">
        <f t="shared" si="44"/>
        <v>0</v>
      </c>
      <c r="I341" s="282"/>
      <c r="J341" s="287"/>
      <c r="K341" s="283"/>
      <c r="L341" s="309">
        <f t="shared" ref="L341" si="47">J341*K341</f>
        <v>0</v>
      </c>
    </row>
    <row r="342" spans="1:12" ht="15.75" thickBot="1" x14ac:dyDescent="0.3">
      <c r="A342" s="285"/>
      <c r="B342" s="262"/>
      <c r="C342" s="286"/>
      <c r="D342" s="281"/>
      <c r="E342" s="282"/>
      <c r="F342" s="287"/>
      <c r="G342" s="283"/>
      <c r="H342" s="309">
        <f>F342*G342</f>
        <v>0</v>
      </c>
      <c r="I342" s="282"/>
      <c r="J342" s="287"/>
      <c r="K342" s="283"/>
      <c r="L342" s="309">
        <f>J342*K342</f>
        <v>0</v>
      </c>
    </row>
    <row r="343" spans="1:12" ht="15.75" thickBot="1" x14ac:dyDescent="0.3">
      <c r="A343" s="288"/>
      <c r="B343" s="288"/>
      <c r="C343" s="263"/>
      <c r="D343" s="294" t="s">
        <v>0</v>
      </c>
      <c r="E343" s="295"/>
      <c r="F343" s="296">
        <f>SUM(F330:F342)</f>
        <v>0</v>
      </c>
      <c r="G343" s="297" t="e">
        <f>H343/F343</f>
        <v>#DIV/0!</v>
      </c>
      <c r="H343" s="298">
        <f>SUM(H330:H342)</f>
        <v>0</v>
      </c>
      <c r="I343" s="295"/>
      <c r="J343" s="296">
        <f>SUM(J330:J342)</f>
        <v>0</v>
      </c>
      <c r="K343" s="297" t="e">
        <f>L343/J343</f>
        <v>#DIV/0!</v>
      </c>
      <c r="L343" s="298">
        <f>SUM(L330:L342)</f>
        <v>0</v>
      </c>
    </row>
    <row r="344" spans="1:12" ht="15.75" thickBot="1" x14ac:dyDescent="0.3">
      <c r="A344" s="299"/>
      <c r="B344" s="299"/>
      <c r="C344" s="299"/>
      <c r="D344" s="300"/>
      <c r="E344" s="301"/>
      <c r="F344" s="301"/>
      <c r="G344" s="302"/>
      <c r="H344" s="303"/>
      <c r="I344" s="301"/>
      <c r="J344" s="301"/>
      <c r="K344" s="302"/>
      <c r="L344" s="303"/>
    </row>
    <row r="345" spans="1:12" x14ac:dyDescent="0.25">
      <c r="A345" s="288"/>
      <c r="B345" s="288"/>
      <c r="C345" s="263"/>
      <c r="D345" s="276"/>
      <c r="E345" s="277"/>
      <c r="F345" s="278"/>
      <c r="G345" s="279"/>
      <c r="H345" s="280">
        <f t="shared" ref="H345:H357" si="48">F345*G345</f>
        <v>0</v>
      </c>
      <c r="I345" s="277"/>
      <c r="J345" s="278"/>
      <c r="K345" s="279"/>
      <c r="L345" s="280">
        <f t="shared" ref="L345:L349" si="49">J345*K345</f>
        <v>0</v>
      </c>
    </row>
    <row r="346" spans="1:12" x14ac:dyDescent="0.25">
      <c r="A346" s="262"/>
      <c r="B346" s="262"/>
      <c r="C346" s="275"/>
      <c r="D346" s="236">
        <f>D331+1</f>
        <v>45404</v>
      </c>
      <c r="E346" s="264"/>
      <c r="F346" s="265"/>
      <c r="G346" s="266"/>
      <c r="H346" s="267">
        <f t="shared" si="48"/>
        <v>0</v>
      </c>
      <c r="I346" s="264"/>
      <c r="J346" s="265"/>
      <c r="K346" s="266"/>
      <c r="L346" s="267">
        <f t="shared" si="49"/>
        <v>0</v>
      </c>
    </row>
    <row r="347" spans="1:12" x14ac:dyDescent="0.25">
      <c r="A347" s="262"/>
      <c r="B347" s="262"/>
      <c r="C347" s="286"/>
      <c r="D347" s="281"/>
      <c r="E347" s="282"/>
      <c r="F347" s="287"/>
      <c r="G347" s="283"/>
      <c r="H347" s="309">
        <f t="shared" si="48"/>
        <v>0</v>
      </c>
      <c r="I347" s="282"/>
      <c r="J347" s="287"/>
      <c r="K347" s="283"/>
      <c r="L347" s="309">
        <f t="shared" si="49"/>
        <v>0</v>
      </c>
    </row>
    <row r="348" spans="1:12" s="235" customFormat="1" x14ac:dyDescent="0.25">
      <c r="A348" s="262"/>
      <c r="B348" s="262"/>
      <c r="C348" s="263"/>
      <c r="D348" s="281"/>
      <c r="E348" s="282"/>
      <c r="F348" s="283"/>
      <c r="G348" s="283"/>
      <c r="H348" s="284">
        <f t="shared" si="48"/>
        <v>0</v>
      </c>
      <c r="I348" s="282"/>
      <c r="J348" s="283"/>
      <c r="K348" s="283"/>
      <c r="L348" s="284">
        <f t="shared" si="49"/>
        <v>0</v>
      </c>
    </row>
    <row r="349" spans="1:12" s="235" customFormat="1" x14ac:dyDescent="0.25">
      <c r="A349" s="262"/>
      <c r="B349" s="262"/>
      <c r="C349" s="263"/>
      <c r="D349" s="281"/>
      <c r="E349" s="282"/>
      <c r="F349" s="283"/>
      <c r="G349" s="283"/>
      <c r="H349" s="284">
        <f t="shared" si="48"/>
        <v>0</v>
      </c>
      <c r="I349" s="282"/>
      <c r="J349" s="283"/>
      <c r="K349" s="283"/>
      <c r="L349" s="284">
        <f t="shared" si="49"/>
        <v>0</v>
      </c>
    </row>
    <row r="350" spans="1:12" s="235" customFormat="1" x14ac:dyDescent="0.25">
      <c r="A350" s="262"/>
      <c r="B350" s="262"/>
      <c r="C350" s="263"/>
      <c r="D350" s="281"/>
      <c r="E350" s="282"/>
      <c r="F350" s="283"/>
      <c r="G350" s="283"/>
      <c r="H350" s="284">
        <f>F350*G350</f>
        <v>0</v>
      </c>
      <c r="I350" s="282"/>
      <c r="J350" s="283"/>
      <c r="K350" s="283"/>
      <c r="L350" s="284">
        <f>J350*K350</f>
        <v>0</v>
      </c>
    </row>
    <row r="351" spans="1:12" x14ac:dyDescent="0.25">
      <c r="A351" s="262"/>
      <c r="B351" s="262"/>
      <c r="C351" s="275"/>
      <c r="D351" s="236"/>
      <c r="E351" s="264"/>
      <c r="F351" s="318"/>
      <c r="G351" s="318"/>
      <c r="H351" s="267">
        <f t="shared" si="48"/>
        <v>0</v>
      </c>
      <c r="I351" s="264"/>
      <c r="J351" s="318"/>
      <c r="K351" s="318"/>
      <c r="L351" s="267">
        <f t="shared" ref="L351:L353" si="50">J351*K351</f>
        <v>0</v>
      </c>
    </row>
    <row r="352" spans="1:12" x14ac:dyDescent="0.25">
      <c r="A352" s="262"/>
      <c r="B352" s="262"/>
      <c r="C352" s="275"/>
      <c r="D352" s="236"/>
      <c r="E352" s="264"/>
      <c r="F352" s="318"/>
      <c r="G352" s="318"/>
      <c r="H352" s="267">
        <f t="shared" si="48"/>
        <v>0</v>
      </c>
      <c r="I352" s="264"/>
      <c r="J352" s="318"/>
      <c r="K352" s="318"/>
      <c r="L352" s="267">
        <f t="shared" si="50"/>
        <v>0</v>
      </c>
    </row>
    <row r="353" spans="1:12" x14ac:dyDescent="0.25">
      <c r="A353" s="262"/>
      <c r="B353" s="262"/>
      <c r="C353" s="275"/>
      <c r="D353" s="236"/>
      <c r="E353" s="264"/>
      <c r="F353" s="318"/>
      <c r="G353" s="318"/>
      <c r="H353" s="267">
        <f t="shared" si="48"/>
        <v>0</v>
      </c>
      <c r="I353" s="264"/>
      <c r="J353" s="318"/>
      <c r="K353" s="318"/>
      <c r="L353" s="267">
        <f t="shared" si="50"/>
        <v>0</v>
      </c>
    </row>
    <row r="354" spans="1:12" s="235" customFormat="1" x14ac:dyDescent="0.25">
      <c r="A354" s="262"/>
      <c r="B354" s="262"/>
      <c r="C354" s="286"/>
      <c r="D354" s="281"/>
      <c r="E354" s="282"/>
      <c r="F354" s="287"/>
      <c r="G354" s="283"/>
      <c r="H354" s="267">
        <f>F354*G354</f>
        <v>0</v>
      </c>
      <c r="I354" s="282"/>
      <c r="J354" s="287"/>
      <c r="K354" s="283"/>
      <c r="L354" s="267">
        <f>J354*K354</f>
        <v>0</v>
      </c>
    </row>
    <row r="355" spans="1:12" x14ac:dyDescent="0.25">
      <c r="A355" s="262"/>
      <c r="B355" s="262"/>
      <c r="C355" s="275"/>
      <c r="D355" s="236"/>
      <c r="E355" s="264"/>
      <c r="F355" s="265"/>
      <c r="G355" s="266"/>
      <c r="H355" s="267">
        <f t="shared" si="48"/>
        <v>0</v>
      </c>
      <c r="I355" s="264"/>
      <c r="J355" s="265"/>
      <c r="K355" s="266"/>
      <c r="L355" s="267">
        <f t="shared" ref="L355:L357" si="51">J355*K355</f>
        <v>0</v>
      </c>
    </row>
    <row r="356" spans="1:12" x14ac:dyDescent="0.25">
      <c r="A356" s="262"/>
      <c r="B356" s="288"/>
      <c r="C356" s="275"/>
      <c r="D356" s="305"/>
      <c r="E356" s="264"/>
      <c r="F356" s="265"/>
      <c r="G356" s="266"/>
      <c r="H356" s="267">
        <f t="shared" si="48"/>
        <v>0</v>
      </c>
      <c r="I356" s="264"/>
      <c r="J356" s="265"/>
      <c r="K356" s="266"/>
      <c r="L356" s="267">
        <f t="shared" si="51"/>
        <v>0</v>
      </c>
    </row>
    <row r="357" spans="1:12" ht="15.75" thickBot="1" x14ac:dyDescent="0.3">
      <c r="A357" s="262"/>
      <c r="B357" s="262"/>
      <c r="C357" s="275"/>
      <c r="D357" s="289"/>
      <c r="E357" s="290"/>
      <c r="F357" s="265"/>
      <c r="G357" s="292"/>
      <c r="H357" s="309">
        <f t="shared" si="48"/>
        <v>0</v>
      </c>
      <c r="I357" s="290"/>
      <c r="J357" s="265"/>
      <c r="K357" s="292"/>
      <c r="L357" s="309">
        <f t="shared" si="51"/>
        <v>0</v>
      </c>
    </row>
    <row r="358" spans="1:12" ht="15.75" thickBot="1" x14ac:dyDescent="0.3">
      <c r="A358" s="288"/>
      <c r="B358" s="288"/>
      <c r="C358" s="263"/>
      <c r="D358" s="294" t="s">
        <v>0</v>
      </c>
      <c r="E358" s="295"/>
      <c r="F358" s="296">
        <f>SUM(F345:F357)</f>
        <v>0</v>
      </c>
      <c r="G358" s="297" t="e">
        <f>H358/F358</f>
        <v>#DIV/0!</v>
      </c>
      <c r="H358" s="298">
        <f>SUM(H345:H357)</f>
        <v>0</v>
      </c>
      <c r="I358" s="295"/>
      <c r="J358" s="296">
        <f>SUM(J345:J357)</f>
        <v>0</v>
      </c>
      <c r="K358" s="297" t="e">
        <f>L358/J358</f>
        <v>#DIV/0!</v>
      </c>
      <c r="L358" s="298">
        <f>SUM(L345:L357)</f>
        <v>0</v>
      </c>
    </row>
    <row r="359" spans="1:12" ht="15.75" thickBot="1" x14ac:dyDescent="0.3">
      <c r="A359" s="299"/>
      <c r="B359" s="299"/>
      <c r="C359" s="299"/>
      <c r="D359" s="300"/>
      <c r="E359" s="301"/>
      <c r="F359" s="301"/>
      <c r="G359" s="302"/>
      <c r="H359" s="303"/>
      <c r="I359" s="301"/>
      <c r="J359" s="301"/>
      <c r="K359" s="302"/>
      <c r="L359" s="303"/>
    </row>
    <row r="360" spans="1:12" x14ac:dyDescent="0.25">
      <c r="A360" s="288"/>
      <c r="B360" s="288"/>
      <c r="C360" s="263"/>
      <c r="D360" s="276"/>
      <c r="E360" s="277"/>
      <c r="F360" s="278"/>
      <c r="G360" s="279"/>
      <c r="H360" s="280">
        <f>F360*G360</f>
        <v>0</v>
      </c>
      <c r="I360" s="277"/>
      <c r="J360" s="278"/>
      <c r="K360" s="279"/>
      <c r="L360" s="280">
        <f>J360*K360</f>
        <v>0</v>
      </c>
    </row>
    <row r="361" spans="1:12" x14ac:dyDescent="0.25">
      <c r="A361" s="262"/>
      <c r="B361" s="262"/>
      <c r="C361" s="275"/>
      <c r="D361" s="236">
        <f>D346+1</f>
        <v>45405</v>
      </c>
      <c r="E361" s="264"/>
      <c r="F361" s="265"/>
      <c r="G361" s="266"/>
      <c r="H361" s="267">
        <f>F361*G361</f>
        <v>0</v>
      </c>
      <c r="I361" s="264"/>
      <c r="J361" s="265"/>
      <c r="K361" s="266"/>
      <c r="L361" s="267">
        <f>J361*K361</f>
        <v>0</v>
      </c>
    </row>
    <row r="362" spans="1:12" s="235" customFormat="1" x14ac:dyDescent="0.25">
      <c r="A362" s="262"/>
      <c r="B362" s="262"/>
      <c r="C362" s="263"/>
      <c r="D362" s="281"/>
      <c r="E362" s="282"/>
      <c r="F362" s="283"/>
      <c r="G362" s="283"/>
      <c r="H362" s="284">
        <f t="shared" ref="H362:H370" si="52">F362*G362</f>
        <v>0</v>
      </c>
      <c r="I362" s="282"/>
      <c r="J362" s="283"/>
      <c r="K362" s="283"/>
      <c r="L362" s="284">
        <f t="shared" ref="L362:L370" si="53">J362*K362</f>
        <v>0</v>
      </c>
    </row>
    <row r="363" spans="1:12" s="235" customFormat="1" x14ac:dyDescent="0.25">
      <c r="A363" s="262"/>
      <c r="B363" s="262"/>
      <c r="C363" s="263"/>
      <c r="D363" s="281"/>
      <c r="E363" s="282"/>
      <c r="F363" s="283"/>
      <c r="G363" s="283"/>
      <c r="H363" s="284">
        <f t="shared" si="52"/>
        <v>0</v>
      </c>
      <c r="I363" s="282"/>
      <c r="J363" s="283"/>
      <c r="K363" s="283"/>
      <c r="L363" s="284">
        <f t="shared" si="53"/>
        <v>0</v>
      </c>
    </row>
    <row r="364" spans="1:12" s="235" customFormat="1" x14ac:dyDescent="0.25">
      <c r="A364" s="262"/>
      <c r="B364" s="262"/>
      <c r="C364" s="263"/>
      <c r="D364" s="281"/>
      <c r="E364" s="282"/>
      <c r="F364" s="283"/>
      <c r="G364" s="283"/>
      <c r="H364" s="284">
        <f t="shared" si="52"/>
        <v>0</v>
      </c>
      <c r="I364" s="282"/>
      <c r="J364" s="283"/>
      <c r="K364" s="283"/>
      <c r="L364" s="284">
        <f t="shared" si="53"/>
        <v>0</v>
      </c>
    </row>
    <row r="365" spans="1:12" s="235" customFormat="1" x14ac:dyDescent="0.25">
      <c r="A365" s="262"/>
      <c r="B365" s="262"/>
      <c r="C365" s="263"/>
      <c r="D365" s="281"/>
      <c r="E365" s="282"/>
      <c r="F365" s="283"/>
      <c r="G365" s="283"/>
      <c r="H365" s="284">
        <f t="shared" si="52"/>
        <v>0</v>
      </c>
      <c r="I365" s="282"/>
      <c r="J365" s="283"/>
      <c r="K365" s="283"/>
      <c r="L365" s="284">
        <f t="shared" si="53"/>
        <v>0</v>
      </c>
    </row>
    <row r="366" spans="1:12" s="235" customFormat="1" x14ac:dyDescent="0.25">
      <c r="A366" s="262"/>
      <c r="B366" s="262"/>
      <c r="C366" s="263"/>
      <c r="D366" s="281"/>
      <c r="E366" s="282"/>
      <c r="F366" s="283"/>
      <c r="G366" s="283"/>
      <c r="H366" s="284">
        <f t="shared" si="52"/>
        <v>0</v>
      </c>
      <c r="I366" s="282"/>
      <c r="J366" s="283"/>
      <c r="K366" s="283"/>
      <c r="L366" s="284">
        <f t="shared" si="53"/>
        <v>0</v>
      </c>
    </row>
    <row r="367" spans="1:12" s="235" customFormat="1" x14ac:dyDescent="0.25">
      <c r="A367" s="262"/>
      <c r="B367" s="262"/>
      <c r="C367" s="263"/>
      <c r="D367" s="281"/>
      <c r="E367" s="282"/>
      <c r="F367" s="283"/>
      <c r="G367" s="283"/>
      <c r="H367" s="284">
        <f t="shared" si="52"/>
        <v>0</v>
      </c>
      <c r="I367" s="282"/>
      <c r="J367" s="283"/>
      <c r="K367" s="283"/>
      <c r="L367" s="284">
        <f t="shared" si="53"/>
        <v>0</v>
      </c>
    </row>
    <row r="368" spans="1:12" x14ac:dyDescent="0.25">
      <c r="A368" s="262"/>
      <c r="B368" s="262"/>
      <c r="C368" s="275"/>
      <c r="D368" s="236"/>
      <c r="E368" s="264"/>
      <c r="F368" s="318"/>
      <c r="G368" s="318"/>
      <c r="H368" s="267">
        <f t="shared" si="52"/>
        <v>0</v>
      </c>
      <c r="I368" s="264"/>
      <c r="J368" s="318"/>
      <c r="K368" s="318"/>
      <c r="L368" s="267">
        <f t="shared" si="53"/>
        <v>0</v>
      </c>
    </row>
    <row r="369" spans="1:12" x14ac:dyDescent="0.25">
      <c r="A369" s="262"/>
      <c r="B369" s="262"/>
      <c r="C369" s="275"/>
      <c r="D369" s="236"/>
      <c r="E369" s="264"/>
      <c r="F369" s="318"/>
      <c r="G369" s="318"/>
      <c r="H369" s="267">
        <f t="shared" si="52"/>
        <v>0</v>
      </c>
      <c r="I369" s="264"/>
      <c r="J369" s="318"/>
      <c r="K369" s="318"/>
      <c r="L369" s="267">
        <f t="shared" si="53"/>
        <v>0</v>
      </c>
    </row>
    <row r="370" spans="1:12" x14ac:dyDescent="0.25">
      <c r="A370" s="262"/>
      <c r="B370" s="262"/>
      <c r="C370" s="275"/>
      <c r="D370" s="236"/>
      <c r="E370" s="264"/>
      <c r="F370" s="318"/>
      <c r="G370" s="318"/>
      <c r="H370" s="267">
        <f t="shared" si="52"/>
        <v>0</v>
      </c>
      <c r="I370" s="264"/>
      <c r="J370" s="318"/>
      <c r="K370" s="318"/>
      <c r="L370" s="267">
        <f t="shared" si="53"/>
        <v>0</v>
      </c>
    </row>
    <row r="371" spans="1:12" s="235" customFormat="1" x14ac:dyDescent="0.25">
      <c r="A371" s="262"/>
      <c r="B371" s="262"/>
      <c r="C371" s="286"/>
      <c r="D371" s="281"/>
      <c r="E371" s="282"/>
      <c r="F371" s="287"/>
      <c r="G371" s="283"/>
      <c r="H371" s="267">
        <f>F371*G371</f>
        <v>0</v>
      </c>
      <c r="I371" s="282"/>
      <c r="J371" s="287"/>
      <c r="K371" s="283"/>
      <c r="L371" s="267">
        <f>J371*K371</f>
        <v>0</v>
      </c>
    </row>
    <row r="372" spans="1:12" s="235" customFormat="1" x14ac:dyDescent="0.25">
      <c r="A372" s="262"/>
      <c r="B372" s="262"/>
      <c r="C372" s="286"/>
      <c r="D372" s="281"/>
      <c r="E372" s="282"/>
      <c r="F372" s="287"/>
      <c r="G372" s="283"/>
      <c r="H372" s="267">
        <f>F372*G372</f>
        <v>0</v>
      </c>
      <c r="I372" s="282"/>
      <c r="J372" s="287"/>
      <c r="K372" s="283"/>
      <c r="L372" s="267">
        <f>J372*K372</f>
        <v>0</v>
      </c>
    </row>
    <row r="373" spans="1:12" ht="15.75" thickBot="1" x14ac:dyDescent="0.3">
      <c r="A373" s="262"/>
      <c r="B373" s="262"/>
      <c r="C373" s="275"/>
      <c r="D373" s="236"/>
      <c r="E373" s="264"/>
      <c r="F373" s="265"/>
      <c r="G373" s="266"/>
      <c r="H373" s="267">
        <f>F373*G373</f>
        <v>0</v>
      </c>
      <c r="I373" s="264"/>
      <c r="J373" s="265"/>
      <c r="K373" s="266"/>
      <c r="L373" s="267">
        <f>J373*K373</f>
        <v>0</v>
      </c>
    </row>
    <row r="374" spans="1:12" ht="15.75" thickBot="1" x14ac:dyDescent="0.3">
      <c r="A374" s="288"/>
      <c r="B374" s="288"/>
      <c r="C374" s="263"/>
      <c r="D374" s="294" t="s">
        <v>0</v>
      </c>
      <c r="E374" s="295"/>
      <c r="F374" s="296">
        <f>SUM(F360:F373)</f>
        <v>0</v>
      </c>
      <c r="G374" s="297" t="e">
        <f>H374/F374</f>
        <v>#DIV/0!</v>
      </c>
      <c r="H374" s="298">
        <f>SUM(H360:H373)</f>
        <v>0</v>
      </c>
      <c r="I374" s="295"/>
      <c r="J374" s="296">
        <f>SUM(J360:J373)</f>
        <v>0</v>
      </c>
      <c r="K374" s="297" t="e">
        <f>L374/J374</f>
        <v>#DIV/0!</v>
      </c>
      <c r="L374" s="298">
        <f>SUM(L360:L373)</f>
        <v>0</v>
      </c>
    </row>
    <row r="375" spans="1:12" ht="15.75" thickBot="1" x14ac:dyDescent="0.3">
      <c r="A375" s="299"/>
      <c r="B375" s="299"/>
      <c r="C375" s="299"/>
      <c r="D375" s="300"/>
      <c r="E375" s="301"/>
      <c r="F375" s="301"/>
      <c r="G375" s="302"/>
      <c r="H375" s="303"/>
      <c r="I375" s="301"/>
      <c r="J375" s="301"/>
      <c r="K375" s="302"/>
      <c r="L375" s="303"/>
    </row>
    <row r="376" spans="1:12" x14ac:dyDescent="0.25">
      <c r="A376" s="288"/>
      <c r="B376" s="288"/>
      <c r="C376" s="263"/>
      <c r="D376" s="276"/>
      <c r="E376" s="277"/>
      <c r="F376" s="278"/>
      <c r="G376" s="279"/>
      <c r="H376" s="280">
        <f t="shared" ref="H376:H387" si="54">F376*G376</f>
        <v>0</v>
      </c>
      <c r="I376" s="277"/>
      <c r="J376" s="278"/>
      <c r="K376" s="279"/>
      <c r="L376" s="280">
        <f t="shared" ref="L376:L387" si="55">J376*K376</f>
        <v>0</v>
      </c>
    </row>
    <row r="377" spans="1:12" x14ac:dyDescent="0.25">
      <c r="A377" s="262"/>
      <c r="B377" s="262"/>
      <c r="C377" s="275"/>
      <c r="D377" s="236">
        <f>D361+1</f>
        <v>45406</v>
      </c>
      <c r="E377" s="264"/>
      <c r="F377" s="265"/>
      <c r="G377" s="266"/>
      <c r="H377" s="267">
        <f t="shared" si="54"/>
        <v>0</v>
      </c>
      <c r="I377" s="264"/>
      <c r="J377" s="265"/>
      <c r="K377" s="266"/>
      <c r="L377" s="267">
        <f t="shared" si="55"/>
        <v>0</v>
      </c>
    </row>
    <row r="378" spans="1:12" s="235" customFormat="1" x14ac:dyDescent="0.25">
      <c r="A378" s="262"/>
      <c r="B378" s="262"/>
      <c r="C378" s="263"/>
      <c r="D378" s="281"/>
      <c r="E378" s="282"/>
      <c r="F378" s="283"/>
      <c r="G378" s="283"/>
      <c r="H378" s="284">
        <f t="shared" si="54"/>
        <v>0</v>
      </c>
      <c r="I378" s="282"/>
      <c r="J378" s="283"/>
      <c r="K378" s="283"/>
      <c r="L378" s="284">
        <f t="shared" si="55"/>
        <v>0</v>
      </c>
    </row>
    <row r="379" spans="1:12" s="235" customFormat="1" ht="13.15" customHeight="1" x14ac:dyDescent="0.25">
      <c r="A379" s="262"/>
      <c r="B379" s="262"/>
      <c r="C379" s="263"/>
      <c r="D379" s="281"/>
      <c r="E379" s="282"/>
      <c r="F379" s="283"/>
      <c r="G379" s="283"/>
      <c r="H379" s="284">
        <f t="shared" si="54"/>
        <v>0</v>
      </c>
      <c r="I379" s="282"/>
      <c r="J379" s="283"/>
      <c r="K379" s="283"/>
      <c r="L379" s="284">
        <f t="shared" si="55"/>
        <v>0</v>
      </c>
    </row>
    <row r="380" spans="1:12" s="235" customFormat="1" x14ac:dyDescent="0.25">
      <c r="A380" s="262"/>
      <c r="B380" s="262"/>
      <c r="C380" s="263"/>
      <c r="D380" s="281"/>
      <c r="E380" s="282"/>
      <c r="F380" s="283"/>
      <c r="G380" s="283"/>
      <c r="H380" s="284">
        <f t="shared" si="54"/>
        <v>0</v>
      </c>
      <c r="I380" s="282"/>
      <c r="J380" s="283"/>
      <c r="K380" s="283"/>
      <c r="L380" s="284">
        <f t="shared" si="55"/>
        <v>0</v>
      </c>
    </row>
    <row r="381" spans="1:12" s="235" customFormat="1" x14ac:dyDescent="0.25">
      <c r="A381" s="262"/>
      <c r="B381" s="262"/>
      <c r="C381" s="263"/>
      <c r="D381" s="281"/>
      <c r="E381" s="282"/>
      <c r="F381" s="283"/>
      <c r="G381" s="283"/>
      <c r="H381" s="284">
        <f t="shared" si="54"/>
        <v>0</v>
      </c>
      <c r="I381" s="282"/>
      <c r="J381" s="283"/>
      <c r="K381" s="283"/>
      <c r="L381" s="284">
        <f t="shared" si="55"/>
        <v>0</v>
      </c>
    </row>
    <row r="382" spans="1:12" s="235" customFormat="1" x14ac:dyDescent="0.25">
      <c r="A382" s="262"/>
      <c r="B382" s="262"/>
      <c r="C382" s="263"/>
      <c r="D382" s="281"/>
      <c r="E382" s="282"/>
      <c r="F382" s="283"/>
      <c r="G382" s="283"/>
      <c r="H382" s="284">
        <f t="shared" si="54"/>
        <v>0</v>
      </c>
      <c r="I382" s="282"/>
      <c r="J382" s="283"/>
      <c r="K382" s="283"/>
      <c r="L382" s="284">
        <f t="shared" si="55"/>
        <v>0</v>
      </c>
    </row>
    <row r="383" spans="1:12" s="235" customFormat="1" x14ac:dyDescent="0.25">
      <c r="A383" s="262"/>
      <c r="B383" s="262"/>
      <c r="C383" s="263"/>
      <c r="D383" s="281"/>
      <c r="E383" s="282"/>
      <c r="F383" s="283"/>
      <c r="G383" s="283"/>
      <c r="H383" s="284">
        <f t="shared" si="54"/>
        <v>0</v>
      </c>
      <c r="I383" s="282"/>
      <c r="J383" s="283"/>
      <c r="K383" s="283"/>
      <c r="L383" s="284">
        <f t="shared" si="55"/>
        <v>0</v>
      </c>
    </row>
    <row r="384" spans="1:12" x14ac:dyDescent="0.25">
      <c r="A384" s="262"/>
      <c r="B384" s="262"/>
      <c r="C384" s="275"/>
      <c r="D384" s="236"/>
      <c r="E384" s="264"/>
      <c r="F384" s="318"/>
      <c r="G384" s="318"/>
      <c r="H384" s="267">
        <f t="shared" si="54"/>
        <v>0</v>
      </c>
      <c r="I384" s="264"/>
      <c r="J384" s="318"/>
      <c r="K384" s="318"/>
      <c r="L384" s="267">
        <f t="shared" si="55"/>
        <v>0</v>
      </c>
    </row>
    <row r="385" spans="1:12" x14ac:dyDescent="0.25">
      <c r="A385" s="262"/>
      <c r="B385" s="262"/>
      <c r="C385" s="275"/>
      <c r="D385" s="236"/>
      <c r="E385" s="264"/>
      <c r="F385" s="318"/>
      <c r="G385" s="318"/>
      <c r="H385" s="267">
        <f t="shared" si="54"/>
        <v>0</v>
      </c>
      <c r="I385" s="264"/>
      <c r="J385" s="318"/>
      <c r="K385" s="318"/>
      <c r="L385" s="267">
        <f t="shared" si="55"/>
        <v>0</v>
      </c>
    </row>
    <row r="386" spans="1:12" x14ac:dyDescent="0.25">
      <c r="A386" s="262"/>
      <c r="B386" s="262"/>
      <c r="C386" s="275"/>
      <c r="D386" s="236"/>
      <c r="E386" s="264"/>
      <c r="F386" s="318"/>
      <c r="G386" s="318"/>
      <c r="H386" s="267">
        <f t="shared" si="54"/>
        <v>0</v>
      </c>
      <c r="I386" s="264"/>
      <c r="J386" s="318"/>
      <c r="K386" s="318"/>
      <c r="L386" s="267">
        <f t="shared" si="55"/>
        <v>0</v>
      </c>
    </row>
    <row r="387" spans="1:12" s="235" customFormat="1" ht="15.75" thickBot="1" x14ac:dyDescent="0.3">
      <c r="A387" s="262"/>
      <c r="B387" s="262"/>
      <c r="C387" s="286"/>
      <c r="D387" s="281"/>
      <c r="E387" s="282"/>
      <c r="F387" s="287"/>
      <c r="G387" s="283"/>
      <c r="H387" s="267">
        <f t="shared" si="54"/>
        <v>0</v>
      </c>
      <c r="I387" s="282"/>
      <c r="J387" s="287"/>
      <c r="K387" s="283"/>
      <c r="L387" s="267">
        <f t="shared" si="55"/>
        <v>0</v>
      </c>
    </row>
    <row r="388" spans="1:12" ht="15.75" thickBot="1" x14ac:dyDescent="0.3">
      <c r="A388" s="288"/>
      <c r="B388" s="288"/>
      <c r="C388" s="263"/>
      <c r="D388" s="294" t="s">
        <v>0</v>
      </c>
      <c r="E388" s="295"/>
      <c r="F388" s="296">
        <f>SUM(F376:F387)</f>
        <v>0</v>
      </c>
      <c r="G388" s="297" t="e">
        <f>H388/F388</f>
        <v>#DIV/0!</v>
      </c>
      <c r="H388" s="298">
        <f>SUM(H376:H387)</f>
        <v>0</v>
      </c>
      <c r="I388" s="295"/>
      <c r="J388" s="296">
        <f>SUM(J376:J387)</f>
        <v>0</v>
      </c>
      <c r="K388" s="297" t="e">
        <f>L388/J388</f>
        <v>#DIV/0!</v>
      </c>
      <c r="L388" s="298">
        <f>SUM(L376:L387)</f>
        <v>0</v>
      </c>
    </row>
    <row r="389" spans="1:12" ht="15.75" thickBot="1" x14ac:dyDescent="0.3">
      <c r="A389" s="299"/>
      <c r="B389" s="299"/>
      <c r="C389" s="299"/>
      <c r="D389" s="300"/>
      <c r="E389" s="301"/>
      <c r="F389" s="301"/>
      <c r="G389" s="302"/>
      <c r="H389" s="303"/>
      <c r="I389" s="301"/>
      <c r="J389" s="301"/>
      <c r="K389" s="302"/>
      <c r="L389" s="303"/>
    </row>
    <row r="390" spans="1:12" x14ac:dyDescent="0.25">
      <c r="A390" s="288"/>
      <c r="B390" s="288"/>
      <c r="C390" s="263"/>
      <c r="D390" s="276"/>
      <c r="E390" s="277"/>
      <c r="F390" s="278"/>
      <c r="G390" s="279"/>
      <c r="H390" s="280">
        <f t="shared" ref="H390:H402" si="56">F390*G390</f>
        <v>0</v>
      </c>
      <c r="I390" s="277"/>
      <c r="J390" s="278"/>
      <c r="K390" s="279"/>
      <c r="L390" s="280">
        <f t="shared" ref="L390:L398" si="57">J390*K390</f>
        <v>0</v>
      </c>
    </row>
    <row r="391" spans="1:12" x14ac:dyDescent="0.25">
      <c r="A391" s="262"/>
      <c r="B391" s="262"/>
      <c r="C391" s="263"/>
      <c r="D391" s="236">
        <f>D377+1</f>
        <v>45407</v>
      </c>
      <c r="E391" s="264"/>
      <c r="F391" s="265"/>
      <c r="G391" s="266"/>
      <c r="H391" s="267">
        <f t="shared" si="56"/>
        <v>0</v>
      </c>
      <c r="I391" s="264"/>
      <c r="J391" s="265"/>
      <c r="K391" s="266"/>
      <c r="L391" s="267">
        <f t="shared" si="57"/>
        <v>0</v>
      </c>
    </row>
    <row r="392" spans="1:12" s="235" customFormat="1" ht="18.75" customHeight="1" x14ac:dyDescent="0.25">
      <c r="A392" s="262"/>
      <c r="B392" s="262"/>
      <c r="C392" s="263"/>
      <c r="D392" s="281"/>
      <c r="E392" s="282"/>
      <c r="F392" s="283"/>
      <c r="G392" s="283"/>
      <c r="H392" s="284">
        <f t="shared" si="56"/>
        <v>0</v>
      </c>
      <c r="I392" s="282"/>
      <c r="J392" s="283"/>
      <c r="K392" s="283"/>
      <c r="L392" s="284">
        <f t="shared" si="57"/>
        <v>0</v>
      </c>
    </row>
    <row r="393" spans="1:12" s="235" customFormat="1" x14ac:dyDescent="0.25">
      <c r="A393" s="262"/>
      <c r="B393" s="262"/>
      <c r="C393" s="263"/>
      <c r="D393" s="281"/>
      <c r="E393" s="282"/>
      <c r="F393" s="283"/>
      <c r="G393" s="283"/>
      <c r="H393" s="284">
        <f t="shared" si="56"/>
        <v>0</v>
      </c>
      <c r="I393" s="282"/>
      <c r="J393" s="283"/>
      <c r="K393" s="283"/>
      <c r="L393" s="284">
        <f t="shared" si="57"/>
        <v>0</v>
      </c>
    </row>
    <row r="394" spans="1:12" s="235" customFormat="1" x14ac:dyDescent="0.25">
      <c r="A394" s="262"/>
      <c r="B394" s="262"/>
      <c r="C394" s="263"/>
      <c r="D394" s="281"/>
      <c r="E394" s="282"/>
      <c r="F394" s="283"/>
      <c r="G394" s="283"/>
      <c r="H394" s="284">
        <f t="shared" si="56"/>
        <v>0</v>
      </c>
      <c r="I394" s="282"/>
      <c r="J394" s="283"/>
      <c r="K394" s="283"/>
      <c r="L394" s="284">
        <f t="shared" si="57"/>
        <v>0</v>
      </c>
    </row>
    <row r="395" spans="1:12" s="235" customFormat="1" x14ac:dyDescent="0.25">
      <c r="A395" s="262"/>
      <c r="B395" s="262"/>
      <c r="C395" s="263"/>
      <c r="D395" s="281"/>
      <c r="E395" s="282"/>
      <c r="F395" s="283"/>
      <c r="G395" s="283"/>
      <c r="H395" s="284">
        <f t="shared" si="56"/>
        <v>0</v>
      </c>
      <c r="I395" s="282"/>
      <c r="J395" s="283"/>
      <c r="K395" s="283"/>
      <c r="L395" s="284"/>
    </row>
    <row r="396" spans="1:12" s="235" customFormat="1" x14ac:dyDescent="0.25">
      <c r="A396" s="262"/>
      <c r="B396" s="262"/>
      <c r="C396" s="263"/>
      <c r="D396" s="281"/>
      <c r="E396" s="282"/>
      <c r="F396" s="283"/>
      <c r="G396" s="283"/>
      <c r="H396" s="284">
        <f t="shared" si="56"/>
        <v>0</v>
      </c>
      <c r="I396" s="282"/>
      <c r="J396" s="283"/>
      <c r="K396" s="283"/>
      <c r="L396" s="284">
        <f t="shared" si="57"/>
        <v>0</v>
      </c>
    </row>
    <row r="397" spans="1:12" s="235" customFormat="1" x14ac:dyDescent="0.25">
      <c r="A397" s="262"/>
      <c r="B397" s="262"/>
      <c r="C397" s="263"/>
      <c r="D397" s="281"/>
      <c r="E397" s="282"/>
      <c r="F397" s="283"/>
      <c r="G397" s="283"/>
      <c r="H397" s="284">
        <f t="shared" si="56"/>
        <v>0</v>
      </c>
      <c r="I397" s="282"/>
      <c r="J397" s="283"/>
      <c r="K397" s="283"/>
      <c r="L397" s="284">
        <f t="shared" si="57"/>
        <v>0</v>
      </c>
    </row>
    <row r="398" spans="1:12" s="235" customFormat="1" x14ac:dyDescent="0.25">
      <c r="A398" s="262"/>
      <c r="B398" s="262"/>
      <c r="C398" s="263"/>
      <c r="D398" s="281"/>
      <c r="E398" s="282"/>
      <c r="F398" s="283"/>
      <c r="G398" s="283"/>
      <c r="H398" s="284">
        <f t="shared" si="56"/>
        <v>0</v>
      </c>
      <c r="I398" s="282"/>
      <c r="J398" s="283"/>
      <c r="K398" s="283"/>
      <c r="L398" s="284">
        <f t="shared" si="57"/>
        <v>0</v>
      </c>
    </row>
    <row r="399" spans="1:12" s="235" customFormat="1" x14ac:dyDescent="0.25">
      <c r="A399" s="262"/>
      <c r="B399" s="262"/>
      <c r="C399" s="275"/>
      <c r="D399" s="281"/>
      <c r="E399" s="282"/>
      <c r="F399" s="326"/>
      <c r="G399" s="283"/>
      <c r="H399" s="267">
        <f t="shared" si="56"/>
        <v>0</v>
      </c>
      <c r="I399" s="282"/>
      <c r="J399" s="326"/>
      <c r="K399" s="283"/>
      <c r="L399" s="267">
        <f t="shared" ref="L399:L402" si="58">J399*K399</f>
        <v>0</v>
      </c>
    </row>
    <row r="400" spans="1:12" s="235" customFormat="1" x14ac:dyDescent="0.25">
      <c r="A400" s="262"/>
      <c r="B400" s="262"/>
      <c r="C400" s="275"/>
      <c r="D400" s="281"/>
      <c r="E400" s="282"/>
      <c r="F400" s="326"/>
      <c r="G400" s="283"/>
      <c r="H400" s="267">
        <f t="shared" si="56"/>
        <v>0</v>
      </c>
      <c r="I400" s="282"/>
      <c r="J400" s="326"/>
      <c r="K400" s="283"/>
      <c r="L400" s="267">
        <f t="shared" si="58"/>
        <v>0</v>
      </c>
    </row>
    <row r="401" spans="1:12" ht="12.6" customHeight="1" x14ac:dyDescent="0.25">
      <c r="A401" s="288"/>
      <c r="B401" s="288"/>
      <c r="C401" s="275"/>
      <c r="D401" s="306"/>
      <c r="E401" s="264"/>
      <c r="F401" s="265"/>
      <c r="G401" s="266"/>
      <c r="H401" s="267">
        <f t="shared" si="56"/>
        <v>0</v>
      </c>
      <c r="I401" s="264"/>
      <c r="J401" s="265"/>
      <c r="K401" s="266"/>
      <c r="L401" s="267">
        <f t="shared" si="58"/>
        <v>0</v>
      </c>
    </row>
    <row r="402" spans="1:12" ht="12.6" customHeight="1" thickBot="1" x14ac:dyDescent="0.3">
      <c r="A402" s="262"/>
      <c r="B402" s="288"/>
      <c r="C402" s="275"/>
      <c r="D402" s="289"/>
      <c r="E402" s="290"/>
      <c r="F402" s="291"/>
      <c r="G402" s="311"/>
      <c r="H402" s="293">
        <f t="shared" si="56"/>
        <v>0</v>
      </c>
      <c r="I402" s="290"/>
      <c r="J402" s="291"/>
      <c r="K402" s="311"/>
      <c r="L402" s="293">
        <f t="shared" si="58"/>
        <v>0</v>
      </c>
    </row>
    <row r="403" spans="1:12" ht="15.75" thickBot="1" x14ac:dyDescent="0.3">
      <c r="A403" s="288"/>
      <c r="B403" s="288"/>
      <c r="C403" s="263"/>
      <c r="D403" s="294" t="s">
        <v>0</v>
      </c>
      <c r="E403" s="295"/>
      <c r="F403" s="296">
        <f>SUM(F390:F402)</f>
        <v>0</v>
      </c>
      <c r="G403" s="297" t="e">
        <f>H403/F403</f>
        <v>#DIV/0!</v>
      </c>
      <c r="H403" s="298">
        <f>SUM(H390:H402)</f>
        <v>0</v>
      </c>
      <c r="I403" s="295"/>
      <c r="J403" s="296">
        <f>SUM(J390:J402)</f>
        <v>0</v>
      </c>
      <c r="K403" s="297" t="e">
        <f>L403/J403</f>
        <v>#DIV/0!</v>
      </c>
      <c r="L403" s="298">
        <f>SUM(L390:L402)</f>
        <v>0</v>
      </c>
    </row>
    <row r="404" spans="1:12" ht="15.75" thickBot="1" x14ac:dyDescent="0.3">
      <c r="A404" s="299"/>
      <c r="B404" s="299"/>
      <c r="C404" s="299"/>
      <c r="D404" s="300"/>
      <c r="E404" s="301"/>
      <c r="F404" s="301"/>
      <c r="G404" s="302"/>
      <c r="H404" s="303"/>
      <c r="I404" s="301"/>
      <c r="J404" s="301"/>
      <c r="K404" s="302"/>
      <c r="L404" s="303"/>
    </row>
    <row r="405" spans="1:12" x14ac:dyDescent="0.25">
      <c r="A405" s="288"/>
      <c r="B405" s="288"/>
      <c r="C405" s="263"/>
      <c r="D405" s="276"/>
      <c r="E405" s="277"/>
      <c r="F405" s="278"/>
      <c r="G405" s="279"/>
      <c r="H405" s="280">
        <f t="shared" ref="H405:H414" si="59">F405*G405</f>
        <v>0</v>
      </c>
      <c r="I405" s="277"/>
      <c r="J405" s="278"/>
      <c r="K405" s="279"/>
      <c r="L405" s="280">
        <f t="shared" ref="L405:L411" si="60">J405*K405</f>
        <v>0</v>
      </c>
    </row>
    <row r="406" spans="1:12" x14ac:dyDescent="0.25">
      <c r="A406" s="262"/>
      <c r="B406" s="262"/>
      <c r="C406" s="263"/>
      <c r="D406" s="236">
        <f>D391+1</f>
        <v>45408</v>
      </c>
      <c r="E406" s="264"/>
      <c r="F406" s="265"/>
      <c r="G406" s="266"/>
      <c r="H406" s="267">
        <f t="shared" si="59"/>
        <v>0</v>
      </c>
      <c r="I406" s="264"/>
      <c r="J406" s="265"/>
      <c r="K406" s="266"/>
      <c r="L406" s="267">
        <f t="shared" si="60"/>
        <v>0</v>
      </c>
    </row>
    <row r="407" spans="1:12" s="235" customFormat="1" x14ac:dyDescent="0.25">
      <c r="A407" s="262"/>
      <c r="B407" s="262"/>
      <c r="C407" s="263"/>
      <c r="D407" s="281"/>
      <c r="E407" s="282"/>
      <c r="F407" s="283"/>
      <c r="G407" s="283"/>
      <c r="H407" s="284">
        <f t="shared" si="59"/>
        <v>0</v>
      </c>
      <c r="I407" s="282"/>
      <c r="J407" s="283"/>
      <c r="K407" s="283"/>
      <c r="L407" s="284">
        <f t="shared" si="60"/>
        <v>0</v>
      </c>
    </row>
    <row r="408" spans="1:12" s="235" customFormat="1" x14ac:dyDescent="0.25">
      <c r="A408" s="262"/>
      <c r="B408" s="262"/>
      <c r="C408" s="263"/>
      <c r="D408" s="281"/>
      <c r="E408" s="282"/>
      <c r="F408" s="283"/>
      <c r="G408" s="283"/>
      <c r="H408" s="284">
        <f t="shared" si="59"/>
        <v>0</v>
      </c>
      <c r="I408" s="282"/>
      <c r="J408" s="283"/>
      <c r="K408" s="283"/>
      <c r="L408" s="284">
        <f t="shared" si="60"/>
        <v>0</v>
      </c>
    </row>
    <row r="409" spans="1:12" s="235" customFormat="1" x14ac:dyDescent="0.25">
      <c r="A409" s="262"/>
      <c r="B409" s="262"/>
      <c r="C409" s="263"/>
      <c r="D409" s="281"/>
      <c r="E409" s="282"/>
      <c r="F409" s="283"/>
      <c r="G409" s="283"/>
      <c r="H409" s="284">
        <f t="shared" si="59"/>
        <v>0</v>
      </c>
      <c r="I409" s="282"/>
      <c r="J409" s="283"/>
      <c r="K409" s="283"/>
      <c r="L409" s="284">
        <f t="shared" si="60"/>
        <v>0</v>
      </c>
    </row>
    <row r="410" spans="1:12" s="235" customFormat="1" ht="16.5" customHeight="1" x14ac:dyDescent="0.25">
      <c r="A410" s="262"/>
      <c r="B410" s="262"/>
      <c r="C410" s="263"/>
      <c r="D410" s="281"/>
      <c r="E410" s="282"/>
      <c r="F410" s="283"/>
      <c r="G410" s="283"/>
      <c r="H410" s="284">
        <f t="shared" si="59"/>
        <v>0</v>
      </c>
      <c r="I410" s="282"/>
      <c r="J410" s="283"/>
      <c r="K410" s="283"/>
      <c r="L410" s="284">
        <f t="shared" si="60"/>
        <v>0</v>
      </c>
    </row>
    <row r="411" spans="1:12" s="235" customFormat="1" x14ac:dyDescent="0.25">
      <c r="A411" s="262"/>
      <c r="B411" s="262"/>
      <c r="C411" s="263"/>
      <c r="D411" s="281"/>
      <c r="E411" s="282"/>
      <c r="F411" s="283"/>
      <c r="G411" s="283"/>
      <c r="H411" s="284">
        <f t="shared" si="59"/>
        <v>0</v>
      </c>
      <c r="I411" s="282"/>
      <c r="J411" s="283"/>
      <c r="K411" s="283"/>
      <c r="L411" s="284">
        <f t="shared" si="60"/>
        <v>0</v>
      </c>
    </row>
    <row r="412" spans="1:12" s="235" customFormat="1" x14ac:dyDescent="0.25">
      <c r="A412" s="262"/>
      <c r="B412" s="262"/>
      <c r="C412" s="275"/>
      <c r="D412" s="281"/>
      <c r="E412" s="282"/>
      <c r="F412" s="287"/>
      <c r="G412" s="283"/>
      <c r="H412" s="267">
        <f>F412*G412</f>
        <v>0</v>
      </c>
      <c r="I412" s="282"/>
      <c r="J412" s="287"/>
      <c r="K412" s="283"/>
      <c r="L412" s="267">
        <f>J412*K412</f>
        <v>0</v>
      </c>
    </row>
    <row r="413" spans="1:12" s="235" customFormat="1" x14ac:dyDescent="0.25">
      <c r="A413" s="262"/>
      <c r="B413" s="262"/>
      <c r="C413" s="275"/>
      <c r="D413" s="281"/>
      <c r="E413" s="282"/>
      <c r="F413" s="287"/>
      <c r="G413" s="283"/>
      <c r="H413" s="267">
        <f>F413*G413</f>
        <v>0</v>
      </c>
      <c r="I413" s="282"/>
      <c r="J413" s="287"/>
      <c r="K413" s="283"/>
      <c r="L413" s="267">
        <f>J413*K413</f>
        <v>0</v>
      </c>
    </row>
    <row r="414" spans="1:12" s="235" customFormat="1" ht="15.75" thickBot="1" x14ac:dyDescent="0.3">
      <c r="A414" s="262"/>
      <c r="B414" s="262"/>
      <c r="C414" s="275"/>
      <c r="D414" s="281"/>
      <c r="E414" s="282"/>
      <c r="F414" s="287"/>
      <c r="G414" s="283"/>
      <c r="H414" s="267">
        <f t="shared" si="59"/>
        <v>0</v>
      </c>
      <c r="I414" s="282"/>
      <c r="J414" s="287"/>
      <c r="K414" s="283"/>
      <c r="L414" s="267">
        <f t="shared" ref="L414" si="61">J414*K414</f>
        <v>0</v>
      </c>
    </row>
    <row r="415" spans="1:12" ht="15.75" thickBot="1" x14ac:dyDescent="0.3">
      <c r="A415" s="288"/>
      <c r="B415" s="288"/>
      <c r="C415" s="263"/>
      <c r="D415" s="294" t="s">
        <v>0</v>
      </c>
      <c r="E415" s="295"/>
      <c r="F415" s="296">
        <f>SUM(F405:F414)</f>
        <v>0</v>
      </c>
      <c r="G415" s="297" t="e">
        <f>H415/F415</f>
        <v>#DIV/0!</v>
      </c>
      <c r="H415" s="298">
        <f>SUM(H405:H414)</f>
        <v>0</v>
      </c>
      <c r="I415" s="295"/>
      <c r="J415" s="296">
        <f>SUM(J405:J414)</f>
        <v>0</v>
      </c>
      <c r="K415" s="297" t="e">
        <f>L415/J415</f>
        <v>#DIV/0!</v>
      </c>
      <c r="L415" s="298">
        <f>SUM(L405:L414)</f>
        <v>0</v>
      </c>
    </row>
    <row r="416" spans="1:12" ht="15.75" thickBot="1" x14ac:dyDescent="0.3">
      <c r="A416" s="299"/>
      <c r="B416" s="299"/>
      <c r="C416" s="299"/>
      <c r="D416" s="300"/>
      <c r="E416" s="301"/>
      <c r="F416" s="301"/>
      <c r="G416" s="302"/>
      <c r="H416" s="303"/>
      <c r="I416" s="301"/>
      <c r="J416" s="301"/>
      <c r="K416" s="302"/>
      <c r="L416" s="303"/>
    </row>
    <row r="417" spans="1:12" x14ac:dyDescent="0.25">
      <c r="A417" s="262"/>
      <c r="B417" s="262"/>
      <c r="C417" s="275"/>
      <c r="D417" s="276"/>
      <c r="E417" s="264"/>
      <c r="F417" s="371"/>
      <c r="G417" s="372"/>
      <c r="H417" s="280">
        <f t="shared" ref="H417:H433" si="62">F417*G417</f>
        <v>0</v>
      </c>
      <c r="I417" s="264"/>
      <c r="J417" s="371"/>
      <c r="K417" s="372"/>
      <c r="L417" s="280">
        <f t="shared" ref="L417:L423" si="63">J417*K417</f>
        <v>0</v>
      </c>
    </row>
    <row r="418" spans="1:12" x14ac:dyDescent="0.25">
      <c r="A418" s="262"/>
      <c r="B418" s="262"/>
      <c r="C418" s="275"/>
      <c r="D418" s="236">
        <f>D406+1</f>
        <v>45409</v>
      </c>
      <c r="E418" s="264"/>
      <c r="F418" s="265"/>
      <c r="G418" s="266"/>
      <c r="H418" s="267">
        <f t="shared" si="62"/>
        <v>0</v>
      </c>
      <c r="I418" s="264"/>
      <c r="J418" s="265"/>
      <c r="K418" s="266"/>
      <c r="L418" s="267">
        <f t="shared" si="63"/>
        <v>0</v>
      </c>
    </row>
    <row r="419" spans="1:12" x14ac:dyDescent="0.25">
      <c r="A419" s="262"/>
      <c r="B419" s="262"/>
      <c r="C419" s="286"/>
      <c r="D419" s="281"/>
      <c r="E419" s="282"/>
      <c r="F419" s="287"/>
      <c r="G419" s="283"/>
      <c r="H419" s="309">
        <f t="shared" si="62"/>
        <v>0</v>
      </c>
      <c r="I419" s="282"/>
      <c r="J419" s="287"/>
      <c r="K419" s="283"/>
      <c r="L419" s="309">
        <f t="shared" si="63"/>
        <v>0</v>
      </c>
    </row>
    <row r="420" spans="1:12" s="235" customFormat="1" x14ac:dyDescent="0.25">
      <c r="A420" s="262"/>
      <c r="B420" s="262"/>
      <c r="C420" s="263"/>
      <c r="D420" s="281"/>
      <c r="E420" s="282"/>
      <c r="F420" s="283"/>
      <c r="G420" s="283"/>
      <c r="H420" s="284">
        <f t="shared" si="62"/>
        <v>0</v>
      </c>
      <c r="I420" s="282"/>
      <c r="J420" s="283"/>
      <c r="K420" s="283"/>
      <c r="L420" s="284">
        <f t="shared" si="63"/>
        <v>0</v>
      </c>
    </row>
    <row r="421" spans="1:12" s="235" customFormat="1" x14ac:dyDescent="0.25">
      <c r="A421" s="262"/>
      <c r="B421" s="262"/>
      <c r="C421" s="263"/>
      <c r="D421" s="281"/>
      <c r="E421" s="282"/>
      <c r="F421" s="283"/>
      <c r="G421" s="283"/>
      <c r="H421" s="284">
        <f t="shared" si="62"/>
        <v>0</v>
      </c>
      <c r="I421" s="282"/>
      <c r="J421" s="283"/>
      <c r="K421" s="283"/>
      <c r="L421" s="284">
        <f t="shared" si="63"/>
        <v>0</v>
      </c>
    </row>
    <row r="422" spans="1:12" s="235" customFormat="1" x14ac:dyDescent="0.25">
      <c r="A422" s="262"/>
      <c r="B422" s="262"/>
      <c r="C422" s="263"/>
      <c r="D422" s="281"/>
      <c r="E422" s="282"/>
      <c r="F422" s="283"/>
      <c r="G422" s="283"/>
      <c r="H422" s="284">
        <f t="shared" si="62"/>
        <v>0</v>
      </c>
      <c r="I422" s="282"/>
      <c r="J422" s="283"/>
      <c r="K422" s="283"/>
      <c r="L422" s="284">
        <f t="shared" si="63"/>
        <v>0</v>
      </c>
    </row>
    <row r="423" spans="1:12" x14ac:dyDescent="0.25">
      <c r="A423" s="262"/>
      <c r="B423" s="262"/>
      <c r="C423" s="275"/>
      <c r="D423" s="236"/>
      <c r="E423" s="264"/>
      <c r="F423" s="318"/>
      <c r="G423" s="318"/>
      <c r="H423" s="267">
        <f t="shared" si="62"/>
        <v>0</v>
      </c>
      <c r="I423" s="264"/>
      <c r="J423" s="318"/>
      <c r="K423" s="318"/>
      <c r="L423" s="267">
        <f t="shared" si="63"/>
        <v>0</v>
      </c>
    </row>
    <row r="424" spans="1:12" s="235" customFormat="1" x14ac:dyDescent="0.25">
      <c r="A424" s="262"/>
      <c r="B424" s="262"/>
      <c r="C424" s="263"/>
      <c r="D424" s="281"/>
      <c r="E424" s="282"/>
      <c r="F424" s="283"/>
      <c r="G424" s="283"/>
      <c r="H424" s="284">
        <f t="shared" ref="H424:H429" si="64">F424*G424</f>
        <v>0</v>
      </c>
      <c r="I424" s="282"/>
      <c r="J424" s="283"/>
      <c r="K424" s="283"/>
      <c r="L424" s="284">
        <f t="shared" ref="L424:L429" si="65">J424*K424</f>
        <v>0</v>
      </c>
    </row>
    <row r="425" spans="1:12" s="235" customFormat="1" x14ac:dyDescent="0.25">
      <c r="A425" s="262"/>
      <c r="B425" s="262"/>
      <c r="C425" s="263"/>
      <c r="D425" s="281"/>
      <c r="E425" s="282"/>
      <c r="F425" s="283"/>
      <c r="G425" s="283"/>
      <c r="H425" s="284">
        <f t="shared" si="64"/>
        <v>0</v>
      </c>
      <c r="I425" s="282"/>
      <c r="J425" s="283"/>
      <c r="K425" s="283"/>
      <c r="L425" s="284">
        <f t="shared" si="65"/>
        <v>0</v>
      </c>
    </row>
    <row r="426" spans="1:12" s="235" customFormat="1" x14ac:dyDescent="0.25">
      <c r="A426" s="262"/>
      <c r="B426" s="262"/>
      <c r="C426" s="263"/>
      <c r="D426" s="281"/>
      <c r="E426" s="282"/>
      <c r="F426" s="283"/>
      <c r="G426" s="283"/>
      <c r="H426" s="284">
        <f t="shared" si="64"/>
        <v>0</v>
      </c>
      <c r="I426" s="282"/>
      <c r="J426" s="283"/>
      <c r="K426" s="283"/>
      <c r="L426" s="284">
        <f t="shared" si="65"/>
        <v>0</v>
      </c>
    </row>
    <row r="427" spans="1:12" s="235" customFormat="1" x14ac:dyDescent="0.25">
      <c r="A427" s="262"/>
      <c r="B427" s="262"/>
      <c r="C427" s="263"/>
      <c r="D427" s="281"/>
      <c r="E427" s="282"/>
      <c r="F427" s="283"/>
      <c r="G427" s="283"/>
      <c r="H427" s="284">
        <f t="shared" si="64"/>
        <v>0</v>
      </c>
      <c r="I427" s="282"/>
      <c r="J427" s="283"/>
      <c r="K427" s="283"/>
      <c r="L427" s="284">
        <f t="shared" si="65"/>
        <v>0</v>
      </c>
    </row>
    <row r="428" spans="1:12" s="235" customFormat="1" x14ac:dyDescent="0.25">
      <c r="A428" s="262"/>
      <c r="B428" s="262"/>
      <c r="C428" s="263"/>
      <c r="D428" s="281"/>
      <c r="E428" s="282"/>
      <c r="F428" s="283"/>
      <c r="G428" s="283"/>
      <c r="H428" s="284">
        <f t="shared" si="64"/>
        <v>0</v>
      </c>
      <c r="I428" s="282"/>
      <c r="J428" s="283"/>
      <c r="K428" s="283"/>
      <c r="L428" s="284">
        <f t="shared" si="65"/>
        <v>0</v>
      </c>
    </row>
    <row r="429" spans="1:12" s="235" customFormat="1" x14ac:dyDescent="0.25">
      <c r="A429" s="262"/>
      <c r="B429" s="262"/>
      <c r="C429" s="263"/>
      <c r="D429" s="281"/>
      <c r="E429" s="282"/>
      <c r="F429" s="283"/>
      <c r="G429" s="283"/>
      <c r="H429" s="284">
        <f t="shared" si="64"/>
        <v>0</v>
      </c>
      <c r="I429" s="282"/>
      <c r="J429" s="283"/>
      <c r="K429" s="283"/>
      <c r="L429" s="284">
        <f t="shared" si="65"/>
        <v>0</v>
      </c>
    </row>
    <row r="430" spans="1:12" s="235" customFormat="1" x14ac:dyDescent="0.25">
      <c r="A430" s="262"/>
      <c r="B430" s="262"/>
      <c r="C430" s="263"/>
      <c r="D430" s="281"/>
      <c r="E430" s="282"/>
      <c r="F430" s="283"/>
      <c r="G430" s="283"/>
      <c r="H430" s="284">
        <f t="shared" si="62"/>
        <v>0</v>
      </c>
      <c r="I430" s="282"/>
      <c r="J430" s="283"/>
      <c r="K430" s="283"/>
      <c r="L430" s="284">
        <f t="shared" ref="L430:L433" si="66">J430*K430</f>
        <v>0</v>
      </c>
    </row>
    <row r="431" spans="1:12" s="235" customFormat="1" x14ac:dyDescent="0.25">
      <c r="A431" s="262"/>
      <c r="B431" s="262"/>
      <c r="C431" s="263"/>
      <c r="D431" s="281"/>
      <c r="E431" s="282"/>
      <c r="F431" s="283"/>
      <c r="G431" s="283"/>
      <c r="H431" s="284">
        <f t="shared" si="62"/>
        <v>0</v>
      </c>
      <c r="I431" s="282"/>
      <c r="J431" s="283"/>
      <c r="K431" s="283"/>
      <c r="L431" s="284">
        <f t="shared" si="66"/>
        <v>0</v>
      </c>
    </row>
    <row r="432" spans="1:12" s="235" customFormat="1" x14ac:dyDescent="0.25">
      <c r="A432" s="262"/>
      <c r="B432" s="262"/>
      <c r="C432" s="263"/>
      <c r="D432" s="281"/>
      <c r="E432" s="282"/>
      <c r="F432" s="283"/>
      <c r="G432" s="283"/>
      <c r="H432" s="284">
        <f t="shared" si="62"/>
        <v>0</v>
      </c>
      <c r="I432" s="282"/>
      <c r="J432" s="283"/>
      <c r="K432" s="283"/>
      <c r="L432" s="284">
        <f t="shared" si="66"/>
        <v>0</v>
      </c>
    </row>
    <row r="433" spans="1:13" s="235" customFormat="1" x14ac:dyDescent="0.25">
      <c r="A433" s="262"/>
      <c r="B433" s="262"/>
      <c r="C433" s="275"/>
      <c r="D433" s="281"/>
      <c r="E433" s="282"/>
      <c r="F433" s="326"/>
      <c r="G433" s="283"/>
      <c r="H433" s="267">
        <f t="shared" si="62"/>
        <v>0</v>
      </c>
      <c r="I433" s="282"/>
      <c r="J433" s="326"/>
      <c r="K433" s="283"/>
      <c r="L433" s="267">
        <f t="shared" si="66"/>
        <v>0</v>
      </c>
    </row>
    <row r="434" spans="1:13" s="235" customFormat="1" ht="15.75" thickBot="1" x14ac:dyDescent="0.3">
      <c r="A434" s="262"/>
      <c r="B434" s="288"/>
      <c r="C434" s="286"/>
      <c r="D434" s="281"/>
      <c r="E434" s="282"/>
      <c r="F434" s="287"/>
      <c r="G434" s="283"/>
      <c r="H434" s="267">
        <f>F434*G434</f>
        <v>0</v>
      </c>
      <c r="I434" s="282"/>
      <c r="J434" s="287"/>
      <c r="K434" s="283"/>
      <c r="L434" s="267">
        <f>J434*K434</f>
        <v>0</v>
      </c>
    </row>
    <row r="435" spans="1:13" ht="15.75" thickBot="1" x14ac:dyDescent="0.3">
      <c r="A435" s="288"/>
      <c r="B435" s="288"/>
      <c r="C435" s="263"/>
      <c r="D435" s="294" t="s">
        <v>0</v>
      </c>
      <c r="E435" s="295"/>
      <c r="F435" s="296">
        <f>SUM(F417:F434)</f>
        <v>0</v>
      </c>
      <c r="G435" s="297" t="e">
        <f>H435/F435</f>
        <v>#DIV/0!</v>
      </c>
      <c r="H435" s="298">
        <f>SUM(H417:H434)</f>
        <v>0</v>
      </c>
      <c r="I435" s="295"/>
      <c r="J435" s="296">
        <f>SUM(J417:J434)</f>
        <v>0</v>
      </c>
      <c r="K435" s="297" t="e">
        <f>L435/J435</f>
        <v>#DIV/0!</v>
      </c>
      <c r="L435" s="298">
        <f>SUM(L417:L434)</f>
        <v>0</v>
      </c>
    </row>
    <row r="436" spans="1:13" ht="15.75" thickBot="1" x14ac:dyDescent="0.3">
      <c r="A436" s="299"/>
      <c r="B436" s="299"/>
      <c r="C436" s="299"/>
      <c r="D436" s="300"/>
      <c r="E436" s="301"/>
      <c r="F436" s="301"/>
      <c r="G436" s="302"/>
      <c r="H436" s="303"/>
      <c r="I436" s="301"/>
      <c r="J436" s="301"/>
      <c r="K436" s="302"/>
      <c r="L436" s="303"/>
    </row>
    <row r="437" spans="1:13" x14ac:dyDescent="0.25">
      <c r="A437" s="288"/>
      <c r="B437" s="288"/>
      <c r="C437" s="263"/>
      <c r="D437" s="276"/>
      <c r="E437" s="277"/>
      <c r="F437" s="278"/>
      <c r="G437" s="279"/>
      <c r="H437" s="280">
        <f t="shared" ref="H437:H451" si="67">F437*G437</f>
        <v>0</v>
      </c>
      <c r="I437" s="277"/>
      <c r="J437" s="278"/>
      <c r="K437" s="279"/>
      <c r="L437" s="280">
        <f t="shared" ref="L437:L442" si="68">J437*K437</f>
        <v>0</v>
      </c>
    </row>
    <row r="438" spans="1:13" x14ac:dyDescent="0.25">
      <c r="A438" s="262"/>
      <c r="B438" s="262"/>
      <c r="C438" s="275"/>
      <c r="D438" s="236">
        <f>D418+1</f>
        <v>45410</v>
      </c>
      <c r="E438" s="264"/>
      <c r="F438" s="265"/>
      <c r="G438" s="266"/>
      <c r="H438" s="267">
        <f t="shared" si="67"/>
        <v>0</v>
      </c>
      <c r="I438" s="264"/>
      <c r="J438" s="265"/>
      <c r="K438" s="266"/>
      <c r="L438" s="267">
        <f t="shared" si="68"/>
        <v>0</v>
      </c>
    </row>
    <row r="439" spans="1:13" s="235" customFormat="1" x14ac:dyDescent="0.25">
      <c r="A439" s="262"/>
      <c r="B439" s="262"/>
      <c r="C439" s="263"/>
      <c r="D439" s="281"/>
      <c r="E439" s="282"/>
      <c r="F439" s="283"/>
      <c r="G439" s="283"/>
      <c r="H439" s="284">
        <f t="shared" si="67"/>
        <v>0</v>
      </c>
      <c r="I439" s="282"/>
      <c r="J439" s="283"/>
      <c r="K439" s="283"/>
      <c r="L439" s="284">
        <f t="shared" si="68"/>
        <v>0</v>
      </c>
    </row>
    <row r="440" spans="1:13" s="235" customFormat="1" x14ac:dyDescent="0.25">
      <c r="A440" s="262"/>
      <c r="B440" s="262"/>
      <c r="C440" s="263"/>
      <c r="D440" s="281"/>
      <c r="E440" s="282"/>
      <c r="F440" s="283"/>
      <c r="G440" s="283"/>
      <c r="H440" s="284">
        <f t="shared" si="67"/>
        <v>0</v>
      </c>
      <c r="I440" s="282"/>
      <c r="J440" s="283"/>
      <c r="K440" s="283"/>
      <c r="L440" s="284">
        <f t="shared" si="68"/>
        <v>0</v>
      </c>
    </row>
    <row r="441" spans="1:13" x14ac:dyDescent="0.25">
      <c r="A441" s="262"/>
      <c r="B441" s="262"/>
      <c r="C441" s="275"/>
      <c r="D441" s="236"/>
      <c r="E441" s="264"/>
      <c r="F441" s="318"/>
      <c r="G441" s="318"/>
      <c r="H441" s="267">
        <f t="shared" si="67"/>
        <v>0</v>
      </c>
      <c r="I441" s="264"/>
      <c r="J441" s="318"/>
      <c r="K441" s="318"/>
      <c r="L441" s="267">
        <f t="shared" si="68"/>
        <v>0</v>
      </c>
    </row>
    <row r="442" spans="1:13" x14ac:dyDescent="0.25">
      <c r="A442" s="262"/>
      <c r="B442" s="262"/>
      <c r="C442" s="275"/>
      <c r="D442" s="236"/>
      <c r="E442" s="264"/>
      <c r="F442" s="318"/>
      <c r="G442" s="318"/>
      <c r="H442" s="267">
        <f t="shared" si="67"/>
        <v>0</v>
      </c>
      <c r="I442" s="264"/>
      <c r="J442" s="318"/>
      <c r="K442" s="318"/>
      <c r="L442" s="267">
        <f t="shared" si="68"/>
        <v>0</v>
      </c>
    </row>
    <row r="443" spans="1:13" s="235" customFormat="1" x14ac:dyDescent="0.25">
      <c r="A443" s="262"/>
      <c r="B443" s="262"/>
      <c r="C443" s="286"/>
      <c r="D443" s="281"/>
      <c r="E443" s="282"/>
      <c r="F443" s="287"/>
      <c r="G443" s="283"/>
      <c r="H443" s="267">
        <f>F443*G443</f>
        <v>0</v>
      </c>
      <c r="I443" s="282"/>
      <c r="J443" s="287"/>
      <c r="K443" s="283"/>
      <c r="L443" s="267">
        <f>J443*K443</f>
        <v>0</v>
      </c>
    </row>
    <row r="444" spans="1:13" s="235" customFormat="1" x14ac:dyDescent="0.25">
      <c r="A444" s="262"/>
      <c r="B444" s="262"/>
      <c r="C444" s="263"/>
      <c r="D444" s="281"/>
      <c r="E444" s="282"/>
      <c r="F444" s="283"/>
      <c r="G444" s="283"/>
      <c r="H444" s="284">
        <f t="shared" si="67"/>
        <v>0</v>
      </c>
      <c r="I444" s="282"/>
      <c r="J444" s="283"/>
      <c r="K444" s="283"/>
      <c r="L444" s="284">
        <f t="shared" ref="L444:L451" si="69">J444*K444</f>
        <v>0</v>
      </c>
    </row>
    <row r="445" spans="1:13" s="235" customFormat="1" x14ac:dyDescent="0.25">
      <c r="A445" s="262"/>
      <c r="B445" s="262"/>
      <c r="C445" s="263"/>
      <c r="D445" s="281"/>
      <c r="E445" s="282"/>
      <c r="F445" s="283"/>
      <c r="G445" s="283"/>
      <c r="H445" s="284">
        <f t="shared" si="67"/>
        <v>0</v>
      </c>
      <c r="I445" s="282"/>
      <c r="J445" s="283"/>
      <c r="K445" s="283"/>
      <c r="L445" s="284">
        <f t="shared" si="69"/>
        <v>0</v>
      </c>
    </row>
    <row r="446" spans="1:13" s="235" customFormat="1" x14ac:dyDescent="0.25">
      <c r="A446" s="262"/>
      <c r="B446" s="262"/>
      <c r="C446" s="263"/>
      <c r="D446" s="281"/>
      <c r="E446" s="282"/>
      <c r="F446" s="283"/>
      <c r="G446" s="283"/>
      <c r="H446" s="284">
        <f t="shared" si="67"/>
        <v>0</v>
      </c>
      <c r="I446" s="282"/>
      <c r="J446" s="283"/>
      <c r="K446" s="283"/>
      <c r="L446" s="284">
        <f t="shared" si="69"/>
        <v>0</v>
      </c>
    </row>
    <row r="447" spans="1:13" s="235" customFormat="1" x14ac:dyDescent="0.25">
      <c r="A447" s="262"/>
      <c r="B447" s="262"/>
      <c r="C447" s="263"/>
      <c r="D447" s="281"/>
      <c r="E447" s="282"/>
      <c r="F447" s="283"/>
      <c r="G447" s="283"/>
      <c r="H447" s="284">
        <f t="shared" si="67"/>
        <v>0</v>
      </c>
      <c r="I447" s="282"/>
      <c r="J447" s="283"/>
      <c r="K447" s="283"/>
      <c r="L447" s="284">
        <f t="shared" si="69"/>
        <v>0</v>
      </c>
      <c r="M447" s="235">
        <f>K447/1.95583</f>
        <v>0</v>
      </c>
    </row>
    <row r="448" spans="1:13" s="235" customFormat="1" x14ac:dyDescent="0.25">
      <c r="A448" s="262"/>
      <c r="B448" s="262"/>
      <c r="C448" s="263"/>
      <c r="D448" s="281"/>
      <c r="E448" s="282"/>
      <c r="F448" s="283"/>
      <c r="G448" s="283"/>
      <c r="H448" s="284">
        <f t="shared" si="67"/>
        <v>0</v>
      </c>
      <c r="I448" s="282"/>
      <c r="J448" s="283"/>
      <c r="K448" s="283"/>
      <c r="L448" s="284">
        <f t="shared" si="69"/>
        <v>0</v>
      </c>
      <c r="M448" s="235">
        <f>K448/1.95583</f>
        <v>0</v>
      </c>
    </row>
    <row r="449" spans="1:12" s="235" customFormat="1" x14ac:dyDescent="0.25">
      <c r="A449" s="262"/>
      <c r="B449" s="262"/>
      <c r="C449" s="263"/>
      <c r="D449" s="281"/>
      <c r="E449" s="282"/>
      <c r="F449" s="283"/>
      <c r="G449" s="283"/>
      <c r="H449" s="284">
        <f t="shared" si="67"/>
        <v>0</v>
      </c>
      <c r="I449" s="282"/>
      <c r="J449" s="283"/>
      <c r="K449" s="283"/>
      <c r="L449" s="284">
        <f t="shared" si="69"/>
        <v>0</v>
      </c>
    </row>
    <row r="450" spans="1:12" s="235" customFormat="1" x14ac:dyDescent="0.25">
      <c r="A450" s="262"/>
      <c r="B450" s="262"/>
      <c r="C450" s="286"/>
      <c r="D450" s="281"/>
      <c r="E450" s="265"/>
      <c r="F450" s="265"/>
      <c r="G450" s="283"/>
      <c r="H450" s="267">
        <f t="shared" si="67"/>
        <v>0</v>
      </c>
      <c r="I450" s="265"/>
      <c r="J450" s="265"/>
      <c r="K450" s="283"/>
      <c r="L450" s="267">
        <f t="shared" si="69"/>
        <v>0</v>
      </c>
    </row>
    <row r="451" spans="1:12" s="235" customFormat="1" ht="15.75" thickBot="1" x14ac:dyDescent="0.3">
      <c r="A451" s="262"/>
      <c r="B451" s="262"/>
      <c r="C451" s="286"/>
      <c r="D451" s="281"/>
      <c r="E451" s="265"/>
      <c r="F451" s="265"/>
      <c r="G451" s="283"/>
      <c r="H451" s="267">
        <f t="shared" si="67"/>
        <v>0</v>
      </c>
      <c r="I451" s="265"/>
      <c r="J451" s="265"/>
      <c r="K451" s="283"/>
      <c r="L451" s="267">
        <f t="shared" si="69"/>
        <v>0</v>
      </c>
    </row>
    <row r="452" spans="1:12" ht="15.75" thickBot="1" x14ac:dyDescent="0.3">
      <c r="A452" s="262"/>
      <c r="B452" s="262"/>
      <c r="C452" s="286"/>
      <c r="D452" s="294" t="s">
        <v>0</v>
      </c>
      <c r="E452" s="295"/>
      <c r="F452" s="296">
        <f>SUM(F437:F451)</f>
        <v>0</v>
      </c>
      <c r="G452" s="297" t="e">
        <f>H452/F452</f>
        <v>#DIV/0!</v>
      </c>
      <c r="H452" s="298">
        <f>SUM(H437:H451)</f>
        <v>0</v>
      </c>
      <c r="I452" s="295"/>
      <c r="J452" s="296">
        <f>SUM(J437:J451)</f>
        <v>0</v>
      </c>
      <c r="K452" s="297" t="e">
        <f>L452/J452</f>
        <v>#DIV/0!</v>
      </c>
      <c r="L452" s="298">
        <f>SUM(L437:L451)</f>
        <v>0</v>
      </c>
    </row>
    <row r="453" spans="1:12" ht="15.75" thickBot="1" x14ac:dyDescent="0.3">
      <c r="A453" s="299"/>
      <c r="B453" s="299"/>
      <c r="C453" s="299"/>
      <c r="D453" s="300"/>
      <c r="E453" s="301"/>
      <c r="F453" s="301"/>
      <c r="G453" s="302"/>
      <c r="H453" s="303"/>
      <c r="I453" s="301"/>
      <c r="J453" s="301"/>
      <c r="K453" s="302"/>
      <c r="L453" s="303"/>
    </row>
    <row r="454" spans="1:12" x14ac:dyDescent="0.25">
      <c r="A454" s="288"/>
      <c r="B454" s="288"/>
      <c r="C454" s="263"/>
      <c r="D454" s="276"/>
      <c r="E454" s="277"/>
      <c r="F454" s="278"/>
      <c r="G454" s="279"/>
      <c r="H454" s="280">
        <f t="shared" ref="H454:H465" si="70">F454*G454</f>
        <v>0</v>
      </c>
      <c r="I454" s="277"/>
      <c r="J454" s="278"/>
      <c r="K454" s="279"/>
      <c r="L454" s="280">
        <f t="shared" ref="L454:L463" si="71">J454*K454</f>
        <v>0</v>
      </c>
    </row>
    <row r="455" spans="1:12" ht="13.9" customHeight="1" x14ac:dyDescent="0.25">
      <c r="A455" s="262"/>
      <c r="B455" s="262"/>
      <c r="C455" s="275"/>
      <c r="D455" s="236">
        <f>D438+1</f>
        <v>45411</v>
      </c>
      <c r="E455" s="264"/>
      <c r="F455" s="265"/>
      <c r="G455" s="266"/>
      <c r="H455" s="267">
        <f t="shared" si="70"/>
        <v>0</v>
      </c>
      <c r="I455" s="264"/>
      <c r="J455" s="265"/>
      <c r="K455" s="266"/>
      <c r="L455" s="267">
        <f t="shared" si="71"/>
        <v>0</v>
      </c>
    </row>
    <row r="456" spans="1:12" s="235" customFormat="1" x14ac:dyDescent="0.25">
      <c r="A456" s="262"/>
      <c r="B456" s="262"/>
      <c r="C456" s="263"/>
      <c r="D456" s="281"/>
      <c r="E456" s="282"/>
      <c r="F456" s="283"/>
      <c r="G456" s="283"/>
      <c r="H456" s="284">
        <f t="shared" si="70"/>
        <v>0</v>
      </c>
      <c r="I456" s="282"/>
      <c r="J456" s="283"/>
      <c r="K456" s="283"/>
      <c r="L456" s="284">
        <f t="shared" si="71"/>
        <v>0</v>
      </c>
    </row>
    <row r="457" spans="1:12" s="235" customFormat="1" x14ac:dyDescent="0.25">
      <c r="A457" s="262"/>
      <c r="B457" s="262"/>
      <c r="C457" s="263"/>
      <c r="D457" s="281"/>
      <c r="E457" s="282"/>
      <c r="F457" s="283"/>
      <c r="G457" s="283"/>
      <c r="H457" s="284">
        <f t="shared" si="70"/>
        <v>0</v>
      </c>
      <c r="I457" s="282"/>
      <c r="J457" s="283"/>
      <c r="K457" s="283"/>
      <c r="L457" s="284">
        <f t="shared" si="71"/>
        <v>0</v>
      </c>
    </row>
    <row r="458" spans="1:12" s="235" customFormat="1" x14ac:dyDescent="0.25">
      <c r="A458" s="262"/>
      <c r="B458" s="262"/>
      <c r="C458" s="263"/>
      <c r="D458" s="281"/>
      <c r="E458" s="282"/>
      <c r="F458" s="283"/>
      <c r="G458" s="283"/>
      <c r="H458" s="284">
        <f t="shared" si="70"/>
        <v>0</v>
      </c>
      <c r="I458" s="282"/>
      <c r="J458" s="283"/>
      <c r="K458" s="283"/>
      <c r="L458" s="284">
        <f t="shared" si="71"/>
        <v>0</v>
      </c>
    </row>
    <row r="459" spans="1:12" x14ac:dyDescent="0.25">
      <c r="A459" s="262"/>
      <c r="B459" s="262"/>
      <c r="C459" s="275"/>
      <c r="D459" s="236"/>
      <c r="E459" s="264"/>
      <c r="F459" s="318"/>
      <c r="G459" s="318"/>
      <c r="H459" s="267">
        <f t="shared" si="70"/>
        <v>0</v>
      </c>
      <c r="I459" s="264"/>
      <c r="J459" s="318"/>
      <c r="K459" s="318"/>
      <c r="L459" s="267">
        <f t="shared" si="71"/>
        <v>0</v>
      </c>
    </row>
    <row r="460" spans="1:12" x14ac:dyDescent="0.25">
      <c r="A460" s="262"/>
      <c r="B460" s="262"/>
      <c r="C460" s="275"/>
      <c r="D460" s="236"/>
      <c r="E460" s="264"/>
      <c r="F460" s="318"/>
      <c r="G460" s="318"/>
      <c r="H460" s="267">
        <f t="shared" si="70"/>
        <v>0</v>
      </c>
      <c r="I460" s="264"/>
      <c r="J460" s="318"/>
      <c r="K460" s="318"/>
      <c r="L460" s="267">
        <f t="shared" si="71"/>
        <v>0</v>
      </c>
    </row>
    <row r="461" spans="1:12" x14ac:dyDescent="0.25">
      <c r="A461" s="262"/>
      <c r="B461" s="262"/>
      <c r="C461" s="275"/>
      <c r="D461" s="236"/>
      <c r="E461" s="264"/>
      <c r="F461" s="318"/>
      <c r="G461" s="318"/>
      <c r="H461" s="267">
        <f t="shared" si="70"/>
        <v>0</v>
      </c>
      <c r="I461" s="264"/>
      <c r="J461" s="318"/>
      <c r="K461" s="318"/>
      <c r="L461" s="267">
        <f t="shared" si="71"/>
        <v>0</v>
      </c>
    </row>
    <row r="462" spans="1:12" x14ac:dyDescent="0.25">
      <c r="A462" s="262"/>
      <c r="B462" s="262"/>
      <c r="C462" s="275"/>
      <c r="D462" s="236"/>
      <c r="E462" s="264"/>
      <c r="F462" s="318"/>
      <c r="G462" s="318"/>
      <c r="H462" s="267">
        <f t="shared" si="70"/>
        <v>0</v>
      </c>
      <c r="I462" s="264"/>
      <c r="J462" s="318"/>
      <c r="K462" s="318"/>
      <c r="L462" s="267">
        <f t="shared" si="71"/>
        <v>0</v>
      </c>
    </row>
    <row r="463" spans="1:12" x14ac:dyDescent="0.25">
      <c r="A463" s="262"/>
      <c r="B463" s="262"/>
      <c r="C463" s="275"/>
      <c r="D463" s="236"/>
      <c r="E463" s="264"/>
      <c r="F463" s="318"/>
      <c r="G463" s="318"/>
      <c r="H463" s="267">
        <f t="shared" si="70"/>
        <v>0</v>
      </c>
      <c r="I463" s="264"/>
      <c r="J463" s="318"/>
      <c r="K463" s="318"/>
      <c r="L463" s="267">
        <f t="shared" si="71"/>
        <v>0</v>
      </c>
    </row>
    <row r="464" spans="1:12" s="235" customFormat="1" x14ac:dyDescent="0.25">
      <c r="A464" s="262"/>
      <c r="B464" s="262"/>
      <c r="C464" s="286"/>
      <c r="D464" s="281"/>
      <c r="E464" s="282"/>
      <c r="F464" s="287"/>
      <c r="G464" s="283"/>
      <c r="H464" s="267">
        <f>F464*G464</f>
        <v>0</v>
      </c>
      <c r="I464" s="282"/>
      <c r="J464" s="287"/>
      <c r="K464" s="283"/>
      <c r="L464" s="267">
        <f>J464*K464</f>
        <v>0</v>
      </c>
    </row>
    <row r="465" spans="1:12" s="235" customFormat="1" ht="15.75" thickBot="1" x14ac:dyDescent="0.3">
      <c r="A465" s="262"/>
      <c r="B465" s="262"/>
      <c r="C465" s="275"/>
      <c r="D465" s="281"/>
      <c r="E465" s="264"/>
      <c r="F465" s="265"/>
      <c r="G465" s="266"/>
      <c r="H465" s="267">
        <f t="shared" si="70"/>
        <v>0</v>
      </c>
      <c r="I465" s="264"/>
      <c r="J465" s="265"/>
      <c r="K465" s="266"/>
      <c r="L465" s="267">
        <f t="shared" ref="L465" si="72">J465*K465</f>
        <v>0</v>
      </c>
    </row>
    <row r="466" spans="1:12" ht="15.75" thickBot="1" x14ac:dyDescent="0.3">
      <c r="A466" s="288"/>
      <c r="B466" s="288"/>
      <c r="C466" s="263"/>
      <c r="D466" s="294" t="s">
        <v>0</v>
      </c>
      <c r="E466" s="295"/>
      <c r="F466" s="296">
        <f>SUM(F454:F465)</f>
        <v>0</v>
      </c>
      <c r="G466" s="297" t="e">
        <f>H466/F466</f>
        <v>#DIV/0!</v>
      </c>
      <c r="H466" s="298">
        <f>SUM(H454:H465)</f>
        <v>0</v>
      </c>
      <c r="I466" s="295"/>
      <c r="J466" s="296">
        <f>SUM(J454:J465)</f>
        <v>0</v>
      </c>
      <c r="K466" s="297" t="e">
        <f>L466/J466</f>
        <v>#DIV/0!</v>
      </c>
      <c r="L466" s="298">
        <f>SUM(L454:L465)</f>
        <v>0</v>
      </c>
    </row>
    <row r="467" spans="1:12" ht="15.75" thickBot="1" x14ac:dyDescent="0.3">
      <c r="A467" s="299"/>
      <c r="B467" s="299"/>
      <c r="C467" s="299"/>
      <c r="D467" s="300"/>
      <c r="E467" s="301"/>
      <c r="F467" s="301"/>
      <c r="G467" s="302"/>
      <c r="H467" s="303"/>
      <c r="I467" s="301"/>
      <c r="J467" s="301"/>
      <c r="K467" s="302"/>
      <c r="L467" s="303"/>
    </row>
    <row r="468" spans="1:12" x14ac:dyDescent="0.25">
      <c r="A468" s="288"/>
      <c r="B468" s="288"/>
      <c r="C468" s="263"/>
      <c r="D468" s="276"/>
      <c r="E468" s="277"/>
      <c r="F468" s="278"/>
      <c r="G468" s="279"/>
      <c r="H468" s="280">
        <f t="shared" ref="H468:H474" si="73">F468*G468</f>
        <v>0</v>
      </c>
      <c r="I468" s="277"/>
      <c r="J468" s="278"/>
      <c r="K468" s="279"/>
      <c r="L468" s="280">
        <f t="shared" ref="L468:L474" si="74">J468*K468</f>
        <v>0</v>
      </c>
    </row>
    <row r="469" spans="1:12" ht="13.9" customHeight="1" x14ac:dyDescent="0.25">
      <c r="A469" s="262"/>
      <c r="B469" s="262"/>
      <c r="C469" s="275"/>
      <c r="D469" s="236">
        <f>D455+1</f>
        <v>45412</v>
      </c>
      <c r="E469" s="264"/>
      <c r="F469" s="265"/>
      <c r="G469" s="266"/>
      <c r="H469" s="267">
        <f t="shared" si="73"/>
        <v>0</v>
      </c>
      <c r="I469" s="264"/>
      <c r="J469" s="265"/>
      <c r="K469" s="266"/>
      <c r="L469" s="267">
        <f t="shared" si="74"/>
        <v>0</v>
      </c>
    </row>
    <row r="470" spans="1:12" s="235" customFormat="1" x14ac:dyDescent="0.25">
      <c r="A470" s="262"/>
      <c r="B470" s="262"/>
      <c r="C470" s="263"/>
      <c r="D470" s="281"/>
      <c r="E470" s="282"/>
      <c r="F470" s="283"/>
      <c r="G470" s="283"/>
      <c r="H470" s="284">
        <f t="shared" si="73"/>
        <v>0</v>
      </c>
      <c r="I470" s="282"/>
      <c r="J470" s="283"/>
      <c r="K470" s="283"/>
      <c r="L470" s="284">
        <f t="shared" si="74"/>
        <v>0</v>
      </c>
    </row>
    <row r="471" spans="1:12" s="235" customFormat="1" x14ac:dyDescent="0.25">
      <c r="A471" s="262"/>
      <c r="B471" s="262"/>
      <c r="C471" s="263"/>
      <c r="D471" s="281"/>
      <c r="E471" s="282"/>
      <c r="F471" s="283"/>
      <c r="G471" s="283"/>
      <c r="H471" s="284">
        <f t="shared" si="73"/>
        <v>0</v>
      </c>
      <c r="I471" s="282"/>
      <c r="J471" s="283"/>
      <c r="K471" s="283"/>
      <c r="L471" s="284">
        <f t="shared" si="74"/>
        <v>0</v>
      </c>
    </row>
    <row r="472" spans="1:12" s="235" customFormat="1" x14ac:dyDescent="0.25">
      <c r="A472" s="262"/>
      <c r="B472" s="262"/>
      <c r="C472" s="263"/>
      <c r="D472" s="281"/>
      <c r="E472" s="282"/>
      <c r="F472" s="283"/>
      <c r="G472" s="283"/>
      <c r="H472" s="284">
        <f t="shared" si="73"/>
        <v>0</v>
      </c>
      <c r="I472" s="282"/>
      <c r="J472" s="283"/>
      <c r="K472" s="283"/>
      <c r="L472" s="284">
        <f t="shared" si="74"/>
        <v>0</v>
      </c>
    </row>
    <row r="473" spans="1:12" x14ac:dyDescent="0.25">
      <c r="A473" s="262"/>
      <c r="B473" s="262"/>
      <c r="C473" s="275"/>
      <c r="D473" s="236"/>
      <c r="E473" s="264"/>
      <c r="F473" s="318"/>
      <c r="G473" s="318"/>
      <c r="H473" s="267">
        <f t="shared" si="73"/>
        <v>0</v>
      </c>
      <c r="I473" s="264"/>
      <c r="J473" s="318"/>
      <c r="K473" s="318"/>
      <c r="L473" s="267">
        <f t="shared" si="74"/>
        <v>0</v>
      </c>
    </row>
    <row r="474" spans="1:12" x14ac:dyDescent="0.25">
      <c r="A474" s="262"/>
      <c r="B474" s="262"/>
      <c r="C474" s="275"/>
      <c r="D474" s="236"/>
      <c r="E474" s="264"/>
      <c r="F474" s="318"/>
      <c r="G474" s="318"/>
      <c r="H474" s="267">
        <f t="shared" si="73"/>
        <v>0</v>
      </c>
      <c r="I474" s="264"/>
      <c r="J474" s="318"/>
      <c r="K474" s="318"/>
      <c r="L474" s="267">
        <f t="shared" si="74"/>
        <v>0</v>
      </c>
    </row>
    <row r="475" spans="1:12" s="235" customFormat="1" x14ac:dyDescent="0.25">
      <c r="A475" s="262"/>
      <c r="B475" s="262"/>
      <c r="C475" s="286"/>
      <c r="D475" s="281"/>
      <c r="E475" s="282"/>
      <c r="F475" s="287"/>
      <c r="G475" s="283"/>
      <c r="H475" s="267">
        <f>F475*G475</f>
        <v>0</v>
      </c>
      <c r="I475" s="282"/>
      <c r="J475" s="287"/>
      <c r="K475" s="283"/>
      <c r="L475" s="267">
        <f>J475*K475</f>
        <v>0</v>
      </c>
    </row>
    <row r="476" spans="1:12" s="235" customFormat="1" ht="15.75" thickBot="1" x14ac:dyDescent="0.3">
      <c r="A476" s="262"/>
      <c r="B476" s="262"/>
      <c r="C476" s="275"/>
      <c r="D476" s="281"/>
      <c r="E476" s="264"/>
      <c r="F476" s="265"/>
      <c r="G476" s="266"/>
      <c r="H476" s="267">
        <f t="shared" ref="H476" si="75">F476*G476</f>
        <v>0</v>
      </c>
      <c r="I476" s="264"/>
      <c r="J476" s="265"/>
      <c r="K476" s="266"/>
      <c r="L476" s="267">
        <f t="shared" ref="L476" si="76">J476*K476</f>
        <v>0</v>
      </c>
    </row>
    <row r="477" spans="1:12" ht="15.75" thickBot="1" x14ac:dyDescent="0.3">
      <c r="A477" s="288"/>
      <c r="B477" s="288"/>
      <c r="C477" s="263"/>
      <c r="D477" s="294" t="s">
        <v>0</v>
      </c>
      <c r="E477" s="295"/>
      <c r="F477" s="296">
        <f>SUM(F468:F476)</f>
        <v>0</v>
      </c>
      <c r="G477" s="297" t="e">
        <f>H477/F477</f>
        <v>#DIV/0!</v>
      </c>
      <c r="H477" s="298">
        <f>SUM(H468:H476)</f>
        <v>0</v>
      </c>
      <c r="I477" s="295"/>
      <c r="J477" s="296">
        <f>SUM(J468:J476)</f>
        <v>0</v>
      </c>
      <c r="K477" s="297" t="e">
        <f>L477/J477</f>
        <v>#DIV/0!</v>
      </c>
      <c r="L477" s="298">
        <f>SUM(L468:L476)</f>
        <v>0</v>
      </c>
    </row>
    <row r="478" spans="1:12" x14ac:dyDescent="0.25">
      <c r="A478" s="299"/>
      <c r="B478" s="299"/>
      <c r="C478" s="299"/>
      <c r="D478" s="300"/>
      <c r="E478" s="301"/>
      <c r="F478" s="301"/>
      <c r="G478" s="302"/>
      <c r="H478" s="303"/>
      <c r="I478" s="301"/>
      <c r="J478" s="301"/>
      <c r="K478" s="302"/>
      <c r="L478" s="303"/>
    </row>
  </sheetData>
  <mergeCells count="6">
    <mergeCell ref="I7:K7"/>
    <mergeCell ref="L7:L8"/>
    <mergeCell ref="D6:L6"/>
    <mergeCell ref="H7:H8"/>
    <mergeCell ref="F4:H4"/>
    <mergeCell ref="E7:G7"/>
  </mergeCells>
  <phoneticPr fontId="44" type="noConversion"/>
  <pageMargins left="0.7" right="0.7" top="0.75" bottom="0.75" header="0.3" footer="0.3"/>
  <pageSetup orientation="portrait" horizontalDpi="300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CL63"/>
  <sheetViews>
    <sheetView topLeftCell="AF4" zoomScale="70" zoomScaleNormal="70" workbookViewId="0">
      <selection activeCell="AS17" sqref="AS17:AS18"/>
    </sheetView>
  </sheetViews>
  <sheetFormatPr defaultColWidth="8.85546875" defaultRowHeight="15" x14ac:dyDescent="0.25"/>
  <cols>
    <col min="1" max="1" width="4.5703125" style="1" customWidth="1"/>
    <col min="2" max="2" width="12.42578125" style="1" bestFit="1" customWidth="1"/>
    <col min="3" max="3" width="13.7109375" style="1" customWidth="1"/>
    <col min="4" max="4" width="12.5703125" style="1" customWidth="1"/>
    <col min="5" max="5" width="10.85546875" style="1" customWidth="1"/>
    <col min="6" max="6" width="10.7109375" style="1" customWidth="1"/>
    <col min="7" max="7" width="9.42578125" style="1" customWidth="1"/>
    <col min="8" max="8" width="16.28515625" style="1" bestFit="1" customWidth="1"/>
    <col min="9" max="10" width="14.140625" style="1" customWidth="1"/>
    <col min="11" max="11" width="15.42578125" style="1" bestFit="1" customWidth="1"/>
    <col min="12" max="12" width="15.7109375" style="1" customWidth="1"/>
    <col min="13" max="24" width="14.140625" style="1" customWidth="1"/>
    <col min="25" max="25" width="10.7109375" style="1" customWidth="1"/>
    <col min="26" max="26" width="16.42578125" style="1" customWidth="1"/>
    <col min="27" max="27" width="11.7109375" style="1" customWidth="1"/>
    <col min="28" max="28" width="10.7109375" style="1" customWidth="1"/>
    <col min="29" max="29" width="7.42578125" style="1" bestFit="1" customWidth="1"/>
    <col min="30" max="31" width="14" style="1" customWidth="1"/>
    <col min="32" max="32" width="16.7109375" style="1" customWidth="1"/>
    <col min="33" max="33" width="15.140625" style="1" customWidth="1"/>
    <col min="34" max="34" width="12" style="1" customWidth="1"/>
    <col min="35" max="35" width="9" style="1" customWidth="1"/>
    <col min="36" max="36" width="14" style="1" customWidth="1"/>
    <col min="37" max="37" width="19" style="1" customWidth="1"/>
    <col min="38" max="38" width="14.42578125" style="1" customWidth="1"/>
    <col min="39" max="39" width="18.140625" style="1" customWidth="1"/>
    <col min="40" max="40" width="13.140625" style="1" bestFit="1" customWidth="1"/>
    <col min="41" max="41" width="10.28515625" style="1" bestFit="1" customWidth="1"/>
    <col min="42" max="42" width="12.42578125" style="1" bestFit="1" customWidth="1"/>
    <col min="43" max="43" width="12.42578125" style="1" customWidth="1"/>
    <col min="44" max="44" width="12.7109375" style="4" customWidth="1"/>
    <col min="45" max="45" width="8.85546875" style="4"/>
    <col min="46" max="46" width="8.85546875" style="4" hidden="1" customWidth="1"/>
    <col min="47" max="47" width="8.85546875" style="1"/>
    <col min="48" max="48" width="12.42578125" style="1" bestFit="1" customWidth="1"/>
    <col min="49" max="49" width="12.7109375" style="4" customWidth="1"/>
    <col min="50" max="50" width="15.5703125" style="4" customWidth="1"/>
    <col min="51" max="51" width="8.85546875" style="4" hidden="1" customWidth="1"/>
    <col min="52" max="52" width="8.85546875" style="1"/>
    <col min="53" max="53" width="12.42578125" style="1" bestFit="1" customWidth="1"/>
    <col min="54" max="54" width="15.42578125" style="1" customWidth="1"/>
    <col min="55" max="55" width="13.28515625" style="1" customWidth="1"/>
    <col min="56" max="56" width="14.140625" style="1" bestFit="1" customWidth="1"/>
    <col min="57" max="57" width="8.85546875" style="1"/>
    <col min="58" max="58" width="12.42578125" style="1" bestFit="1" customWidth="1"/>
    <col min="59" max="59" width="12.85546875" style="1" bestFit="1" customWidth="1"/>
    <col min="60" max="60" width="13" style="1" bestFit="1" customWidth="1"/>
    <col min="61" max="63" width="11.85546875" style="1" bestFit="1" customWidth="1"/>
    <col min="64" max="64" width="11.85546875" style="1" customWidth="1"/>
    <col min="65" max="65" width="11.85546875" style="1" bestFit="1" customWidth="1"/>
    <col min="66" max="66" width="11.7109375" style="1" bestFit="1" customWidth="1"/>
    <col min="67" max="67" width="13.5703125" style="1" bestFit="1" customWidth="1"/>
    <col min="68" max="68" width="8.85546875" style="1"/>
    <col min="69" max="69" width="12.42578125" style="1" bestFit="1" customWidth="1"/>
    <col min="70" max="70" width="13.85546875" style="1" bestFit="1" customWidth="1"/>
    <col min="71" max="71" width="13" style="1" bestFit="1" customWidth="1"/>
    <col min="72" max="73" width="11.85546875" style="1" bestFit="1" customWidth="1"/>
    <col min="74" max="74" width="12.7109375" style="1" bestFit="1" customWidth="1"/>
    <col min="75" max="75" width="12.7109375" style="1" customWidth="1"/>
    <col min="76" max="76" width="11.85546875" style="1" bestFit="1" customWidth="1"/>
    <col min="77" max="77" width="9.7109375" style="1" bestFit="1" customWidth="1"/>
    <col min="78" max="78" width="13.5703125" style="1" bestFit="1" customWidth="1"/>
    <col min="79" max="79" width="8.85546875" style="1"/>
    <col min="80" max="80" width="12.42578125" style="1" bestFit="1" customWidth="1"/>
    <col min="81" max="81" width="12.85546875" style="1" bestFit="1" customWidth="1"/>
    <col min="82" max="82" width="13" style="1" bestFit="1" customWidth="1"/>
    <col min="83" max="85" width="11.85546875" style="1" bestFit="1" customWidth="1"/>
    <col min="86" max="86" width="11.85546875" style="1" customWidth="1"/>
    <col min="87" max="87" width="11.85546875" style="1" bestFit="1" customWidth="1"/>
    <col min="88" max="88" width="11.7109375" style="1" bestFit="1" customWidth="1"/>
    <col min="89" max="89" width="13.5703125" style="1" bestFit="1" customWidth="1"/>
    <col min="90" max="90" width="12.7109375" style="1" bestFit="1" customWidth="1"/>
    <col min="91" max="16384" width="8.85546875" style="1"/>
  </cols>
  <sheetData>
    <row r="1" spans="2:90" ht="15.75" thickBot="1" x14ac:dyDescent="0.3">
      <c r="AD1" s="16"/>
      <c r="AE1" s="16"/>
      <c r="AF1" s="16"/>
      <c r="AL1" s="4"/>
    </row>
    <row r="2" spans="2:90" ht="31.9" customHeight="1" thickBot="1" x14ac:dyDescent="0.3">
      <c r="B2" s="71"/>
      <c r="C2" s="714" t="s">
        <v>161</v>
      </c>
      <c r="D2" s="715"/>
      <c r="E2" s="715"/>
      <c r="F2" s="715"/>
      <c r="G2" s="715"/>
      <c r="H2" s="715"/>
      <c r="I2" s="715"/>
      <c r="J2" s="715"/>
      <c r="K2" s="715"/>
      <c r="L2" s="715"/>
      <c r="M2" s="715"/>
      <c r="N2" s="715"/>
      <c r="O2" s="715"/>
      <c r="P2" s="715"/>
      <c r="Q2" s="715"/>
      <c r="R2" s="715"/>
      <c r="S2" s="715"/>
      <c r="T2" s="715"/>
      <c r="U2" s="715"/>
      <c r="V2" s="715"/>
      <c r="W2" s="715"/>
      <c r="X2" s="715"/>
      <c r="Y2" s="716"/>
      <c r="Z2" s="6"/>
      <c r="AA2" s="717" t="s">
        <v>60</v>
      </c>
      <c r="AB2" s="718"/>
      <c r="AD2" s="719" t="s">
        <v>50</v>
      </c>
      <c r="AE2" s="720"/>
      <c r="AF2" s="720"/>
      <c r="AG2" s="720"/>
      <c r="AH2" s="721"/>
      <c r="AJ2" s="711" t="s">
        <v>58</v>
      </c>
      <c r="AK2" s="712"/>
      <c r="AL2" s="712"/>
      <c r="AM2" s="712"/>
      <c r="AN2" s="713"/>
      <c r="AP2" s="710" t="s">
        <v>160</v>
      </c>
      <c r="AQ2" s="710"/>
      <c r="AR2" s="710"/>
      <c r="AS2" s="710"/>
      <c r="AT2" s="710"/>
      <c r="AV2" s="710" t="s">
        <v>160</v>
      </c>
      <c r="AW2" s="710"/>
      <c r="AX2" s="710"/>
      <c r="AY2" s="710"/>
      <c r="BA2" s="710" t="s">
        <v>159</v>
      </c>
      <c r="BB2" s="710"/>
      <c r="BC2" s="710"/>
      <c r="BD2" s="710"/>
      <c r="BF2" s="710" t="s">
        <v>166</v>
      </c>
      <c r="BG2" s="710"/>
      <c r="BH2" s="710"/>
      <c r="BI2" s="710"/>
      <c r="BJ2" s="710"/>
      <c r="BK2" s="710"/>
      <c r="BL2" s="710"/>
      <c r="BM2" s="710"/>
      <c r="BN2" s="710"/>
      <c r="BO2" s="710"/>
      <c r="BQ2" s="710" t="s">
        <v>167</v>
      </c>
      <c r="BR2" s="710"/>
      <c r="BS2" s="710"/>
      <c r="BT2" s="710"/>
      <c r="BU2" s="710"/>
      <c r="BV2" s="710"/>
      <c r="BW2" s="710"/>
      <c r="BX2" s="710"/>
      <c r="BY2" s="710"/>
      <c r="BZ2" s="710"/>
      <c r="CB2" s="710" t="s">
        <v>168</v>
      </c>
      <c r="CC2" s="710"/>
      <c r="CD2" s="710"/>
      <c r="CE2" s="710"/>
      <c r="CF2" s="710"/>
      <c r="CG2" s="710"/>
      <c r="CH2" s="710"/>
      <c r="CI2" s="710"/>
      <c r="CJ2" s="710"/>
      <c r="CK2" s="710"/>
    </row>
    <row r="3" spans="2:90" s="28" customFormat="1" ht="82.9" customHeight="1" thickBot="1" x14ac:dyDescent="0.3">
      <c r="B3" s="72" t="s">
        <v>8</v>
      </c>
      <c r="C3" s="29" t="s">
        <v>14</v>
      </c>
      <c r="D3" s="30" t="s">
        <v>15</v>
      </c>
      <c r="E3" s="30" t="s">
        <v>16</v>
      </c>
      <c r="F3" s="30" t="s">
        <v>17</v>
      </c>
      <c r="G3" s="33" t="s">
        <v>75</v>
      </c>
      <c r="H3" s="33" t="s">
        <v>80</v>
      </c>
      <c r="I3" s="33" t="s">
        <v>172</v>
      </c>
      <c r="J3" s="33" t="s">
        <v>110</v>
      </c>
      <c r="K3" s="33" t="s">
        <v>111</v>
      </c>
      <c r="L3" s="33" t="s">
        <v>108</v>
      </c>
      <c r="M3" s="33" t="s">
        <v>113</v>
      </c>
      <c r="N3" s="33" t="s">
        <v>130</v>
      </c>
      <c r="O3" s="33" t="s">
        <v>131</v>
      </c>
      <c r="P3" s="33" t="s">
        <v>132</v>
      </c>
      <c r="Q3" s="33" t="s">
        <v>133</v>
      </c>
      <c r="R3" s="33" t="s">
        <v>114</v>
      </c>
      <c r="S3" s="33" t="s">
        <v>134</v>
      </c>
      <c r="T3" s="33" t="s">
        <v>135</v>
      </c>
      <c r="U3" s="33" t="str">
        <f>+ДХТ!B2</f>
        <v xml:space="preserve">ДХТ </v>
      </c>
      <c r="V3" s="33" t="str">
        <f>+ДХТ!G2</f>
        <v>ДХТ</v>
      </c>
      <c r="W3" s="33" t="s">
        <v>232</v>
      </c>
      <c r="X3" s="33" t="s">
        <v>147</v>
      </c>
      <c r="Y3" s="31" t="s">
        <v>38</v>
      </c>
      <c r="Z3" s="32" t="s">
        <v>51</v>
      </c>
      <c r="AA3" s="29" t="s">
        <v>52</v>
      </c>
      <c r="AB3" s="31" t="s">
        <v>53</v>
      </c>
      <c r="AD3" s="41" t="str">
        <f>Цени!E2</f>
        <v>ТБЛ-ЧИРЕН добив</v>
      </c>
      <c r="AE3" s="223" t="str">
        <f>+Цени!C2</f>
        <v>Булгаргаз</v>
      </c>
      <c r="AF3" s="223" t="str">
        <f>+Цени!D2</f>
        <v>доставчици</v>
      </c>
      <c r="AG3" s="42" t="s">
        <v>54</v>
      </c>
      <c r="AH3" s="153" t="s">
        <v>0</v>
      </c>
      <c r="AJ3" s="43" t="s">
        <v>73</v>
      </c>
      <c r="AK3" s="44" t="s">
        <v>118</v>
      </c>
      <c r="AL3" s="45" t="s">
        <v>227</v>
      </c>
      <c r="AM3" s="33" t="s">
        <v>228</v>
      </c>
      <c r="AN3" s="36" t="s">
        <v>229</v>
      </c>
      <c r="AP3" s="328" t="s">
        <v>8</v>
      </c>
      <c r="AQ3" s="328" t="s">
        <v>164</v>
      </c>
      <c r="AR3" s="331" t="s">
        <v>153</v>
      </c>
      <c r="AS3" s="331" t="s">
        <v>165</v>
      </c>
      <c r="AT3" s="331" t="s">
        <v>162</v>
      </c>
      <c r="AV3" s="328" t="s">
        <v>8</v>
      </c>
      <c r="AW3" s="331" t="s">
        <v>153</v>
      </c>
      <c r="AX3" s="331" t="s">
        <v>152</v>
      </c>
      <c r="AY3" s="331" t="s">
        <v>4</v>
      </c>
      <c r="BA3" s="328" t="s">
        <v>8</v>
      </c>
      <c r="BB3" s="330" t="s">
        <v>154</v>
      </c>
      <c r="BC3" s="331" t="s">
        <v>156</v>
      </c>
      <c r="BD3" s="330" t="s">
        <v>155</v>
      </c>
      <c r="BF3" s="328" t="s">
        <v>8</v>
      </c>
      <c r="BG3" s="328" t="s">
        <v>14</v>
      </c>
      <c r="BH3" s="328" t="s">
        <v>15</v>
      </c>
      <c r="BI3" s="328" t="s">
        <v>157</v>
      </c>
      <c r="BJ3" s="328" t="s">
        <v>116</v>
      </c>
      <c r="BK3" s="328" t="s">
        <v>38</v>
      </c>
      <c r="BL3" s="328" t="s">
        <v>75</v>
      </c>
      <c r="BM3" s="330" t="s">
        <v>151</v>
      </c>
      <c r="BN3" s="330" t="s">
        <v>129</v>
      </c>
      <c r="BO3" s="330" t="s">
        <v>158</v>
      </c>
      <c r="BQ3" s="328" t="s">
        <v>8</v>
      </c>
      <c r="BR3" s="328" t="s">
        <v>14</v>
      </c>
      <c r="BS3" s="328" t="s">
        <v>15</v>
      </c>
      <c r="BT3" s="328" t="s">
        <v>157</v>
      </c>
      <c r="BU3" s="328" t="s">
        <v>116</v>
      </c>
      <c r="BV3" s="328" t="s">
        <v>38</v>
      </c>
      <c r="BW3" s="328" t="s">
        <v>75</v>
      </c>
      <c r="BX3" s="330" t="s">
        <v>151</v>
      </c>
      <c r="BY3" s="330" t="s">
        <v>129</v>
      </c>
      <c r="BZ3" s="330" t="s">
        <v>158</v>
      </c>
      <c r="CB3" s="328" t="s">
        <v>8</v>
      </c>
      <c r="CC3" s="328" t="s">
        <v>14</v>
      </c>
      <c r="CD3" s="328" t="s">
        <v>15</v>
      </c>
      <c r="CE3" s="328" t="s">
        <v>157</v>
      </c>
      <c r="CF3" s="328" t="s">
        <v>116</v>
      </c>
      <c r="CG3" s="328" t="s">
        <v>38</v>
      </c>
      <c r="CH3" s="328" t="s">
        <v>75</v>
      </c>
      <c r="CI3" s="330" t="s">
        <v>151</v>
      </c>
      <c r="CJ3" s="330" t="s">
        <v>129</v>
      </c>
      <c r="CK3" s="330" t="s">
        <v>158</v>
      </c>
    </row>
    <row r="4" spans="2:90" x14ac:dyDescent="0.25">
      <c r="B4" s="47">
        <v>45383</v>
      </c>
      <c r="C4" s="333">
        <f>+Плевен!K4+Плевен!L4</f>
        <v>1064.7809999999999</v>
      </c>
      <c r="D4" s="334">
        <f>Бургас!H4</f>
        <v>116.83900000000006</v>
      </c>
      <c r="E4" s="334">
        <f>'Враца 1'!H4</f>
        <v>0</v>
      </c>
      <c r="F4" s="334">
        <f>'Враца 2'!H4</f>
        <v>0</v>
      </c>
      <c r="G4" s="335">
        <f>Русе!G4</f>
        <v>0</v>
      </c>
      <c r="H4" s="335">
        <f>+'Русе Кемикълс'!E4</f>
        <v>2.6469999999999998</v>
      </c>
      <c r="I4" s="335">
        <f>+'Нова пауър'!E4</f>
        <v>0</v>
      </c>
      <c r="J4" s="335">
        <f>+'Доминекс про'!E4</f>
        <v>18.937000000000001</v>
      </c>
      <c r="K4" s="335">
        <f>+Труд!E4</f>
        <v>25.940999999999999</v>
      </c>
      <c r="L4" s="335">
        <f>+'Велико Търново'!E4</f>
        <v>0</v>
      </c>
      <c r="M4" s="335">
        <f>+Берус!E4</f>
        <v>0.214</v>
      </c>
      <c r="N4" s="335">
        <f>+'Бултекс 1'!E4</f>
        <v>1.825</v>
      </c>
      <c r="O4" s="335">
        <f>+Алуком!E4</f>
        <v>0.85399999999999998</v>
      </c>
      <c r="P4" s="335">
        <f>+Илинден!E4</f>
        <v>0</v>
      </c>
      <c r="Q4" s="335">
        <f>+'Ваптех АМ'!E4</f>
        <v>0</v>
      </c>
      <c r="R4" s="335">
        <f>+РВД!E4</f>
        <v>10.974</v>
      </c>
      <c r="S4" s="335">
        <f>+'Тенекс С'!E4</f>
        <v>0</v>
      </c>
      <c r="T4" s="335">
        <f>+Декотекс!E4</f>
        <v>20.934000000000001</v>
      </c>
      <c r="U4" s="335">
        <f>+ДХТ!D4</f>
        <v>0</v>
      </c>
      <c r="V4" s="335">
        <f>+ДХТ!I4</f>
        <v>0</v>
      </c>
      <c r="W4" s="335">
        <f>+ЕМИ!D4</f>
        <v>0</v>
      </c>
      <c r="X4" s="335">
        <f>+Цени!L3</f>
        <v>0</v>
      </c>
      <c r="Y4" s="336">
        <f>Перник!G4</f>
        <v>0</v>
      </c>
      <c r="Z4" s="337">
        <f>'Борса и балансиране'!F4</f>
        <v>0</v>
      </c>
      <c r="AA4" s="333">
        <f>IF(AH4-SUM(G4:Z4,Плевен!K4,Плевен!L4,Бургас!H4,'Враца 1'!H4,'Враца 2'!H4)&gt;=0,AH4-SUM(G4:Z4,Плевен!K4,Плевен!L4,Бургас!H4,'Враца 1'!H4,'Враца 2'!H4),IF(AH4-SUM(G4:Z4,Плевен!K4,Плевен!L4,Бургас!H4,'Враца 1'!H4,'Враца 2'!H4)&lt;=0,0))</f>
        <v>31.054000000000087</v>
      </c>
      <c r="AB4" s="336">
        <f>IF(AH4-SUM(G4:Z4,Плевен!K4,Плевен!L4,Бургас!H4,'Враца 1'!H4,'Враца 2'!H4)&lt;=0,AH4-SUM(G4:Z4,Плевен!K4,Плевен!L4,Бургас!H4,'Враца 1'!H4,'Враца 2'!H4),IF(AH4-SUM(G4:Z4,Плевен!K4,Плевен!L4,Бургас!H4,'Враца 1'!H4,'Враца 2'!H4)&gt;=0,0))</f>
        <v>0</v>
      </c>
      <c r="AC4" s="16"/>
      <c r="AD4" s="342">
        <f>Цени!E3</f>
        <v>0</v>
      </c>
      <c r="AE4" s="342">
        <f>+Цени!C3+Цени!F3</f>
        <v>15</v>
      </c>
      <c r="AF4" s="342">
        <f>+Цени!D3</f>
        <v>0</v>
      </c>
      <c r="AG4" s="343">
        <f>'Борса и балансиране'!C4</f>
        <v>1280</v>
      </c>
      <c r="AH4" s="344">
        <f t="shared" ref="AH4" si="0">SUM(AD4:AG4)</f>
        <v>1295</v>
      </c>
      <c r="AI4" s="16"/>
      <c r="AJ4" s="345">
        <f>SUM(Плевен!K4+Бургас!H4+'Враца 1'!H4+'Враца 2'!H4+Русе!G4+'Велико Търново'!E4)*(Цени!I3+Цени!$E$56)+Перник!G4*(Цени!$G$41-Цени!H3+Цени!$E$56)+Плевен!L4*(Цени!$G$42-Цени!H3+Цени!$E$56)+Плевен!R4+Бургас!O4+'Враца 1'!N4+'Враца 2'!N4+Перник!N4+Русе!M4+'Велико Търново'!J4+'Тенекс С'!J4+'Борса и балансиране'!H4-'Борса и балансиране'!E4+'Борса и балансиране'!N4+'Борса и балансиране'!O4-('Борса и балансиране'!J4+'Борса и балансиране'!K4-'Борса и балансиране'!C4+'Борса и балансиране'!F4)*Цени!H3+'Тенекс С'!E4*(Цени!$G$44-Цени!H3+Цени!$E$56)+(Алуком!E4+'Русе Кемикълс'!E4+'Доминекс про'!E4+Берус!E4+'Бултекс 1'!E4)*(Цени!$G$44-Цени!H3)+(Илинден!E4+'Ваптех АМ'!E4+'Нова пауър'!E4)*(Цени!$G$44-Цени!H3)+РВД!E4*(Цени!$G$45-Цени!H3)+(Декотекс!E4)*(Цени!$G$43-Цени!H3)+(Труд!E4)*(Цени!$G$44-Цени!H3)+ДХТ!D4*(ДХТ!E4-Цени!H3)+ДХТ!I4*(ДХТ!J4-Цени!H3)+ЕМИ!D4*(ЕМИ!E4-Цени!H3)</f>
        <v>20848.793390000006</v>
      </c>
      <c r="AK4" s="346">
        <v>2485</v>
      </c>
      <c r="AL4" s="347">
        <f>AJ4-AK4+Перник!T15</f>
        <v>18363.793390000006</v>
      </c>
      <c r="AM4" s="348">
        <f>+(Цени!$E$35-Цени!$M$1)*Цени!E3</f>
        <v>0</v>
      </c>
      <c r="AN4" s="349">
        <f>AL4++AM4</f>
        <v>18363.793390000006</v>
      </c>
      <c r="AO4" s="4"/>
      <c r="AP4" s="329">
        <f>+B4</f>
        <v>45383</v>
      </c>
      <c r="AQ4" s="354">
        <f>+Цени!G39</f>
        <v>58.84</v>
      </c>
      <c r="AR4" s="353">
        <f>+AW4</f>
        <v>44.468069498069497</v>
      </c>
      <c r="AS4" s="332">
        <f>27.25*1.95583</f>
        <v>53.296367500000002</v>
      </c>
      <c r="AT4" s="353">
        <f>+AR4-AS4</f>
        <v>-8.8282980019305057</v>
      </c>
      <c r="AV4" s="329">
        <f>+AP4</f>
        <v>45383</v>
      </c>
      <c r="AW4" s="354">
        <f>+(Цени!K3*Цени!H3+'Борса и балансиране'!E4+'Борса и балансиране'!O4*-1)/(Цени!K3+'Борса и балансиране'!C4+'Борса и балансиране'!K4*-1)</f>
        <v>44.468069498069497</v>
      </c>
      <c r="AX4" s="354">
        <f>+(Плевен!K4*Цени!$G$41+Плевен!L4*Цени!$G$41+Бургас!H4*Цени!$G$41+'Враца 1'!H4*Цени!$G$41+'Враца 2'!H4*Цени!$G$41+Перник!G4*Цени!$G$41+Русе!G4*Цени!$G$41+'Велико Търново'!E4*Цени!$G$41+'Русе Кемикълс'!E4*Цени!$G$45+'Нова пауър'!E4*Цени!$G$45+Труд!E4*Цени!$G$43+Берус!E4*Цени!$G$45+'Доминекс про'!E4*Цени!$G$45+'Бултекс 1'!E4*Цени!$G$45+РВД!E4*Цени!$G$45+'Тенекс С'!E4*Цени!$G$42+Декотекс!E4*Цени!$G$43+Алуком!E4*Цени!$G$45+Илинден!E4*Цени!$G$44+'Ваптех АМ'!E4*Цени!$G$44+'Борса и балансиране'!H4+'Борса и балансиране'!N4+Плевен!S4)/(Плевен!K4+Плевен!L4+Бургас!H4+'Враца 1'!H4+'Враца 2'!H4+Перник!G4+Русе!G4+'Велико Търново'!E4+'Русе Кемикълс'!E4+'Нова пауър'!E4+Труд!E4+Берус!E4+'Доминекс про'!E4+'Бултекс 1'!E4+РВД!E4+'Тенекс С'!E4+Декотекс!E4+'Борса и балансиране'!F4+'Борса и балансиране'!J4)</f>
        <v>59.974818606246913</v>
      </c>
      <c r="AY4" s="353">
        <f>+AX4-AW4</f>
        <v>15.506749108177416</v>
      </c>
      <c r="BA4" s="329">
        <f>+AV4</f>
        <v>45383</v>
      </c>
      <c r="BB4" s="355">
        <f>+Цени!$L$1+Цени!L3-Цени!E3</f>
        <v>147998.64500000011</v>
      </c>
      <c r="BC4" s="353">
        <f t="shared" ref="BC4" si="1">+BD4/BB4</f>
        <v>229.36627236379309</v>
      </c>
      <c r="BD4" s="353">
        <f>+Цени!$N$1+Цени!N3-Цени!E3*Цени!$M$1</f>
        <v>33945897.518542349</v>
      </c>
      <c r="BF4" s="329">
        <f>+BA4</f>
        <v>45383</v>
      </c>
      <c r="BG4" s="401">
        <v>6825122.2699999996</v>
      </c>
      <c r="BH4" s="401">
        <v>0</v>
      </c>
      <c r="BI4" s="401">
        <v>0</v>
      </c>
      <c r="BJ4" s="401">
        <v>0</v>
      </c>
      <c r="BK4" s="401">
        <v>2098870.2800000003</v>
      </c>
      <c r="BL4" s="401">
        <v>0</v>
      </c>
      <c r="BM4" s="401">
        <v>0</v>
      </c>
      <c r="BN4" s="401">
        <v>0</v>
      </c>
      <c r="BO4" s="358">
        <f>SUM(BG4:BN4)</f>
        <v>8923992.5500000007</v>
      </c>
      <c r="BQ4" s="329">
        <f>+BF4</f>
        <v>45383</v>
      </c>
      <c r="BR4" s="357">
        <f t="shared" ref="BR4" si="2">+CC4-BG4</f>
        <v>0</v>
      </c>
      <c r="BS4" s="357">
        <f t="shared" ref="BS4" si="3">+CD4-BH4</f>
        <v>0</v>
      </c>
      <c r="BT4" s="357">
        <f t="shared" ref="BT4" si="4">+CE4-BI4</f>
        <v>0</v>
      </c>
      <c r="BU4" s="357">
        <f t="shared" ref="BU4" si="5">+CF4-BJ4</f>
        <v>0</v>
      </c>
      <c r="BV4" s="357">
        <f t="shared" ref="BV4:BW4" si="6">+CG4-BK4</f>
        <v>11618458.91</v>
      </c>
      <c r="BW4" s="357">
        <f t="shared" si="6"/>
        <v>15249723.549999999</v>
      </c>
      <c r="BX4" s="357">
        <f t="shared" ref="BX4" si="7">+CI4-BM4</f>
        <v>0</v>
      </c>
      <c r="BY4" s="357">
        <f t="shared" ref="BY4" si="8">+CJ4-BN4</f>
        <v>3567553.1529600001</v>
      </c>
      <c r="BZ4" s="358">
        <f t="shared" ref="BZ4:BZ17" si="9">SUM(BR4:BY4)</f>
        <v>30435735.61296</v>
      </c>
      <c r="CB4" s="329">
        <f>+BQ4</f>
        <v>45383</v>
      </c>
      <c r="CC4" s="401">
        <v>6825122.2699999996</v>
      </c>
      <c r="CD4" s="401">
        <v>0</v>
      </c>
      <c r="CE4" s="401">
        <v>0</v>
      </c>
      <c r="CF4" s="401">
        <v>0</v>
      </c>
      <c r="CG4" s="401">
        <v>13717329.190000001</v>
      </c>
      <c r="CH4" s="401">
        <v>15249723.549999999</v>
      </c>
      <c r="CI4" s="401">
        <v>0</v>
      </c>
      <c r="CJ4" s="401">
        <v>3567553.1529600001</v>
      </c>
      <c r="CK4" s="358">
        <f>SUM(CC4:CJ4)</f>
        <v>39359728.16296</v>
      </c>
    </row>
    <row r="5" spans="2:90" x14ac:dyDescent="0.25">
      <c r="B5" s="47">
        <f>+B4+1</f>
        <v>45384</v>
      </c>
      <c r="C5" s="333">
        <f>+Плевен!K5+Плевен!L5</f>
        <v>1052.5260000000001</v>
      </c>
      <c r="D5" s="334">
        <f>Бургас!H5</f>
        <v>149.3660000000001</v>
      </c>
      <c r="E5" s="334">
        <f>'Враца 1'!H5</f>
        <v>0</v>
      </c>
      <c r="F5" s="334">
        <f>'Враца 2'!H5</f>
        <v>0</v>
      </c>
      <c r="G5" s="335">
        <f>Русе!G5</f>
        <v>0</v>
      </c>
      <c r="H5" s="335">
        <f>+'Русе Кемикълс'!E5</f>
        <v>3.01</v>
      </c>
      <c r="I5" s="335">
        <f>+'Нова пауър'!E5</f>
        <v>0</v>
      </c>
      <c r="J5" s="335">
        <f>+'Доминекс про'!E5</f>
        <v>23.100999999999999</v>
      </c>
      <c r="K5" s="335">
        <f>+Труд!E5</f>
        <v>28.341999999999999</v>
      </c>
      <c r="L5" s="335">
        <f>+'Велико Търново'!E5</f>
        <v>0</v>
      </c>
      <c r="M5" s="335">
        <f>+Берус!E5</f>
        <v>0.32</v>
      </c>
      <c r="N5" s="335">
        <f>+'Бултекс 1'!E5</f>
        <v>1.9750000000000001</v>
      </c>
      <c r="O5" s="335">
        <f>+Алуком!E5</f>
        <v>0</v>
      </c>
      <c r="P5" s="335">
        <f>+Илинден!E5</f>
        <v>0</v>
      </c>
      <c r="Q5" s="335">
        <f>+'Ваптех АМ'!E5</f>
        <v>0</v>
      </c>
      <c r="R5" s="335">
        <f>+РВД!E5</f>
        <v>11.71</v>
      </c>
      <c r="S5" s="335">
        <f>+'Тенекс С'!E5</f>
        <v>0</v>
      </c>
      <c r="T5" s="335">
        <f>+Декотекс!E5</f>
        <v>2.242</v>
      </c>
      <c r="U5" s="335">
        <f>+ДХТ!D5</f>
        <v>0</v>
      </c>
      <c r="V5" s="335">
        <f>+ДХТ!I5</f>
        <v>0</v>
      </c>
      <c r="W5" s="335">
        <f>+ЕМИ!D5</f>
        <v>0</v>
      </c>
      <c r="X5" s="335">
        <f>+Цени!L4</f>
        <v>0</v>
      </c>
      <c r="Y5" s="336">
        <f>Перник!G5</f>
        <v>1</v>
      </c>
      <c r="Z5" s="337">
        <f>'Борса и балансиране'!F5</f>
        <v>0</v>
      </c>
      <c r="AA5" s="333">
        <f>IF(AH5-SUM(G5:Z5,Плевен!K5,Плевен!L5,Бургас!H5,'Враца 1'!H5,'Враца 2'!H5)&gt;=0,AH5-SUM(G5:Z5,Плевен!K5,Плевен!L5,Бургас!H5,'Враца 1'!H5,'Враца 2'!H5),IF(AH5-SUM(G5:Z5,Плевен!K5,Плевен!L5,Бургас!H5,'Враца 1'!H5,'Враца 2'!H5)&lt;=0,0))</f>
        <v>0</v>
      </c>
      <c r="AB5" s="336">
        <f>IF(AH5-SUM(G5:Z5,Плевен!K5,Плевен!L5,Бургас!H5,'Враца 1'!H5,'Враца 2'!H5)&lt;=0,AH5-SUM(G5:Z5,Плевен!K5,Плевен!L5,Бургас!H5,'Враца 1'!H5,'Враца 2'!H5),IF(AH5-SUM(G5:Z5,Плевен!K5,Плевен!L5,Бургас!H5,'Враца 1'!H5,'Враца 2'!H5)&gt;=0,0))</f>
        <v>-158.5920000000001</v>
      </c>
      <c r="AD5" s="342">
        <f>Цени!E4</f>
        <v>0</v>
      </c>
      <c r="AE5" s="342">
        <f>+Цени!C4+Цени!F4</f>
        <v>15</v>
      </c>
      <c r="AF5" s="342">
        <f>+Цени!D4</f>
        <v>0</v>
      </c>
      <c r="AG5" s="343">
        <f>'Борса и балансиране'!C5</f>
        <v>1100</v>
      </c>
      <c r="AH5" s="344">
        <f t="shared" ref="AH5:AH33" si="10">SUM(AD5:AG5)</f>
        <v>1115</v>
      </c>
      <c r="AJ5" s="345">
        <f>SUM(Плевен!K5+Бургас!H5+'Враца 1'!H5+'Враца 2'!H5+Русе!G5+'Велико Търново'!E5)*(Цени!I4+Цени!$E$56)+Перник!G5*(Цени!$G$41-Цени!H4+Цени!$E$56)+Плевен!L5*(Цени!$G$42-Цени!H4+Цени!$E$56)+Плевен!R5+Бургас!O5+'Враца 1'!N5+'Враца 2'!N5+Перник!N5+Русе!M5+'Велико Търново'!J5+'Тенекс С'!J5+'Борса и балансиране'!H5-'Борса и балансиране'!E5+'Борса и балансиране'!N5+'Борса и балансиране'!O5-('Борса и балансиране'!J5+'Борса и балансиране'!K5-'Борса и балансиране'!C5+'Борса и балансиране'!F5)*Цени!H4+'Тенекс С'!E5*(Цени!$G$44-Цени!H4+Цени!$E$56)+(Алуком!E5+'Русе Кемикълс'!E5+'Доминекс про'!E5+Берус!E5+'Бултекс 1'!E5)*(Цени!$G$44-Цени!H4)+(Илинден!E5+'Ваптех АМ'!E5+'Нова пауър'!E5)*(Цени!$G$44-Цени!H4)+РВД!E5*(Цени!$G$45-Цени!H4)+(Декотекс!E5)*(Цени!$G$43-Цени!H4)+(Труд!E5)*(Цени!$G$44-Цени!H4)+ДХТ!D5*(ДХТ!E5-Цени!H4)+ДХТ!I5*(ДХТ!J5-Цени!H4)+ЕМИ!D5*(ЕМИ!E5-Цени!H4)</f>
        <v>22522.004038000014</v>
      </c>
      <c r="AK5" s="346">
        <v>2485</v>
      </c>
      <c r="AL5" s="347">
        <f>AJ5-AK5+Перник!T16</f>
        <v>20037.004038000014</v>
      </c>
      <c r="AM5" s="348">
        <f>+(Цени!$E$35-Цени!$M$1)*Цени!E4</f>
        <v>0</v>
      </c>
      <c r="AN5" s="349">
        <f>AL5++AM5</f>
        <v>20037.004038000014</v>
      </c>
      <c r="AP5" s="329">
        <f>+AP4+1</f>
        <v>45384</v>
      </c>
      <c r="AQ5" s="353">
        <f>+AQ4</f>
        <v>58.84</v>
      </c>
      <c r="AR5" s="353">
        <f t="shared" ref="AR5:AR33" si="11">+AW5</f>
        <v>43.588119272105978</v>
      </c>
      <c r="AS5" s="332">
        <f>28.6*1.95583</f>
        <v>55.936737999999998</v>
      </c>
      <c r="AT5" s="353">
        <f t="shared" ref="AT5:AT33" si="12">+AR5-AS5</f>
        <v>-12.348618727894021</v>
      </c>
      <c r="AV5" s="329">
        <f>+AV4+1</f>
        <v>45384</v>
      </c>
      <c r="AW5" s="354">
        <f>+(Цени!K4*Цени!H4+'Борса и балансиране'!E5+'Борса и балансиране'!O5*-1)/(Цени!K4+'Борса и балансиране'!C5+'Борса и балансиране'!K5*-1)</f>
        <v>43.588119272105978</v>
      </c>
      <c r="AX5" s="354">
        <f>+(Плевен!K5*Цени!$G$41+Плевен!L5*Цени!$G$41+Бургас!H5*Цени!$G$41+'Враца 1'!H5*Цени!$G$41+'Враца 2'!H5*Цени!$G$41+Перник!G5*Цени!$G$41+Русе!G5*Цени!$G$41+'Велико Търново'!E5*Цени!$G$41+'Русе Кемикълс'!E5*Цени!$G$45+'Нова пауър'!E5*Цени!$G$45+Труд!E5*Цени!$G$43+Берус!E5*Цени!$G$45+'Доминекс про'!E5*Цени!$G$45+'Бултекс 1'!E5*Цени!$G$45+РВД!E5*Цени!$G$45+'Тенекс С'!E5*Цени!$G$42+Декотекс!E5*Цени!$G$43+Алуком!E5*Цени!$G$45+Илинден!E5*Цени!$G$44+'Ваптех АМ'!E5*Цени!$G$44+'Борса и балансиране'!H5+'Борса и балансиране'!N5+Плевен!S5)/(Плевен!K5+Плевен!L5+Бургас!H5+'Враца 1'!H5+'Враца 2'!H5+Перник!G5+Русе!G5+'Велико Търново'!E5+'Русе Кемикълс'!E5+'Нова пауър'!E5+Труд!E5+Берус!E5+'Доминекс про'!E5+'Бултекс 1'!E5+РВД!E5+'Тенекс С'!E5+Декотекс!E5+'Борса и балансиране'!F5+'Борса и балансиране'!J5)</f>
        <v>60.601308456711415</v>
      </c>
      <c r="AY5" s="354">
        <f>+(Цени!M4*Цени!J4+'Борса и балансиране'!G5+'Борса и балансиране'!Q5*-1)/(Цени!M4+'Борса и балансиране'!E5+'Борса и балансиране'!M5*-1)</f>
        <v>0</v>
      </c>
      <c r="BA5" s="329">
        <f>+BA4+1</f>
        <v>45384</v>
      </c>
      <c r="BB5" s="355">
        <f>+BB4-Цени!E4+Цени!L4</f>
        <v>147998.64500000011</v>
      </c>
      <c r="BC5" s="353">
        <f t="shared" ref="BC5" si="13">+BD5/BB5</f>
        <v>229.36627236379309</v>
      </c>
      <c r="BD5" s="353">
        <f>+BD4+Цени!N4-Цени!E4*Цени!$M$1</f>
        <v>33945897.518542349</v>
      </c>
      <c r="BF5" s="329">
        <f>+BF4+1</f>
        <v>45384</v>
      </c>
      <c r="BG5" s="401">
        <v>6825122.2699999996</v>
      </c>
      <c r="BH5" s="401">
        <v>0</v>
      </c>
      <c r="BI5" s="401">
        <v>0</v>
      </c>
      <c r="BJ5" s="401">
        <v>0</v>
      </c>
      <c r="BK5" s="401">
        <v>2098870.2800000003</v>
      </c>
      <c r="BL5" s="401">
        <v>0</v>
      </c>
      <c r="BM5" s="401">
        <v>58860</v>
      </c>
      <c r="BN5" s="401">
        <v>0</v>
      </c>
      <c r="BO5" s="358">
        <f>SUM(BG5:BN5)</f>
        <v>8982852.5500000007</v>
      </c>
      <c r="BQ5" s="329">
        <f>+BQ4+1</f>
        <v>45384</v>
      </c>
      <c r="BR5" s="357">
        <f t="shared" ref="BR5:BR33" si="14">+CC5-BG5</f>
        <v>0</v>
      </c>
      <c r="BS5" s="357">
        <f t="shared" ref="BS5:BS33" si="15">+CD5-BH5</f>
        <v>0</v>
      </c>
      <c r="BT5" s="357">
        <f t="shared" ref="BT5:BT33" si="16">+CE5-BI5</f>
        <v>0</v>
      </c>
      <c r="BU5" s="357">
        <f t="shared" ref="BU5:BU33" si="17">+CF5-BJ5</f>
        <v>0</v>
      </c>
      <c r="BV5" s="357">
        <f t="shared" ref="BV5:BW33" si="18">+CG5-BK5</f>
        <v>11618458.91</v>
      </c>
      <c r="BW5" s="357">
        <f t="shared" si="18"/>
        <v>15249723.549999999</v>
      </c>
      <c r="BX5" s="357">
        <f t="shared" ref="BX5:BX33" si="19">+CI5-BM5</f>
        <v>0</v>
      </c>
      <c r="BY5" s="357">
        <f t="shared" ref="BY5:BY33" si="20">+CJ5-BN5</f>
        <v>3567553.1529600001</v>
      </c>
      <c r="BZ5" s="358">
        <f t="shared" si="9"/>
        <v>30435735.61296</v>
      </c>
      <c r="CB5" s="329">
        <f>+CB4+1</f>
        <v>45384</v>
      </c>
      <c r="CC5" s="401">
        <v>6825122.2699999996</v>
      </c>
      <c r="CD5" s="401">
        <v>0</v>
      </c>
      <c r="CE5" s="401">
        <v>0</v>
      </c>
      <c r="CF5" s="401">
        <v>0</v>
      </c>
      <c r="CG5" s="401">
        <v>13717329.190000001</v>
      </c>
      <c r="CH5" s="401">
        <v>15249723.549999999</v>
      </c>
      <c r="CI5" s="401">
        <v>58860</v>
      </c>
      <c r="CJ5" s="401">
        <v>3567553.1529600001</v>
      </c>
      <c r="CK5" s="358">
        <f t="shared" ref="CK5:CK17" si="21">SUM(CC5:CJ5)</f>
        <v>39418588.16296</v>
      </c>
    </row>
    <row r="6" spans="2:90" x14ac:dyDescent="0.25">
      <c r="B6" s="47">
        <f t="shared" ref="B6:B33" si="22">+B5+1</f>
        <v>45385</v>
      </c>
      <c r="C6" s="333">
        <f>+Плевен!K6+Плевен!L6</f>
        <v>1085.587</v>
      </c>
      <c r="D6" s="334">
        <f>Бургас!H6</f>
        <v>124.66399999999999</v>
      </c>
      <c r="E6" s="334">
        <f>'Враца 1'!H6</f>
        <v>0</v>
      </c>
      <c r="F6" s="334">
        <f>'Враца 2'!H6</f>
        <v>0</v>
      </c>
      <c r="G6" s="335">
        <f>Русе!G6</f>
        <v>0</v>
      </c>
      <c r="H6" s="335">
        <f>+'Русе Кемикълс'!E6</f>
        <v>2.669</v>
      </c>
      <c r="I6" s="335">
        <f>+'Нова пауър'!E6</f>
        <v>0</v>
      </c>
      <c r="J6" s="335">
        <f>+'Доминекс про'!E6</f>
        <v>20.347000000000001</v>
      </c>
      <c r="K6" s="335">
        <f>+Труд!E6</f>
        <v>27.850999999999999</v>
      </c>
      <c r="L6" s="335">
        <f>+'Велико Търново'!E6</f>
        <v>0</v>
      </c>
      <c r="M6" s="335">
        <f>+Берус!E6</f>
        <v>0.214</v>
      </c>
      <c r="N6" s="335">
        <f>+'Бултекс 1'!E6</f>
        <v>0.85399999999999998</v>
      </c>
      <c r="O6" s="335">
        <f>+Алуком!E6</f>
        <v>1.153</v>
      </c>
      <c r="P6" s="335">
        <f>+Илинден!E6</f>
        <v>0</v>
      </c>
      <c r="Q6" s="335">
        <f>+'Ваптех АМ'!E6</f>
        <v>0</v>
      </c>
      <c r="R6" s="335">
        <f>+РВД!E6</f>
        <v>11.891999999999999</v>
      </c>
      <c r="S6" s="335">
        <f>+'Тенекс С'!E6</f>
        <v>0</v>
      </c>
      <c r="T6" s="335">
        <f>+Декотекс!E6</f>
        <v>3.17</v>
      </c>
      <c r="U6" s="335">
        <f>+ДХТ!D6</f>
        <v>0</v>
      </c>
      <c r="V6" s="335">
        <f>+ДХТ!I6</f>
        <v>0</v>
      </c>
      <c r="W6" s="335">
        <f>+ЕМИ!D6</f>
        <v>0</v>
      </c>
      <c r="X6" s="335">
        <f>+Цени!L5</f>
        <v>0</v>
      </c>
      <c r="Y6" s="336">
        <f>Перник!G6</f>
        <v>5.5109999999999673</v>
      </c>
      <c r="Z6" s="337">
        <f>'Борса и балансиране'!F6</f>
        <v>0</v>
      </c>
      <c r="AA6" s="333">
        <f>IF(AH6-SUM(G6:Z6,Плевен!K6,Плевен!L6,Бургас!H6,'Враца 1'!H6,'Враца 2'!H6)&gt;=0,AH6-SUM(G6:Z6,Плевен!K6,Плевен!L6,Бургас!H6,'Враца 1'!H6,'Враца 2'!H6),IF(AH6-SUM(G6:Z6,Плевен!K6,Плевен!L6,Бургас!H6,'Враца 1'!H6,'Враца 2'!H6)&lt;=0,0))</f>
        <v>0</v>
      </c>
      <c r="AB6" s="336">
        <f>IF(AH6-SUM(G6:Z6,Плевен!K6,Плевен!L6,Бургас!H6,'Враца 1'!H6,'Враца 2'!H6)&lt;=0,AH6-SUM(G6:Z6,Плевен!K6,Плевен!L6,Бургас!H6,'Враца 1'!H6,'Враца 2'!H6),IF(AH6-SUM(G6:Z6,Плевен!K6,Плевен!L6,Бургас!H6,'Враца 1'!H6,'Враца 2'!H6)&gt;=0,0))</f>
        <v>-18.912000000000035</v>
      </c>
      <c r="AD6" s="342">
        <f>Цени!E5</f>
        <v>0</v>
      </c>
      <c r="AE6" s="342">
        <f>+Цени!C5+Цени!F5</f>
        <v>15</v>
      </c>
      <c r="AF6" s="342">
        <f>+Цени!D5</f>
        <v>0</v>
      </c>
      <c r="AG6" s="343">
        <f>'Борса и балансиране'!C6</f>
        <v>1250</v>
      </c>
      <c r="AH6" s="344">
        <f t="shared" si="10"/>
        <v>1265</v>
      </c>
      <c r="AJ6" s="345">
        <f>SUM(Плевен!K6+Бургас!H6+'Враца 1'!H6+'Враца 2'!H6+Русе!G6+'Велико Търново'!E6)*(Цени!I5+Цени!$E$56)+Перник!G6*(Цени!$G$41-Цени!H5+Цени!$E$56)+Плевен!L6*(Цени!$G$42-Цени!H5+Цени!$E$56)+Плевен!R6+Бургас!O6+'Враца 1'!N6+'Враца 2'!N6+Перник!N6+Русе!M6+'Велико Търново'!J6+'Тенекс С'!J6+'Борса и балансиране'!H6-'Борса и балансиране'!E6+'Борса и балансиране'!N6+'Борса и балансиране'!O6-('Борса и балансиране'!J6+'Борса и балансиране'!K6-'Борса и балансиране'!C6+'Борса и балансиране'!F6)*Цени!H5+'Тенекс С'!E6*(Цени!$G$44-Цени!H5+Цени!$E$56)+(Алуком!E6+'Русе Кемикълс'!E6+'Доминекс про'!E6+Берус!E6+'Бултекс 1'!E6)*(Цени!$G$44-Цени!H5)+(Илинден!E6+'Ваптех АМ'!E6+'Нова пауър'!E6)*(Цени!$G$44-Цени!H5)+РВД!E6*(Цени!$G$45-Цени!H5)+(Декотекс!E6)*(Цени!$G$43-Цени!H5)+(Труд!E6)*(Цени!$G$44-Цени!H5)+ДХТ!D6*(ДХТ!E6-Цени!H5)+ДХТ!I6*(ДХТ!J6-Цени!H5)+ЕМИ!D6*(ЕМИ!E6-Цени!H5)</f>
        <v>22475.590413000005</v>
      </c>
      <c r="AK6" s="346">
        <v>2485</v>
      </c>
      <c r="AL6" s="347">
        <f>AJ6-AK6+Перник!T17</f>
        <v>19990.590413000005</v>
      </c>
      <c r="AM6" s="348">
        <f>+(Цени!$E$35-Цени!$M$1)*Цени!E5</f>
        <v>0</v>
      </c>
      <c r="AN6" s="349">
        <f t="shared" ref="AN6:AN33" si="23">AL6++AM6</f>
        <v>19990.590413000005</v>
      </c>
      <c r="AP6" s="329">
        <f t="shared" ref="AP6:AP32" si="24">+AP5+1</f>
        <v>45385</v>
      </c>
      <c r="AQ6" s="353">
        <f t="shared" ref="AQ6:AQ32" si="25">+AQ5</f>
        <v>58.84</v>
      </c>
      <c r="AR6" s="353">
        <f t="shared" si="11"/>
        <v>43.841602851285757</v>
      </c>
      <c r="AS6" s="332">
        <f>26.3*1.95583</f>
        <v>51.438329000000003</v>
      </c>
      <c r="AT6" s="353">
        <f t="shared" si="12"/>
        <v>-7.5967261487142466</v>
      </c>
      <c r="AV6" s="329">
        <f t="shared" ref="AV6:AV32" si="26">+AV5+1</f>
        <v>45385</v>
      </c>
      <c r="AW6" s="354">
        <f>+(Цени!K5*Цени!H5+'Борса и балансиране'!E6+'Борса и балансиране'!O6*-1)/(Цени!K5+'Борса и балансиране'!C6+'Борса и балансиране'!K6*-1)</f>
        <v>43.841602851285757</v>
      </c>
      <c r="AX6" s="354">
        <f>+(Плевен!K6*Цени!$G$41+Плевен!L6*Цени!$G$41+Бургас!H6*Цени!$G$41+'Враца 1'!H6*Цени!$G$41+'Враца 2'!H6*Цени!$G$41+Перник!G6*Цени!$G$41+Русе!G6*Цени!$G$41+'Велико Търново'!E6*Цени!$G$41+'Русе Кемикълс'!E6*Цени!$G$45+'Нова пауър'!E6*Цени!$G$45+Труд!E6*Цени!$G$43+Берус!E6*Цени!$G$45+'Доминекс про'!E6*Цени!$G$45+'Бултекс 1'!E6*Цени!$G$45+РВД!E6*Цени!$G$45+'Тенекс С'!E6*Цени!$G$42+Декотекс!E6*Цени!$G$43+Алуком!E6*Цени!$G$45+Илинден!E6*Цени!$G$44+'Ваптех АМ'!E6*Цени!$G$44+'Борса и балансиране'!H6+'Борса и балансиране'!N6+Плевен!S6)/(Плевен!K6+Плевен!L6+Бургас!H6+'Враца 1'!H6+'Враца 2'!H6+Перник!G6+Русе!G6+'Велико Търново'!E6+'Русе Кемикълс'!E6+'Нова пауър'!E6+Труд!E6+Берус!E6+'Доминекс про'!E6+'Бултекс 1'!E6+РВД!E6+'Тенекс С'!E6+Декотекс!E6+'Борса и балансиране'!F6+'Борса и балансиране'!J6)</f>
        <v>60.739096369622033</v>
      </c>
      <c r="AY6" s="354">
        <f>+(Цени!M5*Цени!J5+'Борса и балансиране'!G6+'Борса и балансиране'!Q6*-1)/(Цени!M5+'Борса и балансиране'!E6+'Борса и балансиране'!M6*-1)</f>
        <v>0</v>
      </c>
      <c r="BA6" s="329">
        <f t="shared" ref="BA6:BA32" si="27">+BA5+1</f>
        <v>45385</v>
      </c>
      <c r="BB6" s="355">
        <f>+BB5-Цени!E5+Цени!L5</f>
        <v>147998.64500000011</v>
      </c>
      <c r="BC6" s="353">
        <f t="shared" ref="BC6" si="28">+BD6/BB6</f>
        <v>229.36627236379309</v>
      </c>
      <c r="BD6" s="353">
        <f>+BD5+Цени!N5-Цени!E5*Цени!$M$1</f>
        <v>33945897.518542349</v>
      </c>
      <c r="BF6" s="329">
        <f t="shared" ref="BF6:BF32" si="29">+BF5+1</f>
        <v>45385</v>
      </c>
      <c r="BG6" s="401">
        <v>6825122.2699999996</v>
      </c>
      <c r="BH6" s="401">
        <v>1913745.64</v>
      </c>
      <c r="BI6" s="401">
        <v>0</v>
      </c>
      <c r="BJ6" s="401">
        <v>397936.4200000001</v>
      </c>
      <c r="BK6" s="401">
        <v>2433275.39</v>
      </c>
      <c r="BL6" s="401">
        <v>0</v>
      </c>
      <c r="BM6" s="401">
        <v>179041.49</v>
      </c>
      <c r="BN6" s="401">
        <v>0</v>
      </c>
      <c r="BO6" s="358">
        <f>SUM(BG6:BN6)</f>
        <v>11749121.210000001</v>
      </c>
      <c r="BQ6" s="329">
        <f t="shared" ref="BQ6:BQ32" si="30">+BQ5+1</f>
        <v>45385</v>
      </c>
      <c r="BR6" s="357">
        <f t="shared" si="14"/>
        <v>0</v>
      </c>
      <c r="BS6" s="357">
        <f t="shared" si="15"/>
        <v>0</v>
      </c>
      <c r="BT6" s="357">
        <f t="shared" si="16"/>
        <v>0</v>
      </c>
      <c r="BU6" s="357">
        <f t="shared" si="17"/>
        <v>0</v>
      </c>
      <c r="BV6" s="357">
        <f t="shared" si="18"/>
        <v>13717329.190000001</v>
      </c>
      <c r="BW6" s="357">
        <f t="shared" si="18"/>
        <v>15249723.549999999</v>
      </c>
      <c r="BX6" s="357">
        <f t="shared" si="19"/>
        <v>0</v>
      </c>
      <c r="BY6" s="357">
        <f t="shared" si="20"/>
        <v>3567553.1529600001</v>
      </c>
      <c r="BZ6" s="358">
        <f t="shared" si="9"/>
        <v>32534605.892960001</v>
      </c>
      <c r="CB6" s="329">
        <f t="shared" ref="CB6:CB32" si="31">+CB5+1</f>
        <v>45385</v>
      </c>
      <c r="CC6" s="401">
        <v>6825122.2699999996</v>
      </c>
      <c r="CD6" s="401">
        <v>1913745.64</v>
      </c>
      <c r="CE6" s="401">
        <v>0</v>
      </c>
      <c r="CF6" s="401">
        <v>397936.4200000001</v>
      </c>
      <c r="CG6" s="401">
        <v>16150604.580000002</v>
      </c>
      <c r="CH6" s="401">
        <v>15249723.549999999</v>
      </c>
      <c r="CI6" s="401">
        <v>179041.49</v>
      </c>
      <c r="CJ6" s="401">
        <v>3567553.1529600001</v>
      </c>
      <c r="CK6" s="358">
        <f t="shared" si="21"/>
        <v>44283727.102960005</v>
      </c>
    </row>
    <row r="7" spans="2:90" x14ac:dyDescent="0.25">
      <c r="B7" s="47">
        <f t="shared" si="22"/>
        <v>45386</v>
      </c>
      <c r="C7" s="333">
        <f>+Плевен!K7+Плевен!L7</f>
        <v>1086.932</v>
      </c>
      <c r="D7" s="334">
        <f>Бургас!H7</f>
        <v>96.000999999999976</v>
      </c>
      <c r="E7" s="334">
        <f>'Враца 1'!H7</f>
        <v>0</v>
      </c>
      <c r="F7" s="334">
        <f>'Враца 2'!H7</f>
        <v>0</v>
      </c>
      <c r="G7" s="335">
        <f>Русе!G7</f>
        <v>161.833</v>
      </c>
      <c r="H7" s="335">
        <f>+'Русе Кемикълс'!E7</f>
        <v>2.669</v>
      </c>
      <c r="I7" s="335">
        <f>+'Нова пауър'!E7</f>
        <v>0</v>
      </c>
      <c r="J7" s="335">
        <f>+'Доминекс про'!E7</f>
        <v>21.925999999999998</v>
      </c>
      <c r="K7" s="335">
        <f>+Труд!E7</f>
        <v>27.797999999999998</v>
      </c>
      <c r="L7" s="335">
        <f>+'Велико Търново'!E7</f>
        <v>0</v>
      </c>
      <c r="M7" s="335">
        <f>+Берус!E7</f>
        <v>0.23499999999999999</v>
      </c>
      <c r="N7" s="335">
        <f>+'Бултекс 1'!E7</f>
        <v>1.7290000000000001</v>
      </c>
      <c r="O7" s="335">
        <f>+Алуком!E7</f>
        <v>1.804</v>
      </c>
      <c r="P7" s="335">
        <f>+Илинден!E7</f>
        <v>0</v>
      </c>
      <c r="Q7" s="335">
        <f>+'Ваптех АМ'!E7</f>
        <v>0</v>
      </c>
      <c r="R7" s="335">
        <f>+РВД!E7</f>
        <v>12.542999999999999</v>
      </c>
      <c r="S7" s="335">
        <f>+'Тенекс С'!E7</f>
        <v>0</v>
      </c>
      <c r="T7" s="335">
        <f>+Декотекс!E7</f>
        <v>12.789</v>
      </c>
      <c r="U7" s="335">
        <f>+ДХТ!D7</f>
        <v>0</v>
      </c>
      <c r="V7" s="335">
        <f>+ДХТ!I7</f>
        <v>0</v>
      </c>
      <c r="W7" s="335">
        <f>+ЕМИ!D7</f>
        <v>0</v>
      </c>
      <c r="X7" s="335">
        <f>+Цени!L6</f>
        <v>0</v>
      </c>
      <c r="Y7" s="336">
        <f>Перник!G7</f>
        <v>3.3440000000000509</v>
      </c>
      <c r="Z7" s="337">
        <f>'Борса и балансиране'!F7</f>
        <v>0</v>
      </c>
      <c r="AA7" s="333">
        <f>IF(AH7-SUM(G7:Z7,Плевен!K7,Плевен!L7,Бургас!H7,'Враца 1'!H7,'Враца 2'!H7)&gt;=0,AH7-SUM(G7:Z7,Плевен!K7,Плевен!L7,Бургас!H7,'Враца 1'!H7,'Враца 2'!H7),IF(AH7-SUM(G7:Z7,Плевен!K7,Плевен!L7,Бургас!H7,'Враца 1'!H7,'Враца 2'!H7)&lt;=0,0))</f>
        <v>25.396999999999935</v>
      </c>
      <c r="AB7" s="336">
        <f>IF(AH7-SUM(G7:Z7,Плевен!K7,Плевен!L7,Бургас!H7,'Враца 1'!H7,'Враца 2'!H7)&lt;=0,AH7-SUM(G7:Z7,Плевен!K7,Плевен!L7,Бургас!H7,'Враца 1'!H7,'Враца 2'!H7),IF(AH7-SUM(G7:Z7,Плевен!K7,Плевен!L7,Бургас!H7,'Враца 1'!H7,'Враца 2'!H7)&gt;=0,0))</f>
        <v>0</v>
      </c>
      <c r="AD7" s="342">
        <f>Цени!E6</f>
        <v>0</v>
      </c>
      <c r="AE7" s="342">
        <f>+Цени!C6+Цени!F6</f>
        <v>15</v>
      </c>
      <c r="AF7" s="342">
        <f>+Цени!D6</f>
        <v>0</v>
      </c>
      <c r="AG7" s="343">
        <f>'Борса и балансиране'!C7</f>
        <v>1440</v>
      </c>
      <c r="AH7" s="344">
        <f t="shared" si="10"/>
        <v>1455</v>
      </c>
      <c r="AJ7" s="345">
        <f>SUM(Плевен!K7+Бургас!H7+'Враца 1'!H7+'Враца 2'!H7+Русе!G7+'Велико Търново'!E7)*(Цени!I6+Цени!$E$56)+Перник!G7*(Цени!$G$41-Цени!H6+Цени!$E$56)+Плевен!L7*(Цени!$G$42-Цени!H6+Цени!$E$56)+Плевен!R7+Бургас!O7+'Враца 1'!N7+'Враца 2'!N7+Перник!N7+Русе!M7+'Велико Търново'!J7+'Тенекс С'!J7+'Борса и балансиране'!H7-'Борса и балансиране'!E7+'Борса и балансиране'!N7+'Борса и балансиране'!O7-('Борса и балансиране'!J7+'Борса и балансиране'!K7-'Борса и балансиране'!C7+'Борса и балансиране'!F7)*Цени!H6+'Тенекс С'!E7*(Цени!$G$44-Цени!H6+Цени!$E$56)+(Алуком!E7+'Русе Кемикълс'!E7+'Доминекс про'!E7+Берус!E7+'Бултекс 1'!E7)*(Цени!$G$44-Цени!H6)+(Илинден!E7+'Ваптех АМ'!E7+'Нова пауър'!E7)*(Цени!$G$44-Цени!H6)+РВД!E7*(Цени!$G$45-Цени!H6)+(Декотекс!E7)*(Цени!$G$43-Цени!H6)+(Труд!E7)*(Цени!$G$44-Цени!H6)+ДХТ!D7*(ДХТ!E7-Цени!H6)+ДХТ!I7*(ДХТ!J7-Цени!H6)+ЕМИ!D7*(ЕМИ!E7-Цени!H6)</f>
        <v>25365.909524999988</v>
      </c>
      <c r="AK7" s="346">
        <v>2485</v>
      </c>
      <c r="AL7" s="347">
        <f>AJ7-AK7+Перник!T18</f>
        <v>22880.909524999988</v>
      </c>
      <c r="AM7" s="348">
        <f>+(Цени!$E$35-Цени!$M$1)*Цени!E6</f>
        <v>0</v>
      </c>
      <c r="AN7" s="349">
        <f t="shared" si="23"/>
        <v>22880.909524999988</v>
      </c>
      <c r="AP7" s="329">
        <f t="shared" si="24"/>
        <v>45386</v>
      </c>
      <c r="AQ7" s="353">
        <f t="shared" si="25"/>
        <v>58.84</v>
      </c>
      <c r="AR7" s="353">
        <f t="shared" si="11"/>
        <v>43.228213058419243</v>
      </c>
      <c r="AS7" s="332">
        <f>26*1.95583</f>
        <v>50.851579999999998</v>
      </c>
      <c r="AT7" s="353">
        <f t="shared" si="12"/>
        <v>-7.6233669415807555</v>
      </c>
      <c r="AV7" s="329">
        <f t="shared" si="26"/>
        <v>45386</v>
      </c>
      <c r="AW7" s="354">
        <f>+(Цени!K6*Цени!H6+'Борса и балансиране'!E7+'Борса и балансиране'!O7*-1)/(Цени!K6+'Борса и балансиране'!C7+'Борса и балансиране'!K7*-1)</f>
        <v>43.228213058419243</v>
      </c>
      <c r="AX7" s="354">
        <f>+(Плевен!K7*Цени!$G$41+Плевен!L7*Цени!$G$41+Бургас!H7*Цени!$G$41+'Враца 1'!H7*Цени!$G$41+'Враца 2'!H7*Цени!$G$41+Перник!G7*Цени!$G$41+Русе!G7*Цени!$G$41+'Велико Търново'!E7*Цени!$G$41+'Русе Кемикълс'!E7*Цени!$G$45+'Нова пауър'!E7*Цени!$G$45+Труд!E7*Цени!$G$43+Берус!E7*Цени!$G$45+'Доминекс про'!E7*Цени!$G$45+'Бултекс 1'!E7*Цени!$G$45+РВД!E7*Цени!$G$45+'Тенекс С'!E7*Цени!$G$42+Декотекс!E7*Цени!$G$43+Алуком!E7*Цени!$G$45+Илинден!E7*Цени!$G$44+'Ваптех АМ'!E7*Цени!$G$44+'Борса и балансиране'!H7+'Борса и балансиране'!N7+Плевен!S7)/(Плевен!K7+Плевен!L7+Бургас!H7+'Враца 1'!H7+'Враца 2'!H7+Перник!G7+Русе!G7+'Велико Търново'!E7+'Русе Кемикълс'!E7+'Нова пауър'!E7+Труд!E7+Берус!E7+'Доминекс про'!E7+'Бултекс 1'!E7+РВД!E7+'Тенекс С'!E7+Декотекс!E7+'Борса и балансиране'!F7+'Борса и балансиране'!J7)</f>
        <v>60.102452133091482</v>
      </c>
      <c r="AY7" s="353">
        <f t="shared" ref="AY7:AY33" si="32">+AX7-AW7</f>
        <v>16.874239074672239</v>
      </c>
      <c r="BA7" s="329">
        <f t="shared" si="27"/>
        <v>45386</v>
      </c>
      <c r="BB7" s="355">
        <f>+BB6-Цени!E6+Цени!L6</f>
        <v>147998.64500000011</v>
      </c>
      <c r="BC7" s="353">
        <f t="shared" ref="BC7" si="33">+BD7/BB7</f>
        <v>229.36627236379309</v>
      </c>
      <c r="BD7" s="353">
        <f>+BD6+Цени!N6-Цени!E6*Цени!$M$1</f>
        <v>33945897.518542349</v>
      </c>
      <c r="BF7" s="329">
        <f t="shared" si="29"/>
        <v>45386</v>
      </c>
      <c r="BG7" s="401">
        <v>6825122.2699999996</v>
      </c>
      <c r="BH7" s="401">
        <v>1913745.64</v>
      </c>
      <c r="BI7" s="401">
        <v>0</v>
      </c>
      <c r="BJ7" s="401">
        <v>397936.4200000001</v>
      </c>
      <c r="BK7" s="401">
        <v>2433275.39</v>
      </c>
      <c r="BL7" s="401">
        <v>0</v>
      </c>
      <c r="BM7" s="401">
        <v>179041.49</v>
      </c>
      <c r="BN7" s="401">
        <v>0</v>
      </c>
      <c r="BO7" s="358">
        <f t="shared" ref="BO7:BO17" si="34">SUM(BG7:BN7)</f>
        <v>11749121.210000001</v>
      </c>
      <c r="BQ7" s="329">
        <f t="shared" si="30"/>
        <v>45386</v>
      </c>
      <c r="BR7" s="357">
        <f t="shared" si="14"/>
        <v>0</v>
      </c>
      <c r="BS7" s="357">
        <f t="shared" si="15"/>
        <v>0</v>
      </c>
      <c r="BT7" s="357">
        <f t="shared" si="16"/>
        <v>0</v>
      </c>
      <c r="BU7" s="357">
        <f t="shared" si="17"/>
        <v>0</v>
      </c>
      <c r="BV7" s="357">
        <f t="shared" si="18"/>
        <v>13717329.190000001</v>
      </c>
      <c r="BW7" s="357">
        <f t="shared" si="18"/>
        <v>15249723.549999999</v>
      </c>
      <c r="BX7" s="357">
        <f t="shared" si="19"/>
        <v>0</v>
      </c>
      <c r="BY7" s="357">
        <f t="shared" si="20"/>
        <v>3567553.1529600001</v>
      </c>
      <c r="BZ7" s="358">
        <f t="shared" si="9"/>
        <v>32534605.892960001</v>
      </c>
      <c r="CB7" s="329">
        <f t="shared" si="31"/>
        <v>45386</v>
      </c>
      <c r="CC7" s="401">
        <v>6825122.2699999996</v>
      </c>
      <c r="CD7" s="401">
        <v>1913745.64</v>
      </c>
      <c r="CE7" s="401">
        <v>0</v>
      </c>
      <c r="CF7" s="401">
        <v>397936.4200000001</v>
      </c>
      <c r="CG7" s="401">
        <v>16150604.580000002</v>
      </c>
      <c r="CH7" s="401">
        <v>15249723.549999999</v>
      </c>
      <c r="CI7" s="401">
        <v>179041.49</v>
      </c>
      <c r="CJ7" s="401">
        <v>3567553.1529600001</v>
      </c>
      <c r="CK7" s="358">
        <f t="shared" si="21"/>
        <v>44283727.102960005</v>
      </c>
      <c r="CL7" s="23"/>
    </row>
    <row r="8" spans="2:90" x14ac:dyDescent="0.25">
      <c r="B8" s="47">
        <f t="shared" si="22"/>
        <v>45387</v>
      </c>
      <c r="C8" s="333">
        <f>+Плевен!K8+Плевен!L8</f>
        <v>1099.2190000000001</v>
      </c>
      <c r="D8" s="334">
        <f>Бургас!H8</f>
        <v>119.26200000000006</v>
      </c>
      <c r="E8" s="334">
        <f>'Враца 1'!H8</f>
        <v>0</v>
      </c>
      <c r="F8" s="334">
        <f>'Враца 2'!H8</f>
        <v>0</v>
      </c>
      <c r="G8" s="335">
        <f>Русе!G8</f>
        <v>171.70699999999999</v>
      </c>
      <c r="H8" s="335">
        <f>+'Русе Кемикълс'!E8</f>
        <v>2.7759999999999998</v>
      </c>
      <c r="I8" s="335">
        <f>+'Нова пауър'!E8</f>
        <v>0</v>
      </c>
      <c r="J8" s="335">
        <f>+'Доминекс про'!E8</f>
        <v>21.338999999999999</v>
      </c>
      <c r="K8" s="335">
        <f>+Труд!E8</f>
        <v>27.552</v>
      </c>
      <c r="L8" s="335">
        <f>+'Велико Търново'!E8</f>
        <v>0</v>
      </c>
      <c r="M8" s="335">
        <f>+Берус!E8</f>
        <v>0.23499999999999999</v>
      </c>
      <c r="N8" s="335">
        <f>+'Бултекс 1'!E8</f>
        <v>1.708</v>
      </c>
      <c r="O8" s="335">
        <f>+Алуком!E8</f>
        <v>0</v>
      </c>
      <c r="P8" s="335">
        <f>+Илинден!E8</f>
        <v>0</v>
      </c>
      <c r="Q8" s="335">
        <f>+'Ваптех АМ'!E8</f>
        <v>0</v>
      </c>
      <c r="R8" s="335">
        <f>+РВД!E8</f>
        <v>12.105</v>
      </c>
      <c r="S8" s="335">
        <f>+'Тенекс С'!E8</f>
        <v>0</v>
      </c>
      <c r="T8" s="335">
        <f>+Декотекс!E8</f>
        <v>2.5190000000000001</v>
      </c>
      <c r="U8" s="335">
        <f>+ДХТ!D8</f>
        <v>0</v>
      </c>
      <c r="V8" s="335">
        <f>+ДХТ!I8</f>
        <v>0</v>
      </c>
      <c r="W8" s="335">
        <f>+ЕМИ!D8</f>
        <v>0</v>
      </c>
      <c r="X8" s="335">
        <f>+Цени!L7</f>
        <v>0</v>
      </c>
      <c r="Y8" s="336">
        <f>Перник!G8</f>
        <v>0</v>
      </c>
      <c r="Z8" s="337">
        <f>'Борса и балансиране'!F8</f>
        <v>0</v>
      </c>
      <c r="AA8" s="333">
        <f>IF(AH8-SUM(G8:Z8,Плевен!K8,Плевен!L8,Бургас!H8,'Враца 1'!H8,'Враца 2'!H8)&gt;=0,AH8-SUM(G8:Z8,Плевен!K8,Плевен!L8,Бургас!H8,'Враца 1'!H8,'Враца 2'!H8),IF(AH8-SUM(G8:Z8,Плевен!K8,Плевен!L8,Бургас!H8,'Враца 1'!H8,'Враца 2'!H8)&lt;=0,0))</f>
        <v>0</v>
      </c>
      <c r="AB8" s="336">
        <f>IF(AH8-SUM(G8:Z8,Плевен!K8,Плевен!L8,Бургас!H8,'Враца 1'!H8,'Враца 2'!H8)&lt;=0,AH8-SUM(G8:Z8,Плевен!K8,Плевен!L8,Бургас!H8,'Враца 1'!H8,'Враца 2'!H8),IF(AH8-SUM(G8:Z8,Плевен!K8,Плевен!L8,Бургас!H8,'Враца 1'!H8,'Враца 2'!H8)&gt;=0,0))</f>
        <v>-116.42200000000003</v>
      </c>
      <c r="AD8" s="342">
        <f>Цени!E7</f>
        <v>0</v>
      </c>
      <c r="AE8" s="342">
        <f>+Цени!C7+Цени!F7</f>
        <v>15</v>
      </c>
      <c r="AF8" s="342">
        <f>+Цени!D7</f>
        <v>0</v>
      </c>
      <c r="AG8" s="343">
        <f>'Борса и балансиране'!C8</f>
        <v>1327</v>
      </c>
      <c r="AH8" s="344">
        <f t="shared" si="10"/>
        <v>1342</v>
      </c>
      <c r="AJ8" s="345">
        <f>SUM(Плевен!K8+Бургас!H8+'Враца 1'!H8+'Враца 2'!H8+Русе!G8+'Велико Търново'!E8)*(Цени!I7+Цени!$E$56)+Перник!G8*(Цени!$G$41-Цени!H7+Цени!$E$56)+Плевен!L8*(Цени!$G$42-Цени!H7+Цени!$E$56)+Плевен!R8+Бургас!O8+'Враца 1'!N8+'Враца 2'!N8+Перник!N8+Русе!M8+'Велико Търново'!J8+'Тенекс С'!J8+'Борса и балансиране'!H8-'Борса и балансиране'!E8+'Борса и балансиране'!N8+'Борса и балансиране'!O8-('Борса и балансиране'!J8+'Борса и балансиране'!K8-'Борса и балансиране'!C8+'Борса и балансиране'!F8)*Цени!H7+'Тенекс С'!E8*(Цени!$G$44-Цени!H7+Цени!$E$56)+(Алуком!E8+'Русе Кемикълс'!E8+'Доминекс про'!E8+Берус!E8+'Бултекс 1'!E8)*(Цени!$G$44-Цени!H7)+(Илинден!E8+'Ваптех АМ'!E8+'Нова пауър'!E8)*(Цени!$G$44-Цени!H7)+РВД!E8*(Цени!$G$45-Цени!H7)+(Декотекс!E8)*(Цени!$G$43-Цени!H7)+(Труд!E8)*(Цени!$G$44-Цени!H7)+ДХТ!D8*(ДХТ!E8-Цени!H7)+ДХТ!I8*(ДХТ!J8-Цени!H7)+ЕМИ!D8*(ЕМИ!E8-Цени!H7)</f>
        <v>27556.848622000001</v>
      </c>
      <c r="AK8" s="346">
        <v>2485</v>
      </c>
      <c r="AL8" s="347">
        <f>AJ8-AK8+Перник!T19</f>
        <v>25071.848622000001</v>
      </c>
      <c r="AM8" s="348">
        <f>+(Цени!$E$35-Цени!$M$1)*Цени!E7</f>
        <v>0</v>
      </c>
      <c r="AN8" s="349">
        <f t="shared" si="23"/>
        <v>25071.848622000001</v>
      </c>
      <c r="AP8" s="329">
        <f t="shared" si="24"/>
        <v>45387</v>
      </c>
      <c r="AQ8" s="353">
        <f t="shared" si="25"/>
        <v>58.84</v>
      </c>
      <c r="AR8" s="353">
        <f t="shared" si="11"/>
        <v>42.218486830286437</v>
      </c>
      <c r="AS8" s="332">
        <f>26.7*1.95583</f>
        <v>52.220661</v>
      </c>
      <c r="AT8" s="353">
        <f t="shared" si="12"/>
        <v>-10.002174169713562</v>
      </c>
      <c r="AV8" s="329">
        <f t="shared" si="26"/>
        <v>45387</v>
      </c>
      <c r="AW8" s="354">
        <f>+(Цени!K7*Цени!H7+'Борса и балансиране'!E8+'Борса и балансиране'!O8*-1)/(Цени!K7+'Борса и балансиране'!C8+'Борса и балансиране'!K8*-1)</f>
        <v>42.218486830286437</v>
      </c>
      <c r="AX8" s="354">
        <f>+(Плевен!K8*Цени!$G$41+Плевен!L8*Цени!$G$41+Бургас!H8*Цени!$G$41+'Враца 1'!H8*Цени!$G$41+'Враца 2'!H8*Цени!$G$41+Перник!G8*Цени!$G$41+Русе!G8*Цени!$G$41+'Велико Търново'!E8*Цени!$G$41+'Русе Кемикълс'!E8*Цени!$G$45+'Нова пауър'!E8*Цени!$G$45+Труд!E8*Цени!$G$43+Берус!E8*Цени!$G$45+'Доминекс про'!E8*Цени!$G$45+'Бултекс 1'!E8*Цени!$G$45+РВД!E8*Цени!$G$45+'Тенекс С'!E8*Цени!$G$42+Декотекс!E8*Цени!$G$43+Алуком!E8*Цени!$G$45+Илинден!E8*Цени!$G$44+'Ваптех АМ'!E8*Цени!$G$44+'Борса и балансиране'!H8+'Борса и балансиране'!N8+Плевен!S8)/(Плевен!K8+Плевен!L8+Бургас!H8+'Враца 1'!H8+'Враца 2'!H8+Перник!G8+Русе!G8+'Велико Търново'!E8+'Русе Кемикълс'!E8+'Нова пауър'!E8+Труд!E8+Берус!E8+'Доминекс про'!E8+'Бултекс 1'!E8+РВД!E8+'Тенекс С'!E8+Декотекс!E8+'Борса и балансиране'!F8+'Борса и балансиране'!J8)</f>
        <v>60.471082553609314</v>
      </c>
      <c r="AY8" s="353">
        <f t="shared" si="32"/>
        <v>18.252595723322877</v>
      </c>
      <c r="BA8" s="329">
        <f t="shared" si="27"/>
        <v>45387</v>
      </c>
      <c r="BB8" s="355">
        <f>+BB7-Цени!E7+Цени!L7</f>
        <v>147998.64500000011</v>
      </c>
      <c r="BC8" s="353">
        <f t="shared" ref="BC8" si="35">+BD8/BB8</f>
        <v>229.36627236379309</v>
      </c>
      <c r="BD8" s="353">
        <f>+BD7+Цени!N7-Цени!E7*Цени!$M$1</f>
        <v>33945897.518542349</v>
      </c>
      <c r="BF8" s="329">
        <f t="shared" si="29"/>
        <v>45387</v>
      </c>
      <c r="BG8" s="401">
        <v>6825122.2699999996</v>
      </c>
      <c r="BH8" s="401">
        <v>1913745.64</v>
      </c>
      <c r="BI8" s="401">
        <v>0</v>
      </c>
      <c r="BJ8" s="401">
        <v>397936.4200000001</v>
      </c>
      <c r="BK8" s="401">
        <v>2433275.39</v>
      </c>
      <c r="BL8" s="401">
        <v>0</v>
      </c>
      <c r="BM8" s="401">
        <v>179041.49</v>
      </c>
      <c r="BN8" s="401">
        <v>0</v>
      </c>
      <c r="BO8" s="358">
        <f>SUM(BG8:BN8)</f>
        <v>11749121.210000001</v>
      </c>
      <c r="BQ8" s="329">
        <f t="shared" si="30"/>
        <v>45387</v>
      </c>
      <c r="BR8" s="357">
        <f t="shared" si="14"/>
        <v>0</v>
      </c>
      <c r="BS8" s="357">
        <f t="shared" si="15"/>
        <v>0</v>
      </c>
      <c r="BT8" s="357">
        <f t="shared" si="16"/>
        <v>0</v>
      </c>
      <c r="BU8" s="357">
        <f t="shared" si="17"/>
        <v>0</v>
      </c>
      <c r="BV8" s="357">
        <f t="shared" si="18"/>
        <v>13717329.190000001</v>
      </c>
      <c r="BW8" s="357">
        <f t="shared" si="18"/>
        <v>15249723.549999999</v>
      </c>
      <c r="BX8" s="357">
        <f t="shared" si="19"/>
        <v>0</v>
      </c>
      <c r="BY8" s="357">
        <f t="shared" si="20"/>
        <v>3567553.1529600001</v>
      </c>
      <c r="BZ8" s="358">
        <f t="shared" si="9"/>
        <v>32534605.892960001</v>
      </c>
      <c r="CB8" s="329">
        <f t="shared" si="31"/>
        <v>45387</v>
      </c>
      <c r="CC8" s="401">
        <v>6825122.2699999996</v>
      </c>
      <c r="CD8" s="401">
        <v>1913745.64</v>
      </c>
      <c r="CE8" s="401">
        <v>0</v>
      </c>
      <c r="CF8" s="401">
        <v>397936.4200000001</v>
      </c>
      <c r="CG8" s="401">
        <v>16150604.580000002</v>
      </c>
      <c r="CH8" s="401">
        <v>15249723.549999999</v>
      </c>
      <c r="CI8" s="401">
        <v>179041.49</v>
      </c>
      <c r="CJ8" s="401">
        <v>3567553.1529600001</v>
      </c>
      <c r="CK8" s="358">
        <f t="shared" si="21"/>
        <v>44283727.102960005</v>
      </c>
    </row>
    <row r="9" spans="2:90" x14ac:dyDescent="0.25">
      <c r="B9" s="47">
        <f t="shared" si="22"/>
        <v>45388</v>
      </c>
      <c r="C9" s="333">
        <f>+Плевен!K9+Плевен!L9</f>
        <v>1066.126</v>
      </c>
      <c r="D9" s="334">
        <f>Бургас!H9</f>
        <v>146.58000000000004</v>
      </c>
      <c r="E9" s="334">
        <f>'Враца 1'!H9</f>
        <v>0</v>
      </c>
      <c r="F9" s="334">
        <f>'Враца 2'!H9</f>
        <v>0</v>
      </c>
      <c r="G9" s="335">
        <f>Русе!G9</f>
        <v>163.78700000000001</v>
      </c>
      <c r="H9" s="335">
        <f>+'Русе Кемикълс'!E9</f>
        <v>2.8290000000000002</v>
      </c>
      <c r="I9" s="335">
        <f>+'Нова пауър'!E9</f>
        <v>0</v>
      </c>
      <c r="J9" s="335">
        <f>+'Доминекс про'!E9</f>
        <v>9.8849999999999998</v>
      </c>
      <c r="K9" s="335">
        <f>+Труд!E9</f>
        <v>28.341999999999999</v>
      </c>
      <c r="L9" s="335">
        <f>+'Велико Търново'!E9</f>
        <v>58.794999999999987</v>
      </c>
      <c r="M9" s="335">
        <f>+Берус!E9</f>
        <v>0.224</v>
      </c>
      <c r="N9" s="335">
        <f>+'Бултекс 1'!E9</f>
        <v>1.014</v>
      </c>
      <c r="O9" s="335">
        <f>+Алуком!E9</f>
        <v>0</v>
      </c>
      <c r="P9" s="335">
        <f>+Илинден!E9</f>
        <v>0</v>
      </c>
      <c r="Q9" s="335">
        <f>+'Ваптех АМ'!E9</f>
        <v>0</v>
      </c>
      <c r="R9" s="335">
        <f>+РВД!E9</f>
        <v>9.7460000000000004</v>
      </c>
      <c r="S9" s="335">
        <f>+'Тенекс С'!E9</f>
        <v>0</v>
      </c>
      <c r="T9" s="335">
        <f>+Декотекс!E9</f>
        <v>15.65</v>
      </c>
      <c r="U9" s="335">
        <f>+ДХТ!D9</f>
        <v>0</v>
      </c>
      <c r="V9" s="335">
        <f>+ДХТ!I9</f>
        <v>0</v>
      </c>
      <c r="W9" s="335">
        <f>+ЕМИ!D9</f>
        <v>0</v>
      </c>
      <c r="X9" s="335">
        <f>+Цени!L8</f>
        <v>0</v>
      </c>
      <c r="Y9" s="336">
        <f>Перник!G9</f>
        <v>2.3299999999999272</v>
      </c>
      <c r="Z9" s="337">
        <f>'Борса и балансиране'!F9</f>
        <v>0</v>
      </c>
      <c r="AA9" s="333">
        <f>IF(AH9-SUM(G9:Z9,Плевен!K9,Плевен!L9,Бургас!H9,'Враца 1'!H9,'Враца 2'!H9)&gt;=0,AH9-SUM(G9:Z9,Плевен!K9,Плевен!L9,Бургас!H9,'Враца 1'!H9,'Враца 2'!H9),IF(AH9-SUM(G9:Z9,Плевен!K9,Плевен!L9,Бургас!H9,'Враца 1'!H9,'Враца 2'!H9)&lt;=0,0))</f>
        <v>0</v>
      </c>
      <c r="AB9" s="336">
        <f>IF(AH9-SUM(G9:Z9,Плевен!K9,Плевен!L9,Бургас!H9,'Враца 1'!H9,'Враца 2'!H9)&lt;=0,AH9-SUM(G9:Z9,Плевен!K9,Плевен!L9,Бургас!H9,'Враца 1'!H9,'Враца 2'!H9),IF(AH9-SUM(G9:Z9,Плевен!K9,Плевен!L9,Бургас!H9,'Враца 1'!H9,'Враца 2'!H9)&gt;=0,0))</f>
        <v>-55.307999999999993</v>
      </c>
      <c r="AD9" s="342">
        <f>Цени!E8</f>
        <v>0</v>
      </c>
      <c r="AE9" s="342">
        <f>+Цени!C8+Цени!F8</f>
        <v>15</v>
      </c>
      <c r="AF9" s="342">
        <f>+Цени!D8</f>
        <v>0</v>
      </c>
      <c r="AG9" s="343">
        <f>'Борса и балансиране'!C9</f>
        <v>1435</v>
      </c>
      <c r="AH9" s="344">
        <f t="shared" si="10"/>
        <v>1450</v>
      </c>
      <c r="AJ9" s="345">
        <f>SUM(Плевен!K9+Бургас!H9+'Враца 1'!H9+'Враца 2'!H9+Русе!G9+'Велико Търново'!E9)*(Цени!I8+Цени!$E$56)+Перник!G9*(Цени!$G$41-Цени!H8+Цени!$E$56)+Плевен!L9*(Цени!$G$42-Цени!H8+Цени!$E$56)+Плевен!R9+Бургас!O9+'Враца 1'!N9+'Враца 2'!N9+Перник!N9+Русе!M9+'Велико Търново'!J9+'Тенекс С'!J9+'Борса и балансиране'!H9-'Борса и балансиране'!E9+'Борса и балансиране'!N9+'Борса и балансиране'!O9-('Борса и балансиране'!J9+'Борса и балансиране'!K9-'Борса и балансиране'!C9+'Борса и балансиране'!F9)*Цени!H8+'Тенекс С'!E9*(Цени!$G$44-Цени!H8+Цени!$E$56)+(Алуком!E9+'Русе Кемикълс'!E9+'Доминекс про'!E9+Берус!E9+'Бултекс 1'!E9)*(Цени!$G$44-Цени!H8)+(Илинден!E9+'Ваптех АМ'!E9+'Нова пауър'!E9)*(Цени!$G$44-Цени!H8)+РВД!E9*(Цени!$G$45-Цени!H8)+(Декотекс!E9)*(Цени!$G$43-Цени!H8)+(Труд!E9)*(Цени!$G$44-Цени!H8)+ДХТ!D9*(ДХТ!E9-Цени!H8)+ДХТ!I9*(ДХТ!J9-Цени!H8)+ЕМИ!D9*(ЕМИ!E9-Цени!H8)</f>
        <v>31148.011157000012</v>
      </c>
      <c r="AK9" s="346">
        <v>2485</v>
      </c>
      <c r="AL9" s="347">
        <f>AJ9-AK9+Перник!T20</f>
        <v>28663.011157000012</v>
      </c>
      <c r="AM9" s="348">
        <f>+(Цени!$E$35-Цени!$M$1)*Цени!E8</f>
        <v>0</v>
      </c>
      <c r="AN9" s="349">
        <f>AL9++AM9</f>
        <v>28663.011157000012</v>
      </c>
      <c r="AP9" s="329">
        <f t="shared" si="24"/>
        <v>45388</v>
      </c>
      <c r="AQ9" s="353">
        <f t="shared" si="25"/>
        <v>58.84</v>
      </c>
      <c r="AR9" s="353">
        <f t="shared" si="11"/>
        <v>40.262849861955168</v>
      </c>
      <c r="AS9" s="332">
        <f>26.875*1.95583</f>
        <v>52.562931249999998</v>
      </c>
      <c r="AT9" s="353">
        <f t="shared" si="12"/>
        <v>-12.300081388044831</v>
      </c>
      <c r="AV9" s="329">
        <f t="shared" si="26"/>
        <v>45388</v>
      </c>
      <c r="AW9" s="354">
        <f>+(Цени!K8*Цени!H8+'Борса и балансиране'!E9+'Борса и балансиране'!O9*-1)/(Цени!K8+'Борса и балансиране'!C9+'Борса и балансиране'!K9*-1)</f>
        <v>40.262849861955168</v>
      </c>
      <c r="AX9" s="354">
        <f>+(Плевен!K9*Цени!$G$41+Плевен!L9*Цени!$G$41+Бургас!H9*Цени!$G$41+'Враца 1'!H9*Цени!$G$41+'Враца 2'!H9*Цени!$G$41+Перник!G9*Цени!$G$41+Русе!G9*Цени!$G$41+'Велико Търново'!E9*Цени!$G$41+'Русе Кемикълс'!E9*Цени!$G$45+'Нова пауър'!E9*Цени!$G$45+Труд!E9*Цени!$G$43+Берус!E9*Цени!$G$45+'Доминекс про'!E9*Цени!$G$45+'Бултекс 1'!E9*Цени!$G$45+РВД!E9*Цени!$G$45+'Тенекс С'!E9*Цени!$G$42+Декотекс!E9*Цени!$G$43+Алуком!E9*Цени!$G$45+Илинден!E9*Цени!$G$44+'Ваптех АМ'!E9*Цени!$G$44+'Борса и балансиране'!H9+'Борса и балансиране'!N9+Плевен!S9)/(Плевен!K9+Плевен!L9+Бургас!H9+'Враца 1'!H9+'Враца 2'!H9+Перник!G9+Русе!G9+'Велико Търново'!E9+'Русе Кемикълс'!E9+'Нова пауър'!E9+Труд!E9+Берус!E9+'Доминекс про'!E9+'Бултекс 1'!E9+РВД!E9+'Тенекс С'!E9+Декотекс!E9+'Борса и балансиране'!F9+'Борса и балансиране'!J9)</f>
        <v>60.329331472363116</v>
      </c>
      <c r="AY9" s="353">
        <f t="shared" si="32"/>
        <v>20.066481610407948</v>
      </c>
      <c r="BA9" s="329">
        <f t="shared" si="27"/>
        <v>45388</v>
      </c>
      <c r="BB9" s="355">
        <f>+BB8-Цени!E8+Цени!L8</f>
        <v>147998.64500000011</v>
      </c>
      <c r="BC9" s="353">
        <f t="shared" ref="BC9" si="36">+BD9/BB9</f>
        <v>229.36627236379309</v>
      </c>
      <c r="BD9" s="353">
        <f>+BD8+Цени!N8-Цени!E8*Цени!$M$1</f>
        <v>33945897.518542349</v>
      </c>
      <c r="BF9" s="329">
        <f t="shared" si="29"/>
        <v>45388</v>
      </c>
      <c r="BG9" s="401">
        <v>6825122.2699999996</v>
      </c>
      <c r="BH9" s="401">
        <v>1913745.64</v>
      </c>
      <c r="BI9" s="401">
        <v>0</v>
      </c>
      <c r="BJ9" s="401">
        <v>397936.4200000001</v>
      </c>
      <c r="BK9" s="401">
        <v>2433275.39</v>
      </c>
      <c r="BL9" s="401">
        <v>0</v>
      </c>
      <c r="BM9" s="401">
        <v>179041.49</v>
      </c>
      <c r="BN9" s="401">
        <v>0</v>
      </c>
      <c r="BO9" s="358">
        <f>SUM(BG9:BN9)</f>
        <v>11749121.210000001</v>
      </c>
      <c r="BQ9" s="329">
        <f t="shared" si="30"/>
        <v>45388</v>
      </c>
      <c r="BR9" s="357">
        <f t="shared" si="14"/>
        <v>0</v>
      </c>
      <c r="BS9" s="357">
        <f t="shared" si="15"/>
        <v>0</v>
      </c>
      <c r="BT9" s="357">
        <f t="shared" si="16"/>
        <v>0</v>
      </c>
      <c r="BU9" s="357">
        <f t="shared" si="17"/>
        <v>0</v>
      </c>
      <c r="BV9" s="357">
        <f t="shared" si="18"/>
        <v>13717329.190000001</v>
      </c>
      <c r="BW9" s="357">
        <f t="shared" si="18"/>
        <v>15249723.549999999</v>
      </c>
      <c r="BX9" s="357">
        <f t="shared" si="19"/>
        <v>0</v>
      </c>
      <c r="BY9" s="357">
        <f t="shared" si="20"/>
        <v>3567553.1529600001</v>
      </c>
      <c r="BZ9" s="358">
        <f t="shared" si="9"/>
        <v>32534605.892960001</v>
      </c>
      <c r="CB9" s="329">
        <f t="shared" si="31"/>
        <v>45388</v>
      </c>
      <c r="CC9" s="401">
        <v>6825122.2699999996</v>
      </c>
      <c r="CD9" s="401">
        <v>1913745.64</v>
      </c>
      <c r="CE9" s="401">
        <v>0</v>
      </c>
      <c r="CF9" s="401">
        <v>397936.4200000001</v>
      </c>
      <c r="CG9" s="401">
        <v>16150604.580000002</v>
      </c>
      <c r="CH9" s="401">
        <v>15249723.549999999</v>
      </c>
      <c r="CI9" s="401">
        <v>179041.49</v>
      </c>
      <c r="CJ9" s="401">
        <v>3567553.1529600001</v>
      </c>
      <c r="CK9" s="358">
        <f t="shared" si="21"/>
        <v>44283727.102960005</v>
      </c>
    </row>
    <row r="10" spans="2:90" x14ac:dyDescent="0.25">
      <c r="B10" s="47">
        <f t="shared" si="22"/>
        <v>45389</v>
      </c>
      <c r="C10" s="333">
        <f>+Плевен!K10+Плевен!L10</f>
        <v>1060.0419999999999</v>
      </c>
      <c r="D10" s="334">
        <f>Бургас!H10</f>
        <v>133.65200000000004</v>
      </c>
      <c r="E10" s="334">
        <f>'Враца 1'!H10</f>
        <v>0</v>
      </c>
      <c r="F10" s="334">
        <f>'Враца 2'!H10</f>
        <v>0</v>
      </c>
      <c r="G10" s="335">
        <f>Русе!G10</f>
        <v>166.09200000000001</v>
      </c>
      <c r="H10" s="335">
        <f>+'Русе Кемикълс'!E10</f>
        <v>2.573</v>
      </c>
      <c r="I10" s="335">
        <f>+'Нова пауър'!E10</f>
        <v>0</v>
      </c>
      <c r="J10" s="335">
        <f>+'Доминекс про'!E10</f>
        <v>2.6469999999999998</v>
      </c>
      <c r="K10" s="335">
        <f>+Труд!E10</f>
        <v>28.704999999999998</v>
      </c>
      <c r="L10" s="335">
        <f>+'Велико Търново'!E10</f>
        <v>63.204000000000008</v>
      </c>
      <c r="M10" s="335">
        <f>+Берус!E10</f>
        <v>0</v>
      </c>
      <c r="N10" s="335">
        <f>+'Бултекс 1'!E10</f>
        <v>0.53400000000000003</v>
      </c>
      <c r="O10" s="335">
        <f>+Алуком!E10</f>
        <v>0</v>
      </c>
      <c r="P10" s="335">
        <f>+Илинден!E10</f>
        <v>0</v>
      </c>
      <c r="Q10" s="335">
        <f>+'Ваптех АМ'!E10</f>
        <v>0</v>
      </c>
      <c r="R10" s="335">
        <f>+РВД!E10</f>
        <v>10.419</v>
      </c>
      <c r="S10" s="335">
        <f>+'Тенекс С'!E10</f>
        <v>0</v>
      </c>
      <c r="T10" s="335">
        <f>+Декотекс!E10</f>
        <v>0</v>
      </c>
      <c r="U10" s="335">
        <f>+ДХТ!D10</f>
        <v>0</v>
      </c>
      <c r="V10" s="335">
        <f>+ДХТ!I10</f>
        <v>0</v>
      </c>
      <c r="W10" s="335">
        <f>+ЕМИ!D10</f>
        <v>0</v>
      </c>
      <c r="X10" s="335">
        <f>+Цени!L9</f>
        <v>0</v>
      </c>
      <c r="Y10" s="336">
        <f>Перник!G10</f>
        <v>2.1059999999999945</v>
      </c>
      <c r="Z10" s="337">
        <f>'Борса и балансиране'!F10</f>
        <v>0</v>
      </c>
      <c r="AA10" s="333">
        <f>IF(AH10-SUM(G10:Z10,Плевен!K10,Плевен!L10,Бургас!H10,'Враца 1'!H10,'Враца 2'!H10)&gt;=0,AH10-SUM(G10:Z10,Плевен!K10,Плевен!L10,Бургас!H10,'Враца 1'!H10,'Враца 2'!H10),IF(AH10-SUM(G10:Z10,Плевен!K10,Плевен!L10,Бургас!H10,'Враца 1'!H10,'Враца 2'!H10)&lt;=0,0))</f>
        <v>0</v>
      </c>
      <c r="AB10" s="336">
        <f>IF(AH10-SUM(G10:Z10,Плевен!K10,Плевен!L10,Бургас!H10,'Враца 1'!H10,'Враца 2'!H10)&lt;=0,AH10-SUM(G10:Z10,Плевен!K10,Плевен!L10,Бургас!H10,'Враца 1'!H10,'Враца 2'!H10),IF(AH10-SUM(G10:Z10,Плевен!K10,Плевен!L10,Бургас!H10,'Враца 1'!H10,'Враца 2'!H10)&gt;=0,0))</f>
        <v>-54.973999999999933</v>
      </c>
      <c r="AD10" s="342">
        <f>Цени!E9</f>
        <v>0</v>
      </c>
      <c r="AE10" s="342">
        <f>+Цени!C9+Цени!F9</f>
        <v>15</v>
      </c>
      <c r="AF10" s="342">
        <f>+Цени!D9</f>
        <v>0</v>
      </c>
      <c r="AG10" s="343">
        <f>'Борса и балансиране'!C10</f>
        <v>1400</v>
      </c>
      <c r="AH10" s="344">
        <f t="shared" si="10"/>
        <v>1415</v>
      </c>
      <c r="AJ10" s="345">
        <f>SUM(Плевен!K10+Бургас!H10+'Враца 1'!H10+'Враца 2'!H10+Русе!G10+'Велико Търново'!E10)*(Цени!I9+Цени!$E$56)+Перник!G10*(Цени!$G$41-Цени!H9+Цени!$E$56)+Плевен!L10*(Цени!$G$42-Цени!H9+Цени!$E$56)+Плевен!R10+Бургас!O10+'Враца 1'!N10+'Враца 2'!N10+Перник!N10+Русе!M10+'Велико Търново'!J10+'Тенекс С'!J10+'Борса и балансиране'!H10-'Борса и балансиране'!E10+'Борса и балансиране'!N10+'Борса и балансиране'!O10-('Борса и балансиране'!J10+'Борса и балансиране'!K10-'Борса и балансиране'!C10+'Борса и балансиране'!F10)*Цени!H9+'Тенекс С'!E10*(Цени!$G$44-Цени!H9+Цени!$E$56)+(Алуком!E10+'Русе Кемикълс'!E10+'Доминекс про'!E10+Берус!E10+'Бултекс 1'!E10)*(Цени!$G$44-Цени!H9)+(Илинден!E10+'Ваптех АМ'!E10+'Нова пауър'!E10)*(Цени!$G$44-Цени!H9)+РВД!E10*(Цени!$G$45-Цени!H9)+(Декотекс!E10)*(Цени!$G$43-Цени!H9)+(Труд!E10)*(Цени!$G$44-Цени!H9)+ДХТ!D10*(ДХТ!E10-Цени!H9)+ДХТ!I10*(ДХТ!J10-Цени!H9)+ЕМИ!D10*(ЕМИ!E10-Цени!H9)</f>
        <v>30796.227903999996</v>
      </c>
      <c r="AK10" s="346">
        <v>2485</v>
      </c>
      <c r="AL10" s="347">
        <f>AJ10-AK10+Перник!T21</f>
        <v>28311.227903999996</v>
      </c>
      <c r="AM10" s="348">
        <f>+(Цени!$E$35-Цени!$M$1)*Цени!E9</f>
        <v>0</v>
      </c>
      <c r="AN10" s="349">
        <f t="shared" si="23"/>
        <v>28311.227903999996</v>
      </c>
      <c r="AO10" s="4"/>
      <c r="AP10" s="329">
        <f t="shared" si="24"/>
        <v>45389</v>
      </c>
      <c r="AQ10" s="353">
        <f t="shared" si="25"/>
        <v>58.84</v>
      </c>
      <c r="AR10" s="353">
        <f t="shared" si="11"/>
        <v>40.226085631446544</v>
      </c>
      <c r="AS10" s="332">
        <f>26.875*1.95583</f>
        <v>52.562931249999998</v>
      </c>
      <c r="AT10" s="353">
        <f t="shared" si="12"/>
        <v>-12.336845618553454</v>
      </c>
      <c r="AV10" s="329">
        <f t="shared" si="26"/>
        <v>45389</v>
      </c>
      <c r="AW10" s="354">
        <f>+(Цени!K9*Цени!H9+'Борса и балансиране'!E10+'Борса и балансиране'!O10*-1)/(Цени!K9+'Борса и балансиране'!C10+'Борса и балансиране'!K10*-1)</f>
        <v>40.226085631446544</v>
      </c>
      <c r="AX10" s="354">
        <f>+(Плевен!K10*Цени!$G$41+Плевен!L10*Цени!$G$41+Бургас!H10*Цени!$G$41+'Враца 1'!H10*Цени!$G$41+'Враца 2'!H10*Цени!$G$41+Перник!G10*Цени!$G$41+Русе!G10*Цени!$G$41+'Велико Търново'!E10*Цени!$G$41+'Русе Кемикълс'!E10*Цени!$G$45+'Нова пауър'!E10*Цени!$G$45+Труд!E10*Цени!$G$43+Берус!E10*Цени!$G$45+'Доминекс про'!E10*Цени!$G$45+'Бултекс 1'!E10*Цени!$G$45+РВД!E10*Цени!$G$45+'Тенекс С'!E10*Цени!$G$42+Декотекс!E10*Цени!$G$43+Алуком!E10*Цени!$G$45+Илинден!E10*Цени!$G$44+'Ваптех АМ'!E10*Цени!$G$44+'Борса и балансиране'!H10+'Борса и балансиране'!N10+Плевен!S10)/(Плевен!K10+Плевен!L10+Бургас!H10+'Враца 1'!H10+'Враца 2'!H10+Перник!G10+Русе!G10+'Велико Търново'!E10+'Русе Кемикълс'!E10+'Нова пауър'!E10+Труд!E10+Берус!E10+'Доминекс про'!E10+'Бултекс 1'!E10+РВД!E10+'Тенекс С'!E10+Декотекс!E10+'Борса и балансиране'!F10+'Борса и балансиране'!J10)</f>
        <v>60.549235864035694</v>
      </c>
      <c r="AY10" s="353">
        <f t="shared" si="32"/>
        <v>20.32315023258915</v>
      </c>
      <c r="BA10" s="329">
        <f t="shared" si="27"/>
        <v>45389</v>
      </c>
      <c r="BB10" s="355">
        <f>+BB9-Цени!E9+Цени!L9</f>
        <v>147998.64500000011</v>
      </c>
      <c r="BC10" s="353">
        <f t="shared" ref="BC10" si="37">+BD10/BB10</f>
        <v>229.36627236379309</v>
      </c>
      <c r="BD10" s="353">
        <f>+BD9+Цени!N9-Цени!E9*Цени!$M$1</f>
        <v>33945897.518542349</v>
      </c>
      <c r="BF10" s="329">
        <f t="shared" si="29"/>
        <v>45389</v>
      </c>
      <c r="BG10" s="401">
        <v>6825122.2699999996</v>
      </c>
      <c r="BH10" s="401">
        <v>1913745.64</v>
      </c>
      <c r="BI10" s="401">
        <v>1291527.2399999998</v>
      </c>
      <c r="BJ10" s="401">
        <v>397936.4200000001</v>
      </c>
      <c r="BK10" s="401">
        <v>2433275.39</v>
      </c>
      <c r="BL10" s="401">
        <v>2389248.8800000004</v>
      </c>
      <c r="BM10" s="401">
        <v>79326</v>
      </c>
      <c r="BN10" s="401">
        <v>0</v>
      </c>
      <c r="BO10" s="358">
        <f>SUM(BG10:BN10)</f>
        <v>15330181.840000002</v>
      </c>
      <c r="BQ10" s="329">
        <f t="shared" si="30"/>
        <v>45389</v>
      </c>
      <c r="BR10" s="357">
        <f t="shared" si="14"/>
        <v>0</v>
      </c>
      <c r="BS10" s="357">
        <f t="shared" si="15"/>
        <v>0</v>
      </c>
      <c r="BT10" s="357">
        <f t="shared" si="16"/>
        <v>0</v>
      </c>
      <c r="BU10" s="357">
        <f t="shared" si="17"/>
        <v>0</v>
      </c>
      <c r="BV10" s="357">
        <f t="shared" si="18"/>
        <v>13717329.190000001</v>
      </c>
      <c r="BW10" s="357">
        <f t="shared" si="18"/>
        <v>15249723.549999999</v>
      </c>
      <c r="BX10" s="357">
        <f t="shared" si="19"/>
        <v>0</v>
      </c>
      <c r="BY10" s="357">
        <f t="shared" si="20"/>
        <v>3567553.1529600001</v>
      </c>
      <c r="BZ10" s="358">
        <f t="shared" si="9"/>
        <v>32534605.892960001</v>
      </c>
      <c r="CB10" s="329">
        <f t="shared" si="31"/>
        <v>45389</v>
      </c>
      <c r="CC10" s="401">
        <v>6825122.2699999996</v>
      </c>
      <c r="CD10" s="401">
        <v>1913745.64</v>
      </c>
      <c r="CE10" s="401">
        <v>1291527.2399999998</v>
      </c>
      <c r="CF10" s="401">
        <v>397936.4200000001</v>
      </c>
      <c r="CG10" s="401">
        <v>16150604.580000002</v>
      </c>
      <c r="CH10" s="401">
        <v>17638972.43</v>
      </c>
      <c r="CI10" s="401">
        <v>79326</v>
      </c>
      <c r="CJ10" s="401">
        <v>3567553.1529600001</v>
      </c>
      <c r="CK10" s="358">
        <f t="shared" si="21"/>
        <v>47864787.732960001</v>
      </c>
    </row>
    <row r="11" spans="2:90" x14ac:dyDescent="0.25">
      <c r="B11" s="47">
        <f t="shared" si="22"/>
        <v>45390</v>
      </c>
      <c r="C11" s="333">
        <f>+Плевен!K11+Плевен!L11</f>
        <v>1091.9280000000001</v>
      </c>
      <c r="D11" s="334">
        <f>Бургас!H11</f>
        <v>3.4710000000000036</v>
      </c>
      <c r="E11" s="334">
        <f>'Враца 1'!H11</f>
        <v>0</v>
      </c>
      <c r="F11" s="334">
        <f>'Враца 2'!H11</f>
        <v>0</v>
      </c>
      <c r="G11" s="335">
        <f>Русе!G11</f>
        <v>171.30199999999999</v>
      </c>
      <c r="H11" s="335">
        <f>+'Русе Кемикълс'!E11</f>
        <v>2.85</v>
      </c>
      <c r="I11" s="335">
        <f>+'Нова пауър'!E11</f>
        <v>0</v>
      </c>
      <c r="J11" s="335">
        <f>+'Доминекс про'!E11</f>
        <v>23.933</v>
      </c>
      <c r="K11" s="335">
        <f>+Труд!E11</f>
        <v>29.805</v>
      </c>
      <c r="L11" s="335">
        <f>+'Велико Търново'!E11</f>
        <v>54.995000000000005</v>
      </c>
      <c r="M11" s="335">
        <f>+Берус!E11</f>
        <v>0</v>
      </c>
      <c r="N11" s="335">
        <f>+'Бултекс 1'!E11</f>
        <v>1.964</v>
      </c>
      <c r="O11" s="335">
        <f>+Алуком!E11</f>
        <v>2.5190000000000001</v>
      </c>
      <c r="P11" s="335">
        <f>+Илинден!E11</f>
        <v>0</v>
      </c>
      <c r="Q11" s="335">
        <f>+'Ваптех АМ'!E11</f>
        <v>0</v>
      </c>
      <c r="R11" s="335">
        <f>+РВД!E11</f>
        <v>11.102</v>
      </c>
      <c r="S11" s="335">
        <f>+'Тенекс С'!E11</f>
        <v>0</v>
      </c>
      <c r="T11" s="335">
        <f>+Декотекс!E11</f>
        <v>2.0179999999999998</v>
      </c>
      <c r="U11" s="335">
        <f>+ДХТ!D11</f>
        <v>0</v>
      </c>
      <c r="V11" s="335">
        <f>+ДХТ!I11</f>
        <v>0</v>
      </c>
      <c r="W11" s="335">
        <f>+ЕМИ!D11</f>
        <v>0</v>
      </c>
      <c r="X11" s="335">
        <f>+Цени!L10</f>
        <v>0</v>
      </c>
      <c r="Y11" s="336">
        <f>Перник!G11</f>
        <v>0</v>
      </c>
      <c r="Z11" s="337">
        <f>'Борса и балансиране'!F11</f>
        <v>0</v>
      </c>
      <c r="AA11" s="333">
        <f>IF(AH11-SUM(G11:Z11,Плевен!K11,Плевен!L11,Бургас!H11,'Враца 1'!H11,'Враца 2'!H11)&gt;=0,AH11-SUM(G11:Z11,Плевен!K11,Плевен!L11,Бургас!H11,'Враца 1'!H11,'Враца 2'!H11),IF(AH11-SUM(G11:Z11,Плевен!K11,Плевен!L11,Бургас!H11,'Враца 1'!H11,'Враца 2'!H11)&lt;=0,0))</f>
        <v>0</v>
      </c>
      <c r="AB11" s="336">
        <f>IF(AH11-SUM(G11:Z11,Плевен!K11,Плевен!L11,Бургас!H11,'Враца 1'!H11,'Враца 2'!H11)&lt;=0,AH11-SUM(G11:Z11,Плевен!K11,Плевен!L11,Бургас!H11,'Враца 1'!H11,'Враца 2'!H11),IF(AH11-SUM(G11:Z11,Плевен!K11,Плевен!L11,Бургас!H11,'Враца 1'!H11,'Враца 2'!H11)&gt;=0,0))</f>
        <v>-80.887000000000171</v>
      </c>
      <c r="AD11" s="342">
        <f>Цени!E10</f>
        <v>0</v>
      </c>
      <c r="AE11" s="342">
        <f>+Цени!C10+Цени!F10</f>
        <v>15</v>
      </c>
      <c r="AF11" s="342">
        <f>+Цени!D10</f>
        <v>0</v>
      </c>
      <c r="AG11" s="343">
        <f>'Борса и балансиране'!C11</f>
        <v>1300</v>
      </c>
      <c r="AH11" s="344">
        <f t="shared" si="10"/>
        <v>1315</v>
      </c>
      <c r="AJ11" s="345">
        <f>SUM(Плевен!K11+Бургас!H11+'Враца 1'!H11+'Враца 2'!H11+Русе!G11+'Велико Търново'!E11)*(Цени!I10+Цени!$E$56)+Перник!G11*(Цени!$G$41-Цени!H10+Цени!$E$56)+Плевен!L11*(Цени!$G$42-Цени!H10+Цени!$E$56)+Плевен!R11+Бургас!O11+'Враца 1'!N11+'Враца 2'!N11+Перник!N11+Русе!M11+'Велико Търново'!J11+'Тенекс С'!J11+'Борса и балансиране'!H11-'Борса и балансиране'!E11+'Борса и балансиране'!N11+'Борса и балансиране'!O11-('Борса и балансиране'!J11+'Борса и балансиране'!K11-'Борса и балансиране'!C11+'Борса и балансиране'!F11)*Цени!H10+'Тенекс С'!E11*(Цени!$G$44-Цени!H10+Цени!$E$56)+(Алуком!E11+'Русе Кемикълс'!E11+'Доминекс про'!E11+Берус!E11+'Бултекс 1'!E11)*(Цени!$G$44-Цени!H10)+(Илинден!E11+'Ваптех АМ'!E11+'Нова пауър'!E11)*(Цени!$G$44-Цени!H10)+РВД!E11*(Цени!$G$45-Цени!H10)+(Декотекс!E11)*(Цени!$G$43-Цени!H10)+(Труд!E11)*(Цени!$G$44-Цени!H10)+ДХТ!D11*(ДХТ!E11-Цени!H10)+ДХТ!I11*(ДХТ!J11-Цени!H10)+ЕМИ!D11*(ЕМИ!E11-Цени!H10)</f>
        <v>27521.184174000024</v>
      </c>
      <c r="AK11" s="346">
        <v>2485</v>
      </c>
      <c r="AL11" s="347">
        <f>AJ11-AK11+Перник!T22</f>
        <v>25036.184174000024</v>
      </c>
      <c r="AM11" s="348">
        <f>+(Цени!$E$35-Цени!$M$1)*Цени!E10</f>
        <v>0</v>
      </c>
      <c r="AN11" s="349">
        <f t="shared" si="23"/>
        <v>25036.184174000024</v>
      </c>
      <c r="AP11" s="329">
        <f t="shared" si="24"/>
        <v>45390</v>
      </c>
      <c r="AQ11" s="353">
        <f t="shared" si="25"/>
        <v>58.84</v>
      </c>
      <c r="AR11" s="353">
        <f t="shared" si="11"/>
        <v>41.490930139760593</v>
      </c>
      <c r="AS11" s="332">
        <f>26.875*1.95583</f>
        <v>52.562931249999998</v>
      </c>
      <c r="AT11" s="353">
        <f t="shared" si="12"/>
        <v>-11.072001110239405</v>
      </c>
      <c r="AV11" s="329">
        <f t="shared" si="26"/>
        <v>45390</v>
      </c>
      <c r="AW11" s="354">
        <f>+(Цени!K10*Цени!H10+'Борса и балансиране'!E11+'Борса и балансиране'!O11*-1)/(Цени!K10+'Борса и балансиране'!C11+'Борса и балансиране'!K11*-1)</f>
        <v>41.490930139760593</v>
      </c>
      <c r="AX11" s="354">
        <f>+(Плевен!K11*Цени!$G$41+Плевен!L11*Цени!$G$41+Бургас!H11*Цени!$G$41+'Враца 1'!H11*Цени!$G$41+'Враца 2'!H11*Цени!$G$41+Перник!G11*Цени!$G$41+Русе!G11*Цени!$G$41+'Велико Търново'!E11*Цени!$G$41+'Русе Кемикълс'!E11*Цени!$G$45+'Нова пауър'!E11*Цени!$G$45+Труд!E11*Цени!$G$43+Берус!E11*Цени!$G$45+'Доминекс про'!E11*Цени!$G$45+'Бултекс 1'!E11*Цени!$G$45+РВД!E11*Цени!$G$45+'Тенекс С'!E11*Цени!$G$42+Декотекс!E11*Цени!$G$43+Алуком!E11*Цени!$G$45+Илинден!E11*Цени!$G$44+'Ваптех АМ'!E11*Цени!$G$44+'Борса и балансиране'!H11+'Борса и балансиране'!N11+Плевен!S11)/(Плевен!K11+Плевен!L11+Бургас!H11+'Враца 1'!H11+'Враца 2'!H11+Перник!G11+Русе!G11+'Велико Търново'!E11+'Русе Кемикълс'!E11+'Нова пауър'!E11+Труд!E11+Берус!E11+'Доминекс про'!E11+'Бултекс 1'!E11+РВД!E11+'Тенекс С'!E11+Декотекс!E11+'Борса и балансиране'!F11+'Борса и балансиране'!J11)</f>
        <v>60.650637024820448</v>
      </c>
      <c r="AY11" s="353">
        <f t="shared" si="32"/>
        <v>19.159706885059855</v>
      </c>
      <c r="BA11" s="329">
        <f t="shared" si="27"/>
        <v>45390</v>
      </c>
      <c r="BB11" s="355">
        <f>+BB10-Цени!E10+Цени!L10</f>
        <v>147998.64500000011</v>
      </c>
      <c r="BC11" s="353">
        <f t="shared" ref="BC11" si="38">+BD11/BB11</f>
        <v>229.36627236379309</v>
      </c>
      <c r="BD11" s="353">
        <f>+BD10+Цени!N10-Цени!E10*Цени!$M$1</f>
        <v>33945897.518542349</v>
      </c>
      <c r="BF11" s="329">
        <f t="shared" si="29"/>
        <v>45390</v>
      </c>
      <c r="BG11" s="401">
        <v>5378456.4199999999</v>
      </c>
      <c r="BH11" s="401">
        <v>1913745.64</v>
      </c>
      <c r="BI11" s="401">
        <v>1291527.2399999998</v>
      </c>
      <c r="BJ11" s="401">
        <v>397936.4200000001</v>
      </c>
      <c r="BK11" s="401">
        <v>2433275.39</v>
      </c>
      <c r="BL11" s="401">
        <v>2389248.8800000004</v>
      </c>
      <c r="BM11" s="401">
        <v>80621.75</v>
      </c>
      <c r="BN11" s="401">
        <v>0</v>
      </c>
      <c r="BO11" s="358">
        <f t="shared" si="34"/>
        <v>13884811.74</v>
      </c>
      <c r="BQ11" s="329">
        <f t="shared" si="30"/>
        <v>45390</v>
      </c>
      <c r="BR11" s="357">
        <f t="shared" si="14"/>
        <v>6786248.2699999996</v>
      </c>
      <c r="BS11" s="357">
        <f t="shared" si="15"/>
        <v>0</v>
      </c>
      <c r="BT11" s="357">
        <f t="shared" si="16"/>
        <v>0</v>
      </c>
      <c r="BU11" s="357">
        <f t="shared" si="17"/>
        <v>0</v>
      </c>
      <c r="BV11" s="357">
        <f t="shared" si="18"/>
        <v>13717329.190000001</v>
      </c>
      <c r="BW11" s="357">
        <f t="shared" si="18"/>
        <v>15249723.549999999</v>
      </c>
      <c r="BX11" s="357">
        <f t="shared" si="19"/>
        <v>0</v>
      </c>
      <c r="BY11" s="357">
        <f t="shared" si="20"/>
        <v>3567553.1529600001</v>
      </c>
      <c r="BZ11" s="358">
        <f t="shared" si="9"/>
        <v>39320854.16296</v>
      </c>
      <c r="CB11" s="329">
        <f t="shared" si="31"/>
        <v>45390</v>
      </c>
      <c r="CC11" s="401">
        <v>12164704.689999999</v>
      </c>
      <c r="CD11" s="401">
        <v>1913745.64</v>
      </c>
      <c r="CE11" s="401">
        <v>1291527.2399999998</v>
      </c>
      <c r="CF11" s="401">
        <v>397936.4200000001</v>
      </c>
      <c r="CG11" s="401">
        <v>16150604.580000002</v>
      </c>
      <c r="CH11" s="401">
        <v>17638972.43</v>
      </c>
      <c r="CI11" s="401">
        <v>80621.75</v>
      </c>
      <c r="CJ11" s="401">
        <v>3567553.1529600001</v>
      </c>
      <c r="CK11" s="358">
        <f t="shared" si="21"/>
        <v>53205665.902960002</v>
      </c>
    </row>
    <row r="12" spans="2:90" x14ac:dyDescent="0.25">
      <c r="B12" s="47">
        <f t="shared" si="22"/>
        <v>45391</v>
      </c>
      <c r="C12" s="333">
        <f>+Плевен!K12+Плевен!L12</f>
        <v>1084.5840000000001</v>
      </c>
      <c r="D12" s="334">
        <f>Бургас!H12</f>
        <v>0</v>
      </c>
      <c r="E12" s="334">
        <f>'Враца 1'!H12</f>
        <v>0</v>
      </c>
      <c r="F12" s="334">
        <f>'Враца 2'!H12</f>
        <v>0</v>
      </c>
      <c r="G12" s="335">
        <f>Русе!G12</f>
        <v>169.167</v>
      </c>
      <c r="H12" s="335">
        <f>+'Русе Кемикълс'!E12</f>
        <v>2.7650000000000001</v>
      </c>
      <c r="I12" s="335">
        <f>+'Нова пауър'!E12</f>
        <v>0</v>
      </c>
      <c r="J12" s="335">
        <f>+'Доминекс про'!E12</f>
        <v>21.103999999999999</v>
      </c>
      <c r="K12" s="335">
        <f>+Труд!E12</f>
        <v>25.898</v>
      </c>
      <c r="L12" s="335">
        <f>+'Велико Търново'!E12</f>
        <v>62.073000000000008</v>
      </c>
      <c r="M12" s="335">
        <f>+Берус!E12</f>
        <v>0</v>
      </c>
      <c r="N12" s="335">
        <f>+'Бултекс 1'!E12</f>
        <v>1.3660000000000001</v>
      </c>
      <c r="O12" s="335">
        <f>+Алуком!E12</f>
        <v>0.98199999999999998</v>
      </c>
      <c r="P12" s="335">
        <f>+Илинден!E12</f>
        <v>0</v>
      </c>
      <c r="Q12" s="335">
        <f>+'Ваптех АМ'!E12</f>
        <v>0</v>
      </c>
      <c r="R12" s="335">
        <f>+РВД!E12</f>
        <v>10.579000000000001</v>
      </c>
      <c r="S12" s="335">
        <f>+'Тенекс С'!E12</f>
        <v>0</v>
      </c>
      <c r="T12" s="335">
        <f>+Декотекс!E12</f>
        <v>2.69</v>
      </c>
      <c r="U12" s="335">
        <f>+ДХТ!D12</f>
        <v>0</v>
      </c>
      <c r="V12" s="335">
        <f>+ДХТ!I12</f>
        <v>0</v>
      </c>
      <c r="W12" s="335">
        <f>+ЕМИ!D12</f>
        <v>0</v>
      </c>
      <c r="X12" s="335">
        <f>+Цени!L11</f>
        <v>0</v>
      </c>
      <c r="Y12" s="336">
        <f>Перник!G12</f>
        <v>20.22199999999998</v>
      </c>
      <c r="Z12" s="337">
        <f>'Борса и балансиране'!F12</f>
        <v>0</v>
      </c>
      <c r="AA12" s="333">
        <f>IF(AH12-SUM(G12:Z12,Плевен!K12,Плевен!L12,Бургас!H12,'Враца 1'!H12,'Враца 2'!H12)&gt;=0,AH12-SUM(G12:Z12,Плевен!K12,Плевен!L12,Бургас!H12,'Враца 1'!H12,'Враца 2'!H12),IF(AH12-SUM(G12:Z12,Плевен!K12,Плевен!L12,Бургас!H12,'Враца 1'!H12,'Враца 2'!H12)&lt;=0,0))</f>
        <v>0</v>
      </c>
      <c r="AB12" s="336">
        <f>IF(AH12-SUM(G12:Z12,Плевен!K12,Плевен!L12,Бургас!H12,'Враца 1'!H12,'Враца 2'!H12)&lt;=0,AH12-SUM(G12:Z12,Плевен!K12,Плевен!L12,Бургас!H12,'Враца 1'!H12,'Враца 2'!H12),IF(AH12-SUM(G12:Z12,Плевен!K12,Плевен!L12,Бургас!H12,'Враца 1'!H12,'Враца 2'!H12)&gt;=0,0))</f>
        <v>-6.4300000000000637</v>
      </c>
      <c r="AD12" s="342">
        <f>Цени!E11</f>
        <v>0</v>
      </c>
      <c r="AE12" s="342">
        <f>+Цени!C11+Цени!F11</f>
        <v>15</v>
      </c>
      <c r="AF12" s="342">
        <f>+Цени!D11</f>
        <v>0</v>
      </c>
      <c r="AG12" s="343">
        <f>'Борса и балансиране'!C12</f>
        <v>1380</v>
      </c>
      <c r="AH12" s="344">
        <f t="shared" si="10"/>
        <v>1395</v>
      </c>
      <c r="AJ12" s="345">
        <f>SUM(Плевен!K12+Бургас!H12+'Враца 1'!H12+'Враца 2'!H12+Русе!G12+'Велико Търново'!E12)*(Цени!I11+Цени!$E$56)+Перник!G12*(Цени!$G$41-Цени!H11+Цени!$E$56)+Плевен!L12*(Цени!$G$42-Цени!H11+Цени!$E$56)+Плевен!R12+Бургас!O12+'Враца 1'!N12+'Враца 2'!N12+Перник!N12+Русе!M12+'Велико Търново'!J12+'Тенекс С'!J12+'Борса и балансиране'!H12-'Борса и балансиране'!E12+'Борса и балансиране'!N12+'Борса и балансиране'!O12-('Борса и балансиране'!J12+'Борса и балансиране'!K12-'Борса и балансиране'!C12+'Борса и балансиране'!F12)*Цени!H11+'Тенекс С'!E12*(Цени!$G$44-Цени!H11+Цени!$E$56)+(Алуком!E12+'Русе Кемикълс'!E12+'Доминекс про'!E12+Берус!E12+'Бултекс 1'!E12)*(Цени!$G$44-Цени!H11)+(Илинден!E12+'Ваптех АМ'!E12+'Нова пауър'!E12)*(Цени!$G$44-Цени!H11)+РВД!E12*(Цени!$G$45-Цени!H11)+(Декотекс!E12)*(Цени!$G$43-Цени!H11)+(Труд!E12)*(Цени!$G$44-Цени!H11)+ДХТ!D12*(ДХТ!E12-Цени!H11)+ДХТ!I12*(ДХТ!J12-Цени!H11)+ЕМИ!D12*(ЕМИ!E12-Цени!H11)</f>
        <v>26767.092679000016</v>
      </c>
      <c r="AK12" s="346">
        <v>2485</v>
      </c>
      <c r="AL12" s="347">
        <f>AJ12-AK12+Перник!T23</f>
        <v>24282.092679000016</v>
      </c>
      <c r="AM12" s="348">
        <f>+(Цени!$E$35-Цени!$M$1)*Цени!E11</f>
        <v>0</v>
      </c>
      <c r="AN12" s="349">
        <f t="shared" si="23"/>
        <v>24282.092679000016</v>
      </c>
      <c r="AP12" s="329">
        <f t="shared" si="24"/>
        <v>45391</v>
      </c>
      <c r="AQ12" s="353">
        <f t="shared" si="25"/>
        <v>58.84</v>
      </c>
      <c r="AR12" s="353">
        <f t="shared" si="11"/>
        <v>42.161064055999937</v>
      </c>
      <c r="AS12" s="332">
        <f>27.875*1.95583</f>
        <v>54.518761249999997</v>
      </c>
      <c r="AT12" s="353">
        <f t="shared" si="12"/>
        <v>-12.35769719400006</v>
      </c>
      <c r="AV12" s="329">
        <f t="shared" si="26"/>
        <v>45391</v>
      </c>
      <c r="AW12" s="354">
        <f>+(Цени!K11*Цени!H11+'Борса и балансиране'!E12+'Борса и балансиране'!O12*-1)/(Цени!K11+'Борса и балансиране'!C12+'Борса и балансиране'!K12*-1)</f>
        <v>42.161064055999937</v>
      </c>
      <c r="AX12" s="354">
        <f>+(Плевен!K12*Цени!$G$41+Плевен!L12*Цени!$G$41+Бургас!H12*Цени!$G$41+'Враца 1'!H12*Цени!$G$41+'Враца 2'!H12*Цени!$G$41+Перник!G12*Цени!$G$41+Русе!G12*Цени!$G$41+'Велико Търново'!E12*Цени!$G$41+'Русе Кемикълс'!E12*Цени!$G$45+'Нова пауър'!E12*Цени!$G$45+Труд!E12*Цени!$G$43+Берус!E12*Цени!$G$45+'Доминекс про'!E12*Цени!$G$45+'Бултекс 1'!E12*Цени!$G$45+РВД!E12*Цени!$G$45+'Тенекс С'!E12*Цени!$G$42+Декотекс!E12*Цени!$G$43+Алуком!E12*Цени!$G$45+Илинден!E12*Цени!$G$44+'Ваптех АМ'!E12*Цени!$G$44+'Борса и балансиране'!H12+'Борса и балансиране'!N12+Плевен!S12)/(Плевен!K12+Плевен!L12+Бургас!H12+'Враца 1'!H12+'Враца 2'!H12+Перник!G12+Русе!G12+'Велико Търново'!E12+'Русе Кемикълс'!E12+'Нова пауър'!E12+Труд!E12+Берус!E12+'Доминекс про'!E12+'Бултекс 1'!E12+РВД!E12+'Тенекс С'!E12+Декотекс!E12+'Борса и балансиране'!F12+'Борса и балансиране'!J12)</f>
        <v>60.662196639932375</v>
      </c>
      <c r="AY12" s="353">
        <f t="shared" si="32"/>
        <v>18.501132583932439</v>
      </c>
      <c r="BA12" s="329">
        <f t="shared" si="27"/>
        <v>45391</v>
      </c>
      <c r="BB12" s="355">
        <f>+BB11-Цени!E11+Цени!L11</f>
        <v>147998.64500000011</v>
      </c>
      <c r="BC12" s="353">
        <f t="shared" ref="BC12" si="39">+BD12/BB12</f>
        <v>229.36627236379309</v>
      </c>
      <c r="BD12" s="353">
        <f>+BD11+Цени!N11-Цени!E11*Цени!$M$1</f>
        <v>33945897.518542349</v>
      </c>
      <c r="BF12" s="329">
        <f t="shared" si="29"/>
        <v>45391</v>
      </c>
      <c r="BG12" s="401">
        <v>5378456.4199999999</v>
      </c>
      <c r="BH12" s="401">
        <v>1913745.64</v>
      </c>
      <c r="BI12" s="401">
        <v>1073722.6599999999</v>
      </c>
      <c r="BJ12" s="401">
        <v>397936.4200000001</v>
      </c>
      <c r="BK12" s="401">
        <v>2433275.39</v>
      </c>
      <c r="BL12" s="401">
        <v>2389248.8800000004</v>
      </c>
      <c r="BM12" s="401">
        <v>359024.79</v>
      </c>
      <c r="BN12" s="401">
        <v>0</v>
      </c>
      <c r="BO12" s="358">
        <f t="shared" si="34"/>
        <v>13945410.200000001</v>
      </c>
      <c r="BQ12" s="329">
        <f t="shared" si="30"/>
        <v>45391</v>
      </c>
      <c r="BR12" s="357">
        <f t="shared" si="14"/>
        <v>5705824.5700000003</v>
      </c>
      <c r="BS12" s="357">
        <f t="shared" si="15"/>
        <v>0</v>
      </c>
      <c r="BT12" s="357">
        <f t="shared" si="16"/>
        <v>0</v>
      </c>
      <c r="BU12" s="357">
        <f t="shared" si="17"/>
        <v>0</v>
      </c>
      <c r="BV12" s="357">
        <f t="shared" si="18"/>
        <v>13480795.16</v>
      </c>
      <c r="BW12" s="357">
        <f t="shared" si="18"/>
        <v>15249723.549999999</v>
      </c>
      <c r="BX12" s="357">
        <f t="shared" si="19"/>
        <v>0</v>
      </c>
      <c r="BY12" s="357">
        <f t="shared" si="20"/>
        <v>3567553.1529600001</v>
      </c>
      <c r="BZ12" s="358">
        <f t="shared" si="9"/>
        <v>38003896.432960004</v>
      </c>
      <c r="CB12" s="329">
        <f t="shared" si="31"/>
        <v>45391</v>
      </c>
      <c r="CC12" s="401">
        <v>11084280.99</v>
      </c>
      <c r="CD12" s="401">
        <v>1913745.64</v>
      </c>
      <c r="CE12" s="401">
        <v>1073722.6599999999</v>
      </c>
      <c r="CF12" s="401">
        <v>397936.4200000001</v>
      </c>
      <c r="CG12" s="401">
        <v>15914070.550000001</v>
      </c>
      <c r="CH12" s="401">
        <v>17638972.43</v>
      </c>
      <c r="CI12" s="401">
        <v>359024.79</v>
      </c>
      <c r="CJ12" s="401">
        <v>3567553.1529600001</v>
      </c>
      <c r="CK12" s="358">
        <f t="shared" si="21"/>
        <v>51949306.632959999</v>
      </c>
    </row>
    <row r="13" spans="2:90" x14ac:dyDescent="0.25">
      <c r="B13" s="47">
        <f t="shared" si="22"/>
        <v>45392</v>
      </c>
      <c r="C13" s="333">
        <f>+Плевен!K13+Плевен!L13</f>
        <v>1090.028</v>
      </c>
      <c r="D13" s="334">
        <f>Бургас!H13</f>
        <v>0</v>
      </c>
      <c r="E13" s="334">
        <f>'Враца 1'!H13</f>
        <v>0</v>
      </c>
      <c r="F13" s="334">
        <f>'Враца 2'!H13</f>
        <v>0</v>
      </c>
      <c r="G13" s="335">
        <f>Русе!G13</f>
        <v>170.69300000000001</v>
      </c>
      <c r="H13" s="335">
        <f>+'Русе Кемикълс'!E13</f>
        <v>2.7010000000000001</v>
      </c>
      <c r="I13" s="335">
        <f>+'Нова пауър'!E13</f>
        <v>0</v>
      </c>
      <c r="J13" s="335">
        <f>+'Доминекс про'!E13</f>
        <v>22.012</v>
      </c>
      <c r="K13" s="335">
        <f>+Труд!E13</f>
        <v>30.37</v>
      </c>
      <c r="L13" s="335">
        <f>+'Велико Търново'!E13</f>
        <v>59.703000000000003</v>
      </c>
      <c r="M13" s="335">
        <f>+Берус!E13</f>
        <v>0</v>
      </c>
      <c r="N13" s="335">
        <f>+'Бултекс 1'!E13</f>
        <v>0.39500000000000002</v>
      </c>
      <c r="O13" s="335">
        <f>+Алуком!E13</f>
        <v>0.93899999999999995</v>
      </c>
      <c r="P13" s="335">
        <f>+Илинден!E13</f>
        <v>0</v>
      </c>
      <c r="Q13" s="335">
        <f>+'Ваптех АМ'!E13</f>
        <v>0</v>
      </c>
      <c r="R13" s="335">
        <f>+РВД!E13</f>
        <v>10.023999999999999</v>
      </c>
      <c r="S13" s="335">
        <f>+'Тенекс С'!E13</f>
        <v>0</v>
      </c>
      <c r="T13" s="335">
        <f>+Декотекс!E13</f>
        <v>4.9210000000000003</v>
      </c>
      <c r="U13" s="335">
        <f>+ДХТ!D13</f>
        <v>0</v>
      </c>
      <c r="V13" s="335">
        <f>+ДХТ!I13</f>
        <v>0</v>
      </c>
      <c r="W13" s="335">
        <f>+ЕМИ!D13</f>
        <v>0</v>
      </c>
      <c r="X13" s="335">
        <f>+Цени!L12</f>
        <v>0</v>
      </c>
      <c r="Y13" s="336">
        <f>Перник!G13</f>
        <v>0.71800000000007458</v>
      </c>
      <c r="Z13" s="337">
        <f>'Борса и балансиране'!F13</f>
        <v>0</v>
      </c>
      <c r="AA13" s="333">
        <f>IF(AH13-SUM(G13:Z13,Плевен!K13,Плевен!L13,Бургас!H13,'Враца 1'!H13,'Враца 2'!H13)&gt;=0,AH13-SUM(G13:Z13,Плевен!K13,Плевен!L13,Бургас!H13,'Враца 1'!H13,'Враца 2'!H13),IF(AH13-SUM(G13:Z13,Плевен!K13,Плевен!L13,Бургас!H13,'Враца 1'!H13,'Враца 2'!H13)&lt;=0,0))</f>
        <v>0</v>
      </c>
      <c r="AB13" s="336">
        <f>IF(AH13-SUM(G13:Z13,Плевен!K13,Плевен!L13,Бургас!H13,'Враца 1'!H13,'Враца 2'!H13)&lt;=0,AH13-SUM(G13:Z13,Плевен!K13,Плевен!L13,Бургас!H13,'Враца 1'!H13,'Враца 2'!H13),IF(AH13-SUM(G13:Z13,Плевен!K13,Плевен!L13,Бургас!H13,'Враца 1'!H13,'Враца 2'!H13)&gt;=0,0))</f>
        <v>-77.504000000000133</v>
      </c>
      <c r="AD13" s="342">
        <f>Цени!E12</f>
        <v>0</v>
      </c>
      <c r="AE13" s="342">
        <f>+Цени!C12+Цени!F12</f>
        <v>15</v>
      </c>
      <c r="AF13" s="342">
        <f>+Цени!D12</f>
        <v>0</v>
      </c>
      <c r="AG13" s="343">
        <f>'Борса и балансиране'!C13</f>
        <v>1300</v>
      </c>
      <c r="AH13" s="344">
        <f t="shared" si="10"/>
        <v>1315</v>
      </c>
      <c r="AJ13" s="345">
        <f>SUM(Плевен!K13+Бургас!H13+'Враца 1'!H13+'Враца 2'!H13+Русе!G13+'Велико Търново'!E13)*(Цени!I12+Цени!$E$56)+Перник!G13*(Цени!$G$41-Цени!H12+Цени!$E$56)+Плевен!L13*(Цени!$G$42-Цени!H12+Цени!$E$56)+Плевен!R13+Бургас!O13+'Враца 1'!N13+'Враца 2'!N13+Перник!N13+Русе!M13+'Велико Търново'!J13+'Тенекс С'!J13+'Борса и балансиране'!H13-'Борса и балансиране'!E13+'Борса и балансиране'!N13+'Борса и балансиране'!O13-('Борса и балансиране'!J13+'Борса и балансиране'!K13-'Борса и балансиране'!C13+'Борса и балансиране'!F13)*Цени!H12+'Тенекс С'!E13*(Цени!$G$44-Цени!H12+Цени!$E$56)+(Алуком!E13+'Русе Кемикълс'!E13+'Доминекс про'!E13+Берус!E13+'Бултекс 1'!E13)*(Цени!$G$44-Цени!H12)+(Илинден!E13+'Ваптех АМ'!E13+'Нова пауър'!E13)*(Цени!$G$44-Цени!H12)+РВД!E13*(Цени!$G$45-Цени!H12)+(Декотекс!E13)*(Цени!$G$43-Цени!H12)+(Труд!E13)*(Цени!$G$44-Цени!H12)+ДХТ!D13*(ДХТ!E13-Цени!H12)+ДХТ!I13*(ДХТ!J13-Цени!H12)+ЕМИ!D13*(ЕМИ!E13-Цени!H12)</f>
        <v>26016.387723000014</v>
      </c>
      <c r="AK13" s="346">
        <v>2485</v>
      </c>
      <c r="AL13" s="347">
        <f>AJ13-AK13+Перник!T24</f>
        <v>23531.387723000014</v>
      </c>
      <c r="AM13" s="348">
        <f>+(Цени!$E$35-Цени!$M$1)*Цени!E12</f>
        <v>0</v>
      </c>
      <c r="AN13" s="349">
        <f t="shared" si="23"/>
        <v>23531.387723000014</v>
      </c>
      <c r="AP13" s="329">
        <f t="shared" si="24"/>
        <v>45392</v>
      </c>
      <c r="AQ13" s="353">
        <f t="shared" si="25"/>
        <v>58.84</v>
      </c>
      <c r="AR13" s="353">
        <f t="shared" si="11"/>
        <v>42.485572752394248</v>
      </c>
      <c r="AS13" s="332">
        <f>27.65*1.95583</f>
        <v>54.078699499999999</v>
      </c>
      <c r="AT13" s="353">
        <f t="shared" si="12"/>
        <v>-11.593126747605751</v>
      </c>
      <c r="AV13" s="329">
        <f t="shared" si="26"/>
        <v>45392</v>
      </c>
      <c r="AW13" s="354">
        <f>+(Цени!K12*Цени!H12+'Борса и балансиране'!E13+'Борса и балансиране'!O13*-1)/(Цени!K12+'Борса и балансиране'!C13+'Борса и балансиране'!K13*-1)</f>
        <v>42.485572752394248</v>
      </c>
      <c r="AX13" s="354">
        <f>+(Плевен!K13*Цени!$G$41+Плевен!L13*Цени!$G$41+Бургас!H13*Цени!$G$41+'Враца 1'!H13*Цени!$G$41+'Враца 2'!H13*Цени!$G$41+Перник!G13*Цени!$G$41+Русе!G13*Цени!$G$41+'Велико Търново'!E13*Цени!$G$41+'Русе Кемикълс'!E13*Цени!$G$45+'Нова пауър'!E13*Цени!$G$45+Труд!E13*Цени!$G$43+Берус!E13*Цени!$G$45+'Доминекс про'!E13*Цени!$G$45+'Бултекс 1'!E13*Цени!$G$45+РВД!E13*Цени!$G$45+'Тенекс С'!E13*Цени!$G$42+Декотекс!E13*Цени!$G$43+Алуком!E13*Цени!$G$45+Илинден!E13*Цени!$G$44+'Ваптех АМ'!E13*Цени!$G$44+'Борса и балансиране'!H13+'Борса и балансиране'!N13+Плевен!S13)/(Плевен!K13+Плевен!L13+Бургас!H13+'Враца 1'!H13+'Враца 2'!H13+Перник!G13+Русе!G13+'Велико Търново'!E13+'Русе Кемикълс'!E13+'Нова пауър'!E13+Труд!E13+Берус!E13+'Доминекс про'!E13+'Бултекс 1'!E13+РВД!E13+'Тенекс С'!E13+Декотекс!E13+'Борса и балансиране'!F13+'Борса и балансиране'!J13)</f>
        <v>60.547128247692363</v>
      </c>
      <c r="AY13" s="353">
        <f t="shared" si="32"/>
        <v>18.061555495298116</v>
      </c>
      <c r="BA13" s="329">
        <f t="shared" si="27"/>
        <v>45392</v>
      </c>
      <c r="BB13" s="355">
        <f>+BB12-Цени!E12+Цени!L12</f>
        <v>147998.64500000011</v>
      </c>
      <c r="BC13" s="353">
        <f t="shared" ref="BC13" si="40">+BD13/BB13</f>
        <v>229.36627236379309</v>
      </c>
      <c r="BD13" s="353">
        <f>+BD12+Цени!N12-Цени!E12*Цени!$M$1</f>
        <v>33945897.518542349</v>
      </c>
      <c r="BF13" s="329">
        <f t="shared" si="29"/>
        <v>45392</v>
      </c>
      <c r="BG13" s="401">
        <v>5378456.4199999999</v>
      </c>
      <c r="BH13" s="401">
        <v>1592109.0899999999</v>
      </c>
      <c r="BI13" s="401">
        <v>1073722.6599999999</v>
      </c>
      <c r="BJ13" s="401">
        <v>397936.4200000001</v>
      </c>
      <c r="BK13" s="401">
        <v>2433275.39</v>
      </c>
      <c r="BL13" s="401">
        <v>2389248.8800000004</v>
      </c>
      <c r="BM13" s="401">
        <v>281996.39</v>
      </c>
      <c r="BN13" s="401">
        <v>0</v>
      </c>
      <c r="BO13" s="358">
        <f t="shared" si="34"/>
        <v>13546745.250000002</v>
      </c>
      <c r="BQ13" s="329">
        <f t="shared" si="30"/>
        <v>45392</v>
      </c>
      <c r="BR13" s="357">
        <f t="shared" si="14"/>
        <v>5705824.5700000003</v>
      </c>
      <c r="BS13" s="357">
        <f t="shared" si="15"/>
        <v>0</v>
      </c>
      <c r="BT13" s="357">
        <f t="shared" si="16"/>
        <v>0</v>
      </c>
      <c r="BU13" s="357">
        <f t="shared" si="17"/>
        <v>0</v>
      </c>
      <c r="BV13" s="357">
        <f t="shared" si="18"/>
        <v>13622612.260000002</v>
      </c>
      <c r="BW13" s="357">
        <f t="shared" si="18"/>
        <v>15200428.019999998</v>
      </c>
      <c r="BX13" s="357">
        <f t="shared" si="19"/>
        <v>0</v>
      </c>
      <c r="BY13" s="357">
        <f t="shared" si="20"/>
        <v>3567553.1529600001</v>
      </c>
      <c r="BZ13" s="358">
        <f t="shared" si="9"/>
        <v>38096418.002960004</v>
      </c>
      <c r="CB13" s="329">
        <f t="shared" si="31"/>
        <v>45392</v>
      </c>
      <c r="CC13" s="401">
        <v>11084280.99</v>
      </c>
      <c r="CD13" s="401">
        <v>1592109.0899999999</v>
      </c>
      <c r="CE13" s="401">
        <v>1073722.6599999999</v>
      </c>
      <c r="CF13" s="401">
        <v>397936.4200000001</v>
      </c>
      <c r="CG13" s="401">
        <v>16055887.650000002</v>
      </c>
      <c r="CH13" s="401">
        <v>17589676.899999999</v>
      </c>
      <c r="CI13" s="401">
        <v>281996.39</v>
      </c>
      <c r="CJ13" s="401">
        <v>3567553.1529600001</v>
      </c>
      <c r="CK13" s="358">
        <f t="shared" si="21"/>
        <v>51643163.252960004</v>
      </c>
    </row>
    <row r="14" spans="2:90" x14ac:dyDescent="0.25">
      <c r="B14" s="47">
        <f t="shared" si="22"/>
        <v>45393</v>
      </c>
      <c r="C14" s="333">
        <f>+Плевен!K14+Плевен!L14</f>
        <v>1087.07</v>
      </c>
      <c r="D14" s="334">
        <f>Бургас!H14</f>
        <v>0</v>
      </c>
      <c r="E14" s="334">
        <f>'Враца 1'!H14</f>
        <v>0</v>
      </c>
      <c r="F14" s="334">
        <f>'Враца 2'!H14</f>
        <v>0</v>
      </c>
      <c r="G14" s="335">
        <f>Русе!G14</f>
        <v>168.87899999999999</v>
      </c>
      <c r="H14" s="335">
        <f>+'Русе Кемикълс'!E14</f>
        <v>2.8079999999999998</v>
      </c>
      <c r="I14" s="335">
        <f>+'Нова пауър'!E14</f>
        <v>0</v>
      </c>
      <c r="J14" s="335">
        <f>+'Доминекс про'!E14</f>
        <v>21.318000000000001</v>
      </c>
      <c r="K14" s="335">
        <f>+Труд!E14</f>
        <v>29.559000000000001</v>
      </c>
      <c r="L14" s="335">
        <f>+'Велико Търново'!E14</f>
        <v>58.207999999999998</v>
      </c>
      <c r="M14" s="335">
        <f>+Берус!E14</f>
        <v>0</v>
      </c>
      <c r="N14" s="335">
        <f>+'Бултекс 1'!E14</f>
        <v>1.7609999999999999</v>
      </c>
      <c r="O14" s="335">
        <f>+Алуком!E14</f>
        <v>0.70499999999999996</v>
      </c>
      <c r="P14" s="335">
        <f>+Илинден!E14</f>
        <v>0</v>
      </c>
      <c r="Q14" s="335">
        <f>+'Ваптех АМ'!E14</f>
        <v>0</v>
      </c>
      <c r="R14" s="335">
        <f>+РВД!E14</f>
        <v>9.9920000000000009</v>
      </c>
      <c r="S14" s="335">
        <f>+'Тенекс С'!E14</f>
        <v>0</v>
      </c>
      <c r="T14" s="335">
        <f>+Декотекс!E14</f>
        <v>8.07</v>
      </c>
      <c r="U14" s="335">
        <f>+ДХТ!D14</f>
        <v>0</v>
      </c>
      <c r="V14" s="335">
        <f>+ДХТ!I14</f>
        <v>0</v>
      </c>
      <c r="W14" s="335">
        <f>+ЕМИ!D14</f>
        <v>0</v>
      </c>
      <c r="X14" s="335">
        <f>+Цени!L13</f>
        <v>0</v>
      </c>
      <c r="Y14" s="336">
        <f>Перник!G14</f>
        <v>5.3299999999999272</v>
      </c>
      <c r="Z14" s="337">
        <f>'Борса и балансиране'!F14</f>
        <v>0</v>
      </c>
      <c r="AA14" s="333">
        <f>IF(AH14-SUM(G14:Z14,Плевен!K14,Плевен!L14,Бургас!H14,'Враца 1'!H14,'Враца 2'!H14)&gt;=0,AH14-SUM(G14:Z14,Плевен!K14,Плевен!L14,Бургас!H14,'Враца 1'!H14,'Враца 2'!H14),IF(AH14-SUM(G14:Z14,Плевен!K14,Плевен!L14,Бургас!H14,'Враца 1'!H14,'Враца 2'!H14)&lt;=0,0))</f>
        <v>0</v>
      </c>
      <c r="AB14" s="336">
        <f>IF(AH14-SUM(G14:Z14,Плевен!K14,Плевен!L14,Бургас!H14,'Враца 1'!H14,'Враца 2'!H14)&lt;=0,AH14-SUM(G14:Z14,Плевен!K14,Плевен!L14,Бургас!H14,'Враца 1'!H14,'Враца 2'!H14),IF(AH14-SUM(G14:Z14,Плевен!K14,Плевен!L14,Бургас!H14,'Враца 1'!H14,'Враца 2'!H14)&gt;=0,0))</f>
        <v>-28.699999999999818</v>
      </c>
      <c r="AD14" s="342">
        <f>Цени!E13</f>
        <v>0</v>
      </c>
      <c r="AE14" s="342">
        <f>+Цени!C13+Цени!F13</f>
        <v>15</v>
      </c>
      <c r="AF14" s="342">
        <f>+Цени!D13</f>
        <v>0</v>
      </c>
      <c r="AG14" s="343">
        <f>'Борса и балансиране'!C14</f>
        <v>1350</v>
      </c>
      <c r="AH14" s="344">
        <f t="shared" si="10"/>
        <v>1365</v>
      </c>
      <c r="AJ14" s="345">
        <f>SUM(Плевен!K14+Бургас!H14+'Враца 1'!H14+'Враца 2'!H14+Русе!G14+'Велико Търново'!E14)*(Цени!I13+Цени!$E$56)+Перник!G14*(Цени!$G$41-Цени!H13+Цени!$E$56)+Плевен!L14*(Цени!$G$42-Цени!H13+Цени!$E$56)+Плевен!R14+Бургас!O14+'Враца 1'!N14+'Враца 2'!N14+Перник!N14+Русе!M14+'Велико Търново'!J14+'Тенекс С'!J14+'Борса и балансиране'!H14-'Борса и балансиране'!E14+'Борса и балансиране'!N14+'Борса и балансиране'!O14-('Борса и балансиране'!J14+'Борса и балансиране'!K14-'Борса и балансиране'!C14+'Борса и балансиране'!F14)*Цени!H13+'Тенекс С'!E14*(Цени!$G$44-Цени!H13+Цени!$E$56)+(Алуком!E14+'Русе Кемикълс'!E14+'Доминекс про'!E14+Берус!E14+'Бултекс 1'!E14)*(Цени!$G$44-Цени!H13)+(Илинден!E14+'Ваптех АМ'!E14+'Нова пауър'!E14)*(Цени!$G$44-Цени!H13)+РВД!E14*(Цени!$G$45-Цени!H13)+(Декотекс!E14)*(Цени!$G$43-Цени!H13)+(Труд!E14)*(Цени!$G$44-Цени!H13)+ДХТ!D14*(ДХТ!E14-Цени!H13)+ДХТ!I14*(ДХТ!J14-Цени!H13)+ЕМИ!D14*(ЕМИ!E14-Цени!H13)</f>
        <v>24836.9240255</v>
      </c>
      <c r="AK14" s="346">
        <v>2485</v>
      </c>
      <c r="AL14" s="347">
        <f>AJ14-AK14+Перник!T25</f>
        <v>22351.9240255</v>
      </c>
      <c r="AM14" s="348">
        <f>+(Цени!$E$35-Цени!$M$1)*Цени!E13</f>
        <v>0</v>
      </c>
      <c r="AN14" s="349">
        <f t="shared" si="23"/>
        <v>22351.9240255</v>
      </c>
      <c r="AP14" s="329">
        <f t="shared" si="24"/>
        <v>45393</v>
      </c>
      <c r="AQ14" s="353">
        <f t="shared" si="25"/>
        <v>58.84</v>
      </c>
      <c r="AR14" s="353">
        <f t="shared" si="11"/>
        <v>43.323670804333794</v>
      </c>
      <c r="AS14" s="332">
        <f>27.625*1.95583</f>
        <v>54.029803749999999</v>
      </c>
      <c r="AT14" s="353">
        <f t="shared" si="12"/>
        <v>-10.706132945666205</v>
      </c>
      <c r="AV14" s="329">
        <f t="shared" si="26"/>
        <v>45393</v>
      </c>
      <c r="AW14" s="354">
        <f>+(Цени!K13*Цени!H13+'Борса и балансиране'!E14+'Борса и балансиране'!O14*-1)/(Цени!K13+'Борса и балансиране'!C14+'Борса и балансиране'!K14*-1)</f>
        <v>43.323670804333794</v>
      </c>
      <c r="AX14" s="354">
        <f>+(Плевен!K14*Цени!$G$41+Плевен!L14*Цени!$G$41+Бургас!H14*Цени!$G$41+'Враца 1'!H14*Цени!$G$41+'Враца 2'!H14*Цени!$G$41+Перник!G14*Цени!$G$41+Русе!G14*Цени!$G$41+'Велико Търново'!E14*Цени!$G$41+'Русе Кемикълс'!E14*Цени!$G$45+'Нова пауър'!E14*Цени!$G$45+Труд!E14*Цени!$G$43+Берус!E14*Цени!$G$45+'Доминекс про'!E14*Цени!$G$45+'Бултекс 1'!E14*Цени!$G$45+РВД!E14*Цени!$G$45+'Тенекс С'!E14*Цени!$G$42+Декотекс!E14*Цени!$G$43+Алуком!E14*Цени!$G$45+Илинден!E14*Цени!$G$44+'Ваптех АМ'!E14*Цени!$G$44+'Борса и балансиране'!H14+'Борса и балансиране'!N14+Плевен!S14)/(Плевен!K14+Плевен!L14+Бургас!H14+'Враца 1'!H14+'Враца 2'!H14+Перник!G14+Русе!G14+'Велико Търново'!E14+'Русе Кемикълс'!E14+'Нова пауър'!E14+Труд!E14+Берус!E14+'Доминекс про'!E14+'Бултекс 1'!E14+РВД!E14+'Тенекс С'!E14+Декотекс!E14+'Борса и балансиране'!F14+'Борса и балансиране'!J14)</f>
        <v>60.51717930789416</v>
      </c>
      <c r="AY14" s="353">
        <f t="shared" si="32"/>
        <v>17.193508503560366</v>
      </c>
      <c r="BA14" s="329">
        <f t="shared" si="27"/>
        <v>45393</v>
      </c>
      <c r="BB14" s="355">
        <f>+BB13-Цени!E13+Цени!L13</f>
        <v>147998.64500000011</v>
      </c>
      <c r="BC14" s="353">
        <f t="shared" ref="BC14" si="41">+BD14/BB14</f>
        <v>229.36627236379309</v>
      </c>
      <c r="BD14" s="353">
        <f>+BD13+Цени!N13-Цени!E13*Цени!$M$1</f>
        <v>33945897.518542349</v>
      </c>
      <c r="BF14" s="329">
        <f t="shared" si="29"/>
        <v>45393</v>
      </c>
      <c r="BG14" s="401">
        <v>5378456.4199999999</v>
      </c>
      <c r="BH14" s="401">
        <v>1592109.0899999999</v>
      </c>
      <c r="BI14" s="401">
        <v>1073722.6599999999</v>
      </c>
      <c r="BJ14" s="401">
        <v>397936.4200000001</v>
      </c>
      <c r="BK14" s="401">
        <v>2433275.39</v>
      </c>
      <c r="BL14" s="401">
        <v>2389248.8800000004</v>
      </c>
      <c r="BM14" s="401">
        <v>281996.39</v>
      </c>
      <c r="BN14" s="401">
        <v>0</v>
      </c>
      <c r="BO14" s="358">
        <f>SUM(BG14:BN14)</f>
        <v>13546745.250000002</v>
      </c>
      <c r="BQ14" s="329">
        <f t="shared" si="30"/>
        <v>45393</v>
      </c>
      <c r="BR14" s="357">
        <f t="shared" si="14"/>
        <v>5705824.5700000003</v>
      </c>
      <c r="BS14" s="357">
        <f t="shared" si="15"/>
        <v>0</v>
      </c>
      <c r="BT14" s="357">
        <f t="shared" si="16"/>
        <v>0</v>
      </c>
      <c r="BU14" s="357">
        <f t="shared" si="17"/>
        <v>0</v>
      </c>
      <c r="BV14" s="357">
        <f t="shared" si="18"/>
        <v>13622612.260000002</v>
      </c>
      <c r="BW14" s="357">
        <f t="shared" si="18"/>
        <v>15200428.019999998</v>
      </c>
      <c r="BX14" s="357">
        <f t="shared" si="19"/>
        <v>0</v>
      </c>
      <c r="BY14" s="357">
        <f t="shared" si="20"/>
        <v>3567553.1529600001</v>
      </c>
      <c r="BZ14" s="358">
        <f t="shared" si="9"/>
        <v>38096418.002960004</v>
      </c>
      <c r="CB14" s="329">
        <f t="shared" si="31"/>
        <v>45393</v>
      </c>
      <c r="CC14" s="401">
        <v>11084280.99</v>
      </c>
      <c r="CD14" s="401">
        <v>1592109.0899999999</v>
      </c>
      <c r="CE14" s="401">
        <v>1073722.6599999999</v>
      </c>
      <c r="CF14" s="401">
        <v>397936.4200000001</v>
      </c>
      <c r="CG14" s="401">
        <v>16055887.650000002</v>
      </c>
      <c r="CH14" s="401">
        <v>17589676.899999999</v>
      </c>
      <c r="CI14" s="401">
        <v>281996.39</v>
      </c>
      <c r="CJ14" s="401">
        <v>3567553.1529600001</v>
      </c>
      <c r="CK14" s="358">
        <f t="shared" si="21"/>
        <v>51643163.252960004</v>
      </c>
    </row>
    <row r="15" spans="2:90" x14ac:dyDescent="0.25">
      <c r="B15" s="47">
        <f t="shared" si="22"/>
        <v>45394</v>
      </c>
      <c r="C15" s="333">
        <f>+Плевен!K15+Плевен!L15</f>
        <v>706.73099999999977</v>
      </c>
      <c r="D15" s="334">
        <f>Бургас!H15</f>
        <v>0</v>
      </c>
      <c r="E15" s="334">
        <f>'Враца 1'!H15</f>
        <v>0</v>
      </c>
      <c r="F15" s="334">
        <f>'Враца 2'!H15</f>
        <v>0</v>
      </c>
      <c r="G15" s="335">
        <f>Русе!G15</f>
        <v>173.02</v>
      </c>
      <c r="H15" s="335">
        <f>+'Русе Кемикълс'!E15</f>
        <v>2.8820000000000001</v>
      </c>
      <c r="I15" s="335">
        <f>+'Нова пауър'!E15</f>
        <v>0</v>
      </c>
      <c r="J15" s="335">
        <f>+'Доминекс про'!E15</f>
        <v>21.018999999999998</v>
      </c>
      <c r="K15" s="335">
        <f>+Труд!E15</f>
        <v>29.879000000000001</v>
      </c>
      <c r="L15" s="335">
        <f>+'Велико Търново'!E15</f>
        <v>52.412000000000006</v>
      </c>
      <c r="M15" s="335">
        <f>+Берус!E15</f>
        <v>0</v>
      </c>
      <c r="N15" s="335">
        <f>+'Бултекс 1'!E15</f>
        <v>1.8149999999999999</v>
      </c>
      <c r="O15" s="335">
        <f>+Алуком!E15</f>
        <v>0</v>
      </c>
      <c r="P15" s="335">
        <f>+Илинден!E15</f>
        <v>0</v>
      </c>
      <c r="Q15" s="335">
        <f>+'Ваптех АМ'!E15</f>
        <v>0</v>
      </c>
      <c r="R15" s="335">
        <f>+РВД!E15</f>
        <v>9.49</v>
      </c>
      <c r="S15" s="335">
        <f>+'Тенекс С'!E15</f>
        <v>0</v>
      </c>
      <c r="T15" s="335">
        <f>+Декотекс!E15</f>
        <v>47.930999999999997</v>
      </c>
      <c r="U15" s="335">
        <f>+ДХТ!D15</f>
        <v>0</v>
      </c>
      <c r="V15" s="335">
        <f>+ДХТ!I15</f>
        <v>0</v>
      </c>
      <c r="W15" s="335">
        <f>+ЕМИ!D15</f>
        <v>0</v>
      </c>
      <c r="X15" s="335">
        <f>+Цени!L14</f>
        <v>0</v>
      </c>
      <c r="Y15" s="336">
        <f>Перник!G15</f>
        <v>0.58999999999991815</v>
      </c>
      <c r="Z15" s="337">
        <f>'Борса и балансиране'!F15</f>
        <v>150</v>
      </c>
      <c r="AA15" s="333">
        <f>IF(AH15-SUM(G15:Z15,Плевен!K15,Плевен!L15,Бургас!H15,'Враца 1'!H15,'Враца 2'!H15)&gt;=0,AH15-SUM(G15:Z15,Плевен!K15,Плевен!L15,Бургас!H15,'Враца 1'!H15,'Враца 2'!H15),IF(AH15-SUM(G15:Z15,Плевен!K15,Плевен!L15,Бургас!H15,'Враца 1'!H15,'Враца 2'!H15)&lt;=0,0))</f>
        <v>0</v>
      </c>
      <c r="AB15" s="336">
        <f>IF(AH15-SUM(G15:Z15,Плевен!K15,Плевен!L15,Бургас!H15,'Враца 1'!H15,'Враца 2'!H15)&lt;=0,AH15-SUM(G15:Z15,Плевен!K15,Плевен!L15,Бургас!H15,'Враца 1'!H15,'Враца 2'!H15),IF(AH15-SUM(G15:Z15,Плевен!K15,Плевен!L15,Бургас!H15,'Враца 1'!H15,'Враца 2'!H15)&gt;=0,0))</f>
        <v>-0.76899999999977808</v>
      </c>
      <c r="AD15" s="342">
        <f>Цени!E14</f>
        <v>0</v>
      </c>
      <c r="AE15" s="342">
        <f>+Цени!C14+Цени!F14</f>
        <v>15</v>
      </c>
      <c r="AF15" s="342">
        <f>+Цени!D14</f>
        <v>0</v>
      </c>
      <c r="AG15" s="343">
        <f>'Борса и балансиране'!C15</f>
        <v>1180</v>
      </c>
      <c r="AH15" s="344">
        <f t="shared" si="10"/>
        <v>1195</v>
      </c>
      <c r="AJ15" s="345">
        <f>SUM(Плевен!K15+Бургас!H15+'Враца 1'!H15+'Враца 2'!H15+Русе!G15+'Велико Търново'!E15)*(Цени!I14+Цени!$E$56)+Перник!G15*(Цени!$G$41-Цени!H14+Цени!$E$56)+Плевен!L15*(Цени!$G$42-Цени!H14+Цени!$E$56)+Плевен!R15+Бургас!O15+'Враца 1'!N15+'Враца 2'!N15+Перник!N15+Русе!M15+'Велико Търново'!J15+'Тенекс С'!J15+'Борса и балансиране'!H15-'Борса и балансиране'!E15+'Борса и балансиране'!N15+'Борса и балансиране'!O15-('Борса и балансиране'!J15+'Борса и балансиране'!K15-'Борса и балансиране'!C15+'Борса и балансиране'!F15)*Цени!H14+'Тенекс С'!E15*(Цени!$G$44-Цени!H14+Цени!$E$56)+(Алуком!E15+'Русе Кемикълс'!E15+'Доминекс про'!E15+Берус!E15+'Бултекс 1'!E15)*(Цени!$G$44-Цени!H14)+(Илинден!E15+'Ваптех АМ'!E15+'Нова пауър'!E15)*(Цени!$G$44-Цени!H14)+РВД!E15*(Цени!$G$45-Цени!H14)+(Декотекс!E15)*(Цени!$G$43-Цени!H14)+(Труд!E15)*(Цени!$G$44-Цени!H14)+ДХТ!D15*(ДХТ!E15-Цени!H14)+ДХТ!I15*(ДХТ!J15-Цени!H14)+ЕМИ!D15*(ЕМИ!E15-Цени!H14)</f>
        <v>16948.463824500002</v>
      </c>
      <c r="AK15" s="346">
        <v>2485</v>
      </c>
      <c r="AL15" s="347">
        <f>AJ15-AK15+Перник!T26</f>
        <v>14463.463824500002</v>
      </c>
      <c r="AM15" s="348">
        <f>+(Цени!$E$35-Цени!$M$1)*Цени!E14</f>
        <v>0</v>
      </c>
      <c r="AN15" s="349">
        <f t="shared" si="23"/>
        <v>14463.463824500002</v>
      </c>
      <c r="AP15" s="329">
        <f t="shared" si="24"/>
        <v>45394</v>
      </c>
      <c r="AQ15" s="353">
        <f t="shared" si="25"/>
        <v>58.84</v>
      </c>
      <c r="AR15" s="353">
        <f t="shared" si="11"/>
        <v>45.027952723310278</v>
      </c>
      <c r="AS15" s="332">
        <f>29.2*1.95583</f>
        <v>57.110236</v>
      </c>
      <c r="AT15" s="353">
        <f t="shared" si="12"/>
        <v>-12.082283276689722</v>
      </c>
      <c r="AV15" s="329">
        <f t="shared" si="26"/>
        <v>45394</v>
      </c>
      <c r="AW15" s="354">
        <f>+(Цени!K14*Цени!H14+'Борса и балансиране'!E15+'Борса и балансиране'!O15*-1)/(Цени!K14+'Борса и балансиране'!C15+'Борса и балансиране'!K15*-1)</f>
        <v>45.027952723310278</v>
      </c>
      <c r="AX15" s="354">
        <f>+(Плевен!K15*Цени!$G$41+Плевен!L15*Цени!$G$41+Бургас!H15*Цени!$G$41+'Враца 1'!H15*Цени!$G$41+'Враца 2'!H15*Цени!$G$41+Перник!G15*Цени!$G$41+Русе!G15*Цени!$G$41+'Велико Търново'!E15*Цени!$G$41+'Русе Кемикълс'!E15*Цени!$G$45+'Нова пауър'!E15*Цени!$G$45+Труд!E15*Цени!$G$43+Берус!E15*Цени!$G$45+'Доминекс про'!E15*Цени!$G$45+'Бултекс 1'!E15*Цени!$G$45+РВД!E15*Цени!$G$45+'Тенекс С'!E15*Цени!$G$42+Декотекс!E15*Цени!$G$43+Алуком!E15*Цени!$G$45+Илинден!E15*Цени!$G$44+'Ваптех АМ'!E15*Цени!$G$44+'Борса и балансиране'!H15+'Борса и балансиране'!N15+Плевен!S15)/(Плевен!K15+Плевен!L15+Бургас!H15+'Враца 1'!H15+'Враца 2'!H15+Перник!G15+Русе!G15+'Велико Търново'!E15+'Русе Кемикълс'!E15+'Нова пауър'!E15+Труд!E15+Берус!E15+'Доминекс про'!E15+'Бултекс 1'!E15+РВД!E15+'Тенекс С'!E15+Декотекс!E15+'Борса и балансиране'!F15+'Борса и балансиране'!J15)</f>
        <v>58.594932817291635</v>
      </c>
      <c r="AY15" s="353">
        <f t="shared" si="32"/>
        <v>13.566980093981357</v>
      </c>
      <c r="BA15" s="329">
        <f t="shared" si="27"/>
        <v>45394</v>
      </c>
      <c r="BB15" s="355">
        <f>+BB14-Цени!E14+Цени!L14</f>
        <v>147998.64500000011</v>
      </c>
      <c r="BC15" s="353">
        <f t="shared" ref="BC15" si="42">+BD15/BB15</f>
        <v>229.36627236379309</v>
      </c>
      <c r="BD15" s="353">
        <f>+BD14+Цени!N14-Цени!E14*Цени!$M$1</f>
        <v>33945897.518542349</v>
      </c>
      <c r="BF15" s="329">
        <f t="shared" si="29"/>
        <v>45394</v>
      </c>
      <c r="BG15" s="401">
        <v>5378456.4199999999</v>
      </c>
      <c r="BH15" s="401">
        <v>1592109.0899999999</v>
      </c>
      <c r="BI15" s="401">
        <v>1073722.6599999999</v>
      </c>
      <c r="BJ15" s="401">
        <v>397936.4200000001</v>
      </c>
      <c r="BK15" s="401">
        <v>2433275.39</v>
      </c>
      <c r="BL15" s="401">
        <v>2389248.8800000004</v>
      </c>
      <c r="BM15" s="401">
        <v>177825.42772299997</v>
      </c>
      <c r="BN15" s="401">
        <v>0</v>
      </c>
      <c r="BO15" s="358">
        <f t="shared" si="34"/>
        <v>13442574.287723001</v>
      </c>
      <c r="BQ15" s="329">
        <f t="shared" si="30"/>
        <v>45394</v>
      </c>
      <c r="BR15" s="357">
        <f t="shared" si="14"/>
        <v>5705824.5700000003</v>
      </c>
      <c r="BS15" s="357">
        <f t="shared" si="15"/>
        <v>0</v>
      </c>
      <c r="BT15" s="357">
        <f t="shared" si="16"/>
        <v>0</v>
      </c>
      <c r="BU15" s="357">
        <f t="shared" si="17"/>
        <v>0</v>
      </c>
      <c r="BV15" s="357">
        <f t="shared" si="18"/>
        <v>13622612.260000002</v>
      </c>
      <c r="BW15" s="357">
        <f t="shared" si="18"/>
        <v>15200428.019999998</v>
      </c>
      <c r="BX15" s="357">
        <f t="shared" si="19"/>
        <v>0</v>
      </c>
      <c r="BY15" s="357">
        <f t="shared" si="20"/>
        <v>3567553.1529600001</v>
      </c>
      <c r="BZ15" s="358">
        <f t="shared" si="9"/>
        <v>38096418.002960004</v>
      </c>
      <c r="CB15" s="329">
        <f t="shared" si="31"/>
        <v>45394</v>
      </c>
      <c r="CC15" s="401">
        <v>11084280.99</v>
      </c>
      <c r="CD15" s="401">
        <v>1592109.0899999999</v>
      </c>
      <c r="CE15" s="401">
        <v>1073722.6599999999</v>
      </c>
      <c r="CF15" s="401">
        <v>397936.4200000001</v>
      </c>
      <c r="CG15" s="401">
        <v>16055887.650000002</v>
      </c>
      <c r="CH15" s="401">
        <v>17589676.899999999</v>
      </c>
      <c r="CI15" s="401">
        <v>177825.42772299997</v>
      </c>
      <c r="CJ15" s="401">
        <v>3567553.1529600001</v>
      </c>
      <c r="CK15" s="358">
        <f t="shared" si="21"/>
        <v>51538992.290683001</v>
      </c>
      <c r="CL15" s="23"/>
    </row>
    <row r="16" spans="2:90" x14ac:dyDescent="0.25">
      <c r="B16" s="47">
        <f t="shared" si="22"/>
        <v>45395</v>
      </c>
      <c r="C16" s="333">
        <f>+Плевен!K16+Плевен!L16</f>
        <v>0</v>
      </c>
      <c r="D16" s="334">
        <f>Бургас!H16</f>
        <v>0</v>
      </c>
      <c r="E16" s="334">
        <f>'Враца 1'!H16</f>
        <v>0</v>
      </c>
      <c r="F16" s="334">
        <f>'Враца 2'!H16</f>
        <v>0</v>
      </c>
      <c r="G16" s="335">
        <f>Русе!G16</f>
        <v>176.74600000000001</v>
      </c>
      <c r="H16" s="335">
        <f>+'Русе Кемикълс'!E16</f>
        <v>2.669</v>
      </c>
      <c r="I16" s="335">
        <f>+'Нова пауър'!E16</f>
        <v>0</v>
      </c>
      <c r="J16" s="335">
        <f>+'Доминекс про'!E16</f>
        <v>1.0999999999999999E-2</v>
      </c>
      <c r="K16" s="335">
        <f>+Труд!E16</f>
        <v>17.966000000000001</v>
      </c>
      <c r="L16" s="335">
        <f>+'Велико Търново'!E16</f>
        <v>66.694999999999993</v>
      </c>
      <c r="M16" s="335">
        <f>+Берус!E16</f>
        <v>0</v>
      </c>
      <c r="N16" s="335">
        <f>+'Бултекс 1'!E16</f>
        <v>0.85399999999999998</v>
      </c>
      <c r="O16" s="335">
        <f>+Алуком!E16</f>
        <v>0</v>
      </c>
      <c r="P16" s="335">
        <f>+Илинден!E16</f>
        <v>0</v>
      </c>
      <c r="Q16" s="335">
        <f>+'Ваптех АМ'!E16</f>
        <v>0</v>
      </c>
      <c r="R16" s="335">
        <f>+РВД!E16</f>
        <v>9.1910000000000007</v>
      </c>
      <c r="S16" s="335">
        <f>+'Тенекс С'!E16</f>
        <v>0</v>
      </c>
      <c r="T16" s="335">
        <f>+Декотекс!E16</f>
        <v>3.992</v>
      </c>
      <c r="U16" s="335">
        <f>+ДХТ!D16</f>
        <v>0</v>
      </c>
      <c r="V16" s="335">
        <f>+ДХТ!I16</f>
        <v>0</v>
      </c>
      <c r="W16" s="335">
        <f>+ЕМИ!D16</f>
        <v>0</v>
      </c>
      <c r="X16" s="335">
        <f>+Цени!L15</f>
        <v>0</v>
      </c>
      <c r="Y16" s="336">
        <f>Перник!G16</f>
        <v>0</v>
      </c>
      <c r="Z16" s="337">
        <f>'Борса и балансиране'!F16</f>
        <v>0</v>
      </c>
      <c r="AA16" s="333">
        <f>IF(AH16-SUM(G16:Z16,Плевен!K16,Плевен!L16,Бургас!H16,'Враца 1'!H16,'Враца 2'!H16)&gt;=0,AH16-SUM(G16:Z16,Плевен!K16,Плевен!L16,Бургас!H16,'Враца 1'!H16,'Враца 2'!H16),IF(AH16-SUM(G16:Z16,Плевен!K16,Плевен!L16,Бургас!H16,'Враца 1'!H16,'Враца 2'!H16)&lt;=0,0))</f>
        <v>0</v>
      </c>
      <c r="AB16" s="336">
        <f>IF(AH16-SUM(G16:Z16,Плевен!K16,Плевен!L16,Бургас!H16,'Враца 1'!H16,'Враца 2'!H16)&lt;=0,AH16-SUM(G16:Z16,Плевен!K16,Плевен!L16,Бургас!H16,'Враца 1'!H16,'Враца 2'!H16),IF(AH16-SUM(G16:Z16,Плевен!K16,Плевен!L16,Бургас!H16,'Враца 1'!H16,'Враца 2'!H16)&gt;=0,0))</f>
        <v>-33.123999999999967</v>
      </c>
      <c r="AD16" s="342">
        <f>Цени!E15</f>
        <v>0</v>
      </c>
      <c r="AE16" s="342">
        <f>+Цени!C15+Цени!F15</f>
        <v>15</v>
      </c>
      <c r="AF16" s="342">
        <f>+Цени!D15</f>
        <v>0</v>
      </c>
      <c r="AG16" s="343">
        <f>'Борса и балансиране'!C16</f>
        <v>230</v>
      </c>
      <c r="AH16" s="344">
        <f t="shared" si="10"/>
        <v>245</v>
      </c>
      <c r="AJ16" s="345">
        <f>SUM(Плевен!K16+Бургас!H16+'Враца 1'!H16+'Враца 2'!H16+Русе!G16+'Велико Търново'!E16)*(Цени!I15+Цени!$E$56)+Перник!G16*(Цени!$G$41-Цени!H15+Цени!$E$56)+Плевен!L16*(Цени!$G$42-Цени!H15+Цени!$E$56)+Плевен!R16+Бургас!O16+'Враца 1'!N16+'Враца 2'!N16+Перник!N16+Русе!M16+'Велико Търново'!J16+'Тенекс С'!J16+'Борса и балансиране'!H16-'Борса и балансиране'!E16+'Борса и балансиране'!N16+'Борса и балансиране'!O16-('Борса и балансиране'!J16+'Борса и балансиране'!K16-'Борса и балансиране'!C16+'Борса и балансиране'!F16)*Цени!H15+'Тенекс С'!E16*(Цени!$G$44-Цени!H15+Цени!$E$56)+(Алуком!E16+'Русе Кемикълс'!E16+'Доминекс про'!E16+Берус!E16+'Бултекс 1'!E16)*(Цени!$G$44-Цени!H15)+(Илинден!E16+'Ваптех АМ'!E16+'Нова пауър'!E16)*(Цени!$G$44-Цени!H15)+РВД!E16*(Цени!$G$45-Цени!H15)+(Декотекс!E16)*(Цени!$G$43-Цени!H15)+(Труд!E16)*(Цени!$G$44-Цени!H15)+ДХТ!D16*(ДХТ!E16-Цени!H15)+ДХТ!I16*(ДХТ!J16-Цени!H15)+ЕМИ!D16*(ЕМИ!E16-Цени!H15)</f>
        <v>5203.2963264999971</v>
      </c>
      <c r="AK16" s="346">
        <v>2485</v>
      </c>
      <c r="AL16" s="347">
        <f>AJ16-AK16+Перник!T27</f>
        <v>2718.2963264999971</v>
      </c>
      <c r="AM16" s="348">
        <f>+(Цени!$E$35-Цени!$M$1)*Цени!E15</f>
        <v>0</v>
      </c>
      <c r="AN16" s="349">
        <f t="shared" si="23"/>
        <v>2718.2963264999971</v>
      </c>
      <c r="AO16" s="4"/>
      <c r="AP16" s="329">
        <f t="shared" si="24"/>
        <v>45395</v>
      </c>
      <c r="AQ16" s="353">
        <f t="shared" si="25"/>
        <v>58.84</v>
      </c>
      <c r="AR16" s="353">
        <f t="shared" si="11"/>
        <v>45.128611698379146</v>
      </c>
      <c r="AS16" s="332">
        <f>29.95*1.95583</f>
        <v>58.577108499999994</v>
      </c>
      <c r="AT16" s="353">
        <f t="shared" si="12"/>
        <v>-13.448496801620848</v>
      </c>
      <c r="AV16" s="329">
        <f t="shared" si="26"/>
        <v>45395</v>
      </c>
      <c r="AW16" s="354">
        <f>+(Цени!K15*Цени!H15+'Борса и балансиране'!E16+'Борса и балансиране'!O16*-1)/(Цени!K15+'Борса и балансиране'!C16+'Борса и балансиране'!K16*-1)</f>
        <v>45.128611698379146</v>
      </c>
      <c r="AX16" s="354">
        <f>+(Плевен!K16*Цени!$G$41+Плевен!L16*Цени!$G$41+Бургас!H16*Цени!$G$41+'Враца 1'!H16*Цени!$G$41+'Враца 2'!H16*Цени!$G$41+Перник!G16*Цени!$G$41+Русе!G16*Цени!$G$41+'Велико Търново'!E16*Цени!$G$41+'Русе Кемикълс'!E16*Цени!$G$45+'Нова пауър'!E16*Цени!$G$45+Труд!E16*Цени!$G$43+Берус!E16*Цени!$G$45+'Доминекс про'!E16*Цени!$G$45+'Бултекс 1'!E16*Цени!$G$45+РВД!E16*Цени!$G$45+'Тенекс С'!E16*Цени!$G$42+Декотекс!E16*Цени!$G$43+Алуком!E16*Цени!$G$45+Илинден!E16*Цени!$G$44+'Ваптех АМ'!E16*Цени!$G$44+'Борса и балансиране'!H16+'Борса и балансиране'!N16+Плевен!S16)/(Плевен!K16+Плевен!L16+Бургас!H16+'Враца 1'!H16+'Враца 2'!H16+Перник!G16+Русе!G16+'Велико Търново'!E16+'Русе Кемикълс'!E16+'Нова пауър'!E16+Труд!E16+Берус!E16+'Доминекс про'!E16+'Бултекс 1'!E16+РВД!E16+'Тенекс С'!E16+Декотекс!E16+'Борса и балансиране'!F16+'Борса и балансиране'!J16)</f>
        <v>62.921106808473901</v>
      </c>
      <c r="AY16" s="353">
        <f t="shared" si="32"/>
        <v>17.792495110094755</v>
      </c>
      <c r="BA16" s="329">
        <f t="shared" si="27"/>
        <v>45395</v>
      </c>
      <c r="BB16" s="355">
        <f>+BB15-Цени!E15+Цени!L15</f>
        <v>147998.64500000011</v>
      </c>
      <c r="BC16" s="353">
        <f t="shared" ref="BC16" si="43">+BD16/BB16</f>
        <v>229.36627236379309</v>
      </c>
      <c r="BD16" s="353">
        <f>+BD15+Цени!N15-Цени!E15*Цени!$M$1</f>
        <v>33945897.518542349</v>
      </c>
      <c r="BF16" s="329">
        <f t="shared" si="29"/>
        <v>45395</v>
      </c>
      <c r="BG16" s="401">
        <v>5378456.4199999999</v>
      </c>
      <c r="BH16" s="401">
        <v>1592109.0899999999</v>
      </c>
      <c r="BI16" s="401">
        <v>1073722.6599999999</v>
      </c>
      <c r="BJ16" s="401">
        <v>397936.4200000001</v>
      </c>
      <c r="BK16" s="401">
        <v>2433275.39</v>
      </c>
      <c r="BL16" s="401">
        <v>2389248.8800000004</v>
      </c>
      <c r="BM16" s="401">
        <v>177825.42772299997</v>
      </c>
      <c r="BN16" s="401">
        <v>0</v>
      </c>
      <c r="BO16" s="358">
        <f t="shared" si="34"/>
        <v>13442574.287723001</v>
      </c>
      <c r="BQ16" s="329">
        <f t="shared" si="30"/>
        <v>45395</v>
      </c>
      <c r="BR16" s="357">
        <f t="shared" si="14"/>
        <v>5705824.5700000003</v>
      </c>
      <c r="BS16" s="357">
        <f t="shared" si="15"/>
        <v>0</v>
      </c>
      <c r="BT16" s="357">
        <f t="shared" si="16"/>
        <v>0</v>
      </c>
      <c r="BU16" s="357">
        <f t="shared" si="17"/>
        <v>0</v>
      </c>
      <c r="BV16" s="357">
        <f t="shared" si="18"/>
        <v>13622612.260000002</v>
      </c>
      <c r="BW16" s="357">
        <f t="shared" si="18"/>
        <v>15200428.019999998</v>
      </c>
      <c r="BX16" s="357">
        <f t="shared" si="19"/>
        <v>0</v>
      </c>
      <c r="BY16" s="357">
        <f t="shared" si="20"/>
        <v>3567553.1529600001</v>
      </c>
      <c r="BZ16" s="358">
        <f t="shared" si="9"/>
        <v>38096418.002960004</v>
      </c>
      <c r="CB16" s="329">
        <f t="shared" si="31"/>
        <v>45395</v>
      </c>
      <c r="CC16" s="401">
        <v>11084280.99</v>
      </c>
      <c r="CD16" s="401">
        <v>1592109.0899999999</v>
      </c>
      <c r="CE16" s="401">
        <v>1073722.6599999999</v>
      </c>
      <c r="CF16" s="401">
        <v>397936.4200000001</v>
      </c>
      <c r="CG16" s="401">
        <v>16055887.650000002</v>
      </c>
      <c r="CH16" s="401">
        <v>17589676.899999999</v>
      </c>
      <c r="CI16" s="401">
        <v>177825.42772299997</v>
      </c>
      <c r="CJ16" s="401">
        <v>3567553.1529600001</v>
      </c>
      <c r="CK16" s="358">
        <f t="shared" si="21"/>
        <v>51538992.290683001</v>
      </c>
      <c r="CL16" s="23"/>
    </row>
    <row r="17" spans="2:90" x14ac:dyDescent="0.25">
      <c r="B17" s="47">
        <f t="shared" si="22"/>
        <v>45396</v>
      </c>
      <c r="C17" s="333">
        <f>+Плевен!K17+Плевен!L17</f>
        <v>0</v>
      </c>
      <c r="D17" s="334">
        <f>Бургас!H17</f>
        <v>0</v>
      </c>
      <c r="E17" s="334">
        <f>'Враца 1'!H17</f>
        <v>0</v>
      </c>
      <c r="F17" s="334">
        <f>'Враца 2'!H17</f>
        <v>0</v>
      </c>
      <c r="G17" s="335">
        <f>Русе!G17</f>
        <v>171.66499999999999</v>
      </c>
      <c r="H17" s="335">
        <f>+'Русе Кемикълс'!E17</f>
        <v>0</v>
      </c>
      <c r="I17" s="335">
        <f>+'Нова пауър'!E17</f>
        <v>0</v>
      </c>
      <c r="J17" s="335">
        <f>+'Доминекс про'!E17</f>
        <v>2.21</v>
      </c>
      <c r="K17" s="335">
        <f>+Труд!E17</f>
        <v>0</v>
      </c>
      <c r="L17" s="335">
        <f>+'Велико Търново'!E17</f>
        <v>65.712999999999994</v>
      </c>
      <c r="M17" s="335">
        <f>+Берус!E17</f>
        <v>0</v>
      </c>
      <c r="N17" s="335">
        <f>+'Бултекс 1'!E17</f>
        <v>1.121</v>
      </c>
      <c r="O17" s="335">
        <f>+Алуком!E17</f>
        <v>0</v>
      </c>
      <c r="P17" s="335">
        <f>+Илинден!E17</f>
        <v>0</v>
      </c>
      <c r="Q17" s="335">
        <f>+'Ваптех АМ'!E17</f>
        <v>0</v>
      </c>
      <c r="R17" s="335">
        <f>+РВД!E17</f>
        <v>9.3940000000000001</v>
      </c>
      <c r="S17" s="335">
        <f>+'Тенекс С'!E17</f>
        <v>0</v>
      </c>
      <c r="T17" s="335">
        <f>+Декотекс!E17</f>
        <v>5.1559999999999997</v>
      </c>
      <c r="U17" s="335">
        <f>+ДХТ!D17</f>
        <v>0</v>
      </c>
      <c r="V17" s="335">
        <f>+ДХТ!I17</f>
        <v>0</v>
      </c>
      <c r="W17" s="335">
        <f>+ЕМИ!D17</f>
        <v>0</v>
      </c>
      <c r="X17" s="335">
        <f>+Цени!L16</f>
        <v>0</v>
      </c>
      <c r="Y17" s="336">
        <f>Перник!G17</f>
        <v>2.1269999999999527</v>
      </c>
      <c r="Z17" s="337">
        <f>'Борса и балансиране'!F17</f>
        <v>0</v>
      </c>
      <c r="AA17" s="333">
        <f>IF(AH17-SUM(G17:Z17,Плевен!K17,Плевен!L17,Бургас!H17,'Враца 1'!H17,'Враца 2'!H17)&gt;=0,AH17-SUM(G17:Z17,Плевен!K17,Плевен!L17,Бургас!H17,'Враца 1'!H17,'Враца 2'!H17),IF(AH17-SUM(G17:Z17,Плевен!K17,Плевен!L17,Бургас!H17,'Враца 1'!H17,'Враца 2'!H17)&lt;=0,0))</f>
        <v>0</v>
      </c>
      <c r="AB17" s="336">
        <f>IF(AH17-SUM(G17:Z17,Плевен!K17,Плевен!L17,Бургас!H17,'Враца 1'!H17,'Враца 2'!H17)&lt;=0,AH17-SUM(G17:Z17,Плевен!K17,Плевен!L17,Бургас!H17,'Враца 1'!H17,'Враца 2'!H17),IF(AH17-SUM(G17:Z17,Плевен!K17,Плевен!L17,Бургас!H17,'Враца 1'!H17,'Враца 2'!H17)&gt;=0,0))</f>
        <v>-32.385999999999967</v>
      </c>
      <c r="AD17" s="342">
        <f>Цени!E16</f>
        <v>0</v>
      </c>
      <c r="AE17" s="342">
        <f>+Цени!C16+Цени!F16</f>
        <v>15</v>
      </c>
      <c r="AF17" s="342">
        <f>+Цени!D16</f>
        <v>0</v>
      </c>
      <c r="AG17" s="343">
        <f>'Борса и балансиране'!C17</f>
        <v>210</v>
      </c>
      <c r="AH17" s="344">
        <f t="shared" si="10"/>
        <v>225</v>
      </c>
      <c r="AJ17" s="345">
        <f>SUM(Плевен!K17+Бургас!H17+'Враца 1'!H17+'Враца 2'!H17+Русе!G17+'Велико Търново'!E17)*(Цени!I16+Цени!$E$56)+Перник!G17*(Цени!$G$41-Цени!H16+Цени!$E$56)+Плевен!L17*(Цени!$G$42-Цени!H16+Цени!$E$56)+Плевен!R17+Бургас!O17+'Враца 1'!N17+'Враца 2'!N17+Перник!N17+Русе!M17+'Велико Търново'!J17+'Тенекс С'!J17+'Борса и балансиране'!H17-'Борса и балансиране'!E17+'Борса и балансиране'!N17+'Борса и балансиране'!O17-('Борса и балансиране'!J17+'Борса и балансиране'!K17-'Борса и балансиране'!C17+'Борса и балансиране'!F17)*Цени!H16+'Тенекс С'!E17*(Цени!$G$44-Цени!H16+Цени!$E$56)+(Алуком!E17+'Русе Кемикълс'!E17+'Доминекс про'!E17+Берус!E17+'Бултекс 1'!E17)*(Цени!$G$44-Цени!H16)+(Илинден!E17+'Ваптех АМ'!E17+'Нова пауър'!E17)*(Цени!$G$44-Цени!H16)+РВД!E17*(Цени!$G$45-Цени!H16)+(Декотекс!E17)*(Цени!$G$43-Цени!H16)+(Труд!E17)*(Цени!$G$44-Цени!H16)+ДХТ!D17*(ДХТ!E17-Цени!H16)+ДХТ!I17*(ДХТ!J17-Цени!H16)+ЕМИ!D17*(ЕМИ!E17-Цени!H16)</f>
        <v>4988.5259224999991</v>
      </c>
      <c r="AK17" s="346">
        <v>2485</v>
      </c>
      <c r="AL17" s="347">
        <f>AJ17-AK17+Перник!T28</f>
        <v>2503.5259224999991</v>
      </c>
      <c r="AM17" s="348">
        <f>+(Цени!$E$35-Цени!$M$1)*Цени!E16</f>
        <v>0</v>
      </c>
      <c r="AN17" s="349">
        <f t="shared" si="23"/>
        <v>2503.5259224999991</v>
      </c>
      <c r="AP17" s="329">
        <f t="shared" si="24"/>
        <v>45396</v>
      </c>
      <c r="AQ17" s="353">
        <f t="shared" si="25"/>
        <v>58.84</v>
      </c>
      <c r="AR17" s="353">
        <f t="shared" si="11"/>
        <v>45.246322643811247</v>
      </c>
      <c r="AS17" s="332">
        <f>30.175*1.95583</f>
        <v>59.017170249999999</v>
      </c>
      <c r="AT17" s="332">
        <f>31.375*1.95583</f>
        <v>61.364166249999997</v>
      </c>
      <c r="AV17" s="329">
        <f t="shared" si="26"/>
        <v>45396</v>
      </c>
      <c r="AW17" s="354">
        <f>+(Цени!K16*Цени!H16+'Борса и балансиране'!E17+'Борса и балансиране'!O17*-1)/(Цени!K16+'Борса и балансиране'!C17+'Борса и балансиране'!K17*-1)</f>
        <v>45.246322643811247</v>
      </c>
      <c r="AX17" s="354">
        <f>+(Плевен!K17*Цени!$G$41+Плевен!L17*Цени!$G$41+Бургас!H17*Цени!$G$41+'Враца 1'!H17*Цени!$G$41+'Враца 2'!H17*Цени!$G$41+Перник!G17*Цени!$G$41+Русе!G17*Цени!$G$41+'Велико Търново'!E17*Цени!$G$41+'Русе Кемикълс'!E17*Цени!$G$45+'Нова пауър'!E17*Цени!$G$45+Труд!E17*Цени!$G$43+Берус!E17*Цени!$G$45+'Доминекс про'!E17*Цени!$G$45+'Бултекс 1'!E17*Цени!$G$45+РВД!E17*Цени!$G$45+'Тенекс С'!E17*Цени!$G$42+Декотекс!E17*Цени!$G$43+Алуком!E17*Цени!$G$45+Илинден!E17*Цени!$G$44+'Ваптех АМ'!E17*Цени!$G$44+'Борса и балансиране'!H17+'Борса и балансиране'!N17+Плевен!S17)/(Плевен!K17+Плевен!L17+Бургас!H17+'Враца 1'!H17+'Враца 2'!H17+Перник!G17+Русе!G17+'Велико Търново'!E17+'Русе Кемикълс'!E17+'Нова пауър'!E17+Труд!E17+Берус!E17+'Доминекс про'!E17+'Бултекс 1'!E17+РВД!E17+'Тенекс С'!E17+Декотекс!E17+'Борса и балансиране'!F17+'Борса и балансиране'!J17)</f>
        <v>64.139928706301049</v>
      </c>
      <c r="AY17" s="353">
        <f t="shared" si="32"/>
        <v>18.893606062489802</v>
      </c>
      <c r="BA17" s="329">
        <f t="shared" si="27"/>
        <v>45396</v>
      </c>
      <c r="BB17" s="355">
        <f>+BB16-Цени!E16+Цени!L16</f>
        <v>147998.64500000011</v>
      </c>
      <c r="BC17" s="353">
        <f t="shared" ref="BC17" si="44">+BD17/BB17</f>
        <v>229.36627236379309</v>
      </c>
      <c r="BD17" s="353">
        <f>+BD16+Цени!N16-Цени!E16*Цени!$M$1</f>
        <v>33945897.518542349</v>
      </c>
      <c r="BF17" s="329">
        <f t="shared" si="29"/>
        <v>45396</v>
      </c>
      <c r="BG17" s="401">
        <v>5378456.4199999999</v>
      </c>
      <c r="BH17" s="401">
        <v>1592109.0899999999</v>
      </c>
      <c r="BI17" s="401">
        <v>1073722.6599999999</v>
      </c>
      <c r="BJ17" s="401">
        <v>397936.4200000001</v>
      </c>
      <c r="BK17" s="401">
        <v>2433275.39</v>
      </c>
      <c r="BL17" s="401">
        <v>2389248.8800000004</v>
      </c>
      <c r="BM17" s="401">
        <v>78190.152418999991</v>
      </c>
      <c r="BN17" s="401">
        <v>0</v>
      </c>
      <c r="BO17" s="358">
        <f t="shared" si="34"/>
        <v>13342939.012419002</v>
      </c>
      <c r="BQ17" s="329">
        <f t="shared" si="30"/>
        <v>45396</v>
      </c>
      <c r="BR17" s="357">
        <f t="shared" si="14"/>
        <v>5705824.5700000003</v>
      </c>
      <c r="BS17" s="357">
        <f t="shared" si="15"/>
        <v>0</v>
      </c>
      <c r="BT17" s="357">
        <f t="shared" si="16"/>
        <v>0</v>
      </c>
      <c r="BU17" s="357">
        <f t="shared" si="17"/>
        <v>0</v>
      </c>
      <c r="BV17" s="357">
        <f t="shared" si="18"/>
        <v>13622612.260000002</v>
      </c>
      <c r="BW17" s="357">
        <f t="shared" si="18"/>
        <v>15200428.019999998</v>
      </c>
      <c r="BX17" s="357">
        <f t="shared" si="19"/>
        <v>0</v>
      </c>
      <c r="BY17" s="357">
        <f t="shared" si="20"/>
        <v>3567553.1529600001</v>
      </c>
      <c r="BZ17" s="358">
        <f t="shared" si="9"/>
        <v>38096418.002960004</v>
      </c>
      <c r="CB17" s="329">
        <f t="shared" si="31"/>
        <v>45396</v>
      </c>
      <c r="CC17" s="401">
        <v>11084280.99</v>
      </c>
      <c r="CD17" s="401">
        <v>1592109.0899999999</v>
      </c>
      <c r="CE17" s="401">
        <v>1073722.6599999999</v>
      </c>
      <c r="CF17" s="401">
        <v>397936.4200000001</v>
      </c>
      <c r="CG17" s="401">
        <v>16055887.650000002</v>
      </c>
      <c r="CH17" s="401">
        <v>17589676.899999999</v>
      </c>
      <c r="CI17" s="401">
        <v>78190.152418999991</v>
      </c>
      <c r="CJ17" s="401">
        <v>3567553.1529600001</v>
      </c>
      <c r="CK17" s="358">
        <f t="shared" si="21"/>
        <v>51439357.015379004</v>
      </c>
    </row>
    <row r="18" spans="2:90" x14ac:dyDescent="0.25">
      <c r="B18" s="47">
        <f t="shared" si="22"/>
        <v>45397</v>
      </c>
      <c r="C18" s="333">
        <f>+Плевен!K18+Плевен!L18</f>
        <v>0</v>
      </c>
      <c r="D18" s="334">
        <f>Бургас!H18</f>
        <v>0</v>
      </c>
      <c r="E18" s="334">
        <f>'Враца 1'!H18</f>
        <v>0</v>
      </c>
      <c r="F18" s="334">
        <f>'Враца 2'!H18</f>
        <v>0</v>
      </c>
      <c r="G18" s="335">
        <f>Русе!G18</f>
        <v>166.989</v>
      </c>
      <c r="H18" s="335">
        <f>+'Русе Кемикълс'!E18</f>
        <v>0</v>
      </c>
      <c r="I18" s="335">
        <f>+'Нова пауър'!E18</f>
        <v>0</v>
      </c>
      <c r="J18" s="335">
        <f>+'Доминекс про'!E18</f>
        <v>19.097999999999999</v>
      </c>
      <c r="K18" s="335">
        <f>+Труд!E18</f>
        <v>0</v>
      </c>
      <c r="L18" s="335">
        <f>+'Велико Търново'!E18</f>
        <v>52.156000000000006</v>
      </c>
      <c r="M18" s="335">
        <f>+Берус!E18</f>
        <v>0</v>
      </c>
      <c r="N18" s="335">
        <f>+'Бултекс 1'!E18</f>
        <v>1.847</v>
      </c>
      <c r="O18" s="335">
        <f>+Алуком!E18</f>
        <v>1.591</v>
      </c>
      <c r="P18" s="335">
        <f>+Илинден!E18</f>
        <v>0</v>
      </c>
      <c r="Q18" s="335">
        <f>+'Ваптех АМ'!E18</f>
        <v>0</v>
      </c>
      <c r="R18" s="335">
        <f>+РВД!E18</f>
        <v>8.6790000000000003</v>
      </c>
      <c r="S18" s="335">
        <f>+'Тенекс С'!E18</f>
        <v>0</v>
      </c>
      <c r="T18" s="335">
        <f>+Декотекс!E18</f>
        <v>53.258000000000003</v>
      </c>
      <c r="U18" s="335">
        <f>+ДХТ!D18</f>
        <v>0</v>
      </c>
      <c r="V18" s="335">
        <f>+ДХТ!I18</f>
        <v>0</v>
      </c>
      <c r="W18" s="335">
        <f>+ЕМИ!D18</f>
        <v>0</v>
      </c>
      <c r="X18" s="335">
        <f>+Цени!L17</f>
        <v>0</v>
      </c>
      <c r="Y18" s="336">
        <f>Перник!G18</f>
        <v>0</v>
      </c>
      <c r="Z18" s="337">
        <f>'Борса и балансиране'!F18</f>
        <v>0</v>
      </c>
      <c r="AA18" s="333">
        <f>IF(AH18-SUM(G18:Z18,Плевен!K18,Плевен!L18,Бургас!H18,'Враца 1'!H18,'Враца 2'!H18)&gt;=0,AH18-SUM(G18:Z18,Плевен!K18,Плевен!L18,Бургас!H18,'Враца 1'!H18,'Враца 2'!H18),IF(AH18-SUM(G18:Z18,Плевен!K18,Плевен!L18,Бургас!H18,'Враца 1'!H18,'Враца 2'!H18)&lt;=0,0))</f>
        <v>0</v>
      </c>
      <c r="AB18" s="336">
        <f>IF(AH18-SUM(G18:Z18,Плевен!K18,Плевен!L18,Бургас!H18,'Враца 1'!H18,'Враца 2'!H18)&lt;=0,AH18-SUM(G18:Z18,Плевен!K18,Плевен!L18,Бургас!H18,'Враца 1'!H18,'Враца 2'!H18),IF(AH18-SUM(G18:Z18,Плевен!K18,Плевен!L18,Бургас!H18,'Враца 1'!H18,'Враца 2'!H18)&gt;=0,0))</f>
        <v>-8.617999999999995</v>
      </c>
      <c r="AD18" s="342">
        <f>Цени!E17</f>
        <v>0</v>
      </c>
      <c r="AE18" s="342">
        <f>+Цени!C17+Цени!F17</f>
        <v>15</v>
      </c>
      <c r="AF18" s="342">
        <f>+Цени!D17</f>
        <v>0</v>
      </c>
      <c r="AG18" s="343">
        <f>'Борса и балансиране'!C18</f>
        <v>280</v>
      </c>
      <c r="AH18" s="344">
        <f t="shared" si="10"/>
        <v>295</v>
      </c>
      <c r="AJ18" s="345">
        <f>SUM(Плевен!K18+Бургас!H18+'Враца 1'!H18+'Враца 2'!H18+Русе!G18+'Велико Търново'!E18)*(Цени!I17+Цени!$E$56)+Перник!G18*(Цени!$G$41-Цени!H17+Цени!$E$56)+Плевен!L18*(Цени!$G$42-Цени!H17+Цени!$E$56)+Плевен!R18+Бургас!O18+'Враца 1'!N18+'Враца 2'!N18+Перник!N18+Русе!M18+'Велико Търново'!J18+'Тенекс С'!J18+'Борса и балансиране'!H18-'Борса и балансиране'!E18+'Борса и балансиране'!N18+'Борса и балансиране'!O18-('Борса и балансиране'!J18+'Борса и балансиране'!K18-'Борса и балансиране'!C18+'Борса и балансиране'!F18)*Цени!H17+'Тенекс С'!E18*(Цени!$G$44-Цени!H17+Цени!$E$56)+(Алуком!E18+'Русе Кемикълс'!E18+'Доминекс про'!E18+Берус!E18+'Бултекс 1'!E18)*(Цени!$G$44-Цени!H17)+(Илинден!E18+'Ваптех АМ'!E18+'Нова пауър'!E18)*(Цени!$G$44-Цени!H17)+РВД!E18*(Цени!$G$45-Цени!H17)+(Декотекс!E18)*(Цени!$G$43-Цени!H17)+(Труд!E18)*(Цени!$G$44-Цени!H17)+ДХТ!D18*(ДХТ!E18-Цени!H17)+ДХТ!I18*(ДХТ!J18-Цени!H17)+ЕМИ!D18*(ЕМИ!E18-Цени!H17)</f>
        <v>4863.266262500003</v>
      </c>
      <c r="AK18" s="346">
        <v>2485</v>
      </c>
      <c r="AL18" s="347">
        <f>AJ18-AK18+Перник!T29</f>
        <v>2378.266262500003</v>
      </c>
      <c r="AM18" s="348">
        <f>+(Цени!$E$35-Цени!$M$1)*Цени!E17</f>
        <v>0</v>
      </c>
      <c r="AN18" s="349">
        <f t="shared" si="23"/>
        <v>2378.266262500003</v>
      </c>
      <c r="AP18" s="329">
        <f t="shared" si="24"/>
        <v>45397</v>
      </c>
      <c r="AQ18" s="353">
        <f t="shared" si="25"/>
        <v>58.84</v>
      </c>
      <c r="AR18" s="353">
        <f t="shared" si="11"/>
        <v>45.202820649632102</v>
      </c>
      <c r="AS18" s="332">
        <f>30.175*1.95583</f>
        <v>59.017170249999999</v>
      </c>
      <c r="AT18" s="353">
        <f t="shared" si="12"/>
        <v>-13.814349600367898</v>
      </c>
      <c r="AV18" s="329">
        <f t="shared" si="26"/>
        <v>45397</v>
      </c>
      <c r="AW18" s="354">
        <f>+(Цени!K17*Цени!H17+'Борса и балансиране'!E18+'Борса и балансиране'!O18*-1)/(Цени!K17+'Борса и балансиране'!C18+'Борса и балансиране'!K18*-1)</f>
        <v>45.202820649632102</v>
      </c>
      <c r="AX18" s="354">
        <f>+(Плевен!K18*Цени!$G$41+Плевен!L18*Цени!$G$41+Бургас!H18*Цени!$G$41+'Враца 1'!H18*Цени!$G$41+'Враца 2'!H18*Цени!$G$41+Перник!G18*Цени!$G$41+Русе!G18*Цени!$G$41+'Велико Търново'!E18*Цени!$G$41+'Русе Кемикълс'!E18*Цени!$G$45+'Нова пауър'!E18*Цени!$G$45+Труд!E18*Цени!$G$43+Берус!E18*Цени!$G$45+'Доминекс про'!E18*Цени!$G$45+'Бултекс 1'!E18*Цени!$G$45+РВД!E18*Цени!$G$45+'Тенекс С'!E18*Цени!$G$42+Декотекс!E18*Цени!$G$43+Алуком!E18*Цени!$G$45+Илинден!E18*Цени!$G$44+'Ваптех АМ'!E18*Цени!$G$44+'Борса и балансиране'!H18+'Борса и балансиране'!N18+Плевен!S18)/(Плевен!K18+Плевен!L18+Бургас!H18+'Враца 1'!H18+'Враца 2'!H18+Перник!G18+Русе!G18+'Велико Търново'!E18+'Русе Кемикълс'!E18+'Нова пауър'!E18+Труд!E18+Берус!E18+'Доминекс про'!E18+'Бултекс 1'!E18+РВД!E18+'Тенекс С'!E18+Декотекс!E18+'Борса и балансиране'!F18+'Борса и балансиране'!J18)</f>
        <v>61.033545908147289</v>
      </c>
      <c r="AY18" s="353">
        <f t="shared" si="32"/>
        <v>15.830725258515187</v>
      </c>
      <c r="BA18" s="329">
        <f t="shared" si="27"/>
        <v>45397</v>
      </c>
      <c r="BB18" s="355">
        <f>+BB17-Цени!E17+Цени!L17</f>
        <v>147998.64500000011</v>
      </c>
      <c r="BC18" s="353">
        <f t="shared" ref="BC18" si="45">+BD18/BB18</f>
        <v>229.36627236379309</v>
      </c>
      <c r="BD18" s="353">
        <f>+BD17+Цени!N17-Цени!E17*Цени!$M$1</f>
        <v>33945897.518542349</v>
      </c>
      <c r="BF18" s="329">
        <f t="shared" si="29"/>
        <v>45397</v>
      </c>
      <c r="BG18" s="401">
        <v>5378456.4199999999</v>
      </c>
      <c r="BH18" s="401">
        <v>1592109.0899999999</v>
      </c>
      <c r="BI18" s="401">
        <v>1073722.6599999999</v>
      </c>
      <c r="BJ18" s="401">
        <v>397936.4200000001</v>
      </c>
      <c r="BK18" s="401">
        <v>2433275.39</v>
      </c>
      <c r="BL18" s="401">
        <v>2389248.8800000004</v>
      </c>
      <c r="BM18" s="401">
        <v>57725.73</v>
      </c>
      <c r="BN18" s="401">
        <v>0</v>
      </c>
      <c r="BO18" s="358">
        <f>SUM(BG18:BN18)</f>
        <v>13322474.590000002</v>
      </c>
      <c r="BQ18" s="329">
        <f t="shared" si="30"/>
        <v>45397</v>
      </c>
      <c r="BR18" s="357">
        <f t="shared" si="14"/>
        <v>5705824.5700000003</v>
      </c>
      <c r="BS18" s="357">
        <f t="shared" si="15"/>
        <v>0</v>
      </c>
      <c r="BT18" s="357">
        <f t="shared" si="16"/>
        <v>0</v>
      </c>
      <c r="BU18" s="357">
        <f t="shared" si="17"/>
        <v>0</v>
      </c>
      <c r="BV18" s="357">
        <f t="shared" si="18"/>
        <v>13622612.260000002</v>
      </c>
      <c r="BW18" s="357">
        <f t="shared" si="18"/>
        <v>15200428.019999998</v>
      </c>
      <c r="BX18" s="357">
        <f t="shared" si="19"/>
        <v>0</v>
      </c>
      <c r="BY18" s="357">
        <f t="shared" si="20"/>
        <v>3567553.1529600001</v>
      </c>
      <c r="BZ18" s="358">
        <f>SUM(BR18:BY18)</f>
        <v>38096418.002960004</v>
      </c>
      <c r="CB18" s="329">
        <f t="shared" si="31"/>
        <v>45397</v>
      </c>
      <c r="CC18" s="401">
        <v>11084280.99</v>
      </c>
      <c r="CD18" s="401">
        <v>1592109.0899999999</v>
      </c>
      <c r="CE18" s="401">
        <v>1073722.6599999999</v>
      </c>
      <c r="CF18" s="401">
        <v>397936.4200000001</v>
      </c>
      <c r="CG18" s="401">
        <v>16055887.650000002</v>
      </c>
      <c r="CH18" s="401">
        <v>17589676.899999999</v>
      </c>
      <c r="CI18" s="401">
        <v>57725.73</v>
      </c>
      <c r="CJ18" s="401">
        <v>3567553.1529600001</v>
      </c>
      <c r="CK18" s="358">
        <f>SUM(CC18:CJ18)</f>
        <v>51418892.59296</v>
      </c>
    </row>
    <row r="19" spans="2:90" x14ac:dyDescent="0.25">
      <c r="B19" s="47">
        <f t="shared" si="22"/>
        <v>45398</v>
      </c>
      <c r="C19" s="333">
        <f>+Плевен!K19+Плевен!L19</f>
        <v>0</v>
      </c>
      <c r="D19" s="334">
        <f>Бургас!H19</f>
        <v>0</v>
      </c>
      <c r="E19" s="334">
        <f>'Враца 1'!H19</f>
        <v>0</v>
      </c>
      <c r="F19" s="334">
        <f>'Враца 2'!H19</f>
        <v>0</v>
      </c>
      <c r="G19" s="335">
        <f>Русе!G19</f>
        <v>0</v>
      </c>
      <c r="H19" s="335">
        <f>+'Русе Кемикълс'!E19</f>
        <v>0</v>
      </c>
      <c r="I19" s="335">
        <f>+'Нова пауър'!E19</f>
        <v>0</v>
      </c>
      <c r="J19" s="335">
        <f>+'Доминекс про'!E19</f>
        <v>0</v>
      </c>
      <c r="K19" s="335">
        <f>+Труд!E19</f>
        <v>0</v>
      </c>
      <c r="L19" s="335">
        <f>+'Велико Търново'!E19</f>
        <v>0</v>
      </c>
      <c r="M19" s="335">
        <f>+Берус!E19</f>
        <v>0</v>
      </c>
      <c r="N19" s="335">
        <f>+'Бултекс 1'!E19</f>
        <v>0</v>
      </c>
      <c r="O19" s="335">
        <f>+Алуком!E19</f>
        <v>0</v>
      </c>
      <c r="P19" s="335">
        <f>+Илинден!E19</f>
        <v>0</v>
      </c>
      <c r="Q19" s="335">
        <f>+'Ваптех АМ'!E19</f>
        <v>0</v>
      </c>
      <c r="R19" s="335">
        <f>+РВД!E19</f>
        <v>0</v>
      </c>
      <c r="S19" s="335">
        <f>+'Тенекс С'!E19</f>
        <v>0</v>
      </c>
      <c r="T19" s="335">
        <f>+Декотекс!E19</f>
        <v>0</v>
      </c>
      <c r="U19" s="335">
        <f>+ДХТ!D19</f>
        <v>0</v>
      </c>
      <c r="V19" s="335">
        <f>+ДХТ!I19</f>
        <v>0</v>
      </c>
      <c r="W19" s="335">
        <f>+ЕМИ!D19</f>
        <v>0</v>
      </c>
      <c r="X19" s="335">
        <f>+Цени!L18</f>
        <v>0</v>
      </c>
      <c r="Y19" s="336">
        <f>Перник!G19</f>
        <v>0</v>
      </c>
      <c r="Z19" s="337">
        <f>'Борса и балансиране'!F19</f>
        <v>0</v>
      </c>
      <c r="AA19" s="333">
        <f>IF(AH19-SUM(G19:Z19,Плевен!K19,Плевен!L19,Бургас!H19,'Враца 1'!H19,'Враца 2'!H19)&gt;=0,AH19-SUM(G19:Z19,Плевен!K19,Плевен!L19,Бургас!H19,'Враца 1'!H19,'Враца 2'!H19),IF(AH19-SUM(G19:Z19,Плевен!K19,Плевен!L19,Бургас!H19,'Враца 1'!H19,'Враца 2'!H19)&lt;=0,0))</f>
        <v>0</v>
      </c>
      <c r="AB19" s="336">
        <f>IF(AH19-SUM(G19:Z19,Плевен!K19,Плевен!L19,Бургас!H19,'Враца 1'!H19,'Враца 2'!H19)&lt;=0,AH19-SUM(G19:Z19,Плевен!K19,Плевен!L19,Бургас!H19,'Враца 1'!H19,'Враца 2'!H19),IF(AH19-SUM(G19:Z19,Плевен!K19,Плевен!L19,Бургас!H19,'Враца 1'!H19,'Враца 2'!H19)&gt;=0,0))</f>
        <v>0</v>
      </c>
      <c r="AD19" s="342">
        <f>Цени!E18</f>
        <v>0</v>
      </c>
      <c r="AE19" s="342">
        <f>+Цени!C18+Цени!F18</f>
        <v>0</v>
      </c>
      <c r="AF19" s="342">
        <f>+Цени!D18</f>
        <v>0</v>
      </c>
      <c r="AG19" s="343">
        <f>'Борса и балансиране'!C19</f>
        <v>0</v>
      </c>
      <c r="AH19" s="344">
        <f t="shared" si="10"/>
        <v>0</v>
      </c>
      <c r="AJ19" s="345"/>
      <c r="AK19" s="346"/>
      <c r="AL19" s="347">
        <f>AJ19-AK19+Перник!T30</f>
        <v>0</v>
      </c>
      <c r="AM19" s="348">
        <f>+(Цени!$E$35-Цени!$M$1)*Цени!E18</f>
        <v>0</v>
      </c>
      <c r="AN19" s="349">
        <f t="shared" si="23"/>
        <v>0</v>
      </c>
      <c r="AP19" s="329">
        <f t="shared" si="24"/>
        <v>45398</v>
      </c>
      <c r="AQ19" s="353">
        <f t="shared" si="25"/>
        <v>58.84</v>
      </c>
      <c r="AR19" s="353">
        <f t="shared" si="11"/>
        <v>0</v>
      </c>
      <c r="AS19" s="332"/>
      <c r="AT19" s="353">
        <f t="shared" si="12"/>
        <v>0</v>
      </c>
      <c r="AV19" s="329">
        <f t="shared" si="26"/>
        <v>45398</v>
      </c>
      <c r="AW19" s="354"/>
      <c r="AX19" s="354"/>
      <c r="AY19" s="353">
        <f t="shared" si="32"/>
        <v>0</v>
      </c>
      <c r="BA19" s="329">
        <f t="shared" si="27"/>
        <v>45398</v>
      </c>
      <c r="BB19" s="355"/>
      <c r="BC19" s="353"/>
      <c r="BD19" s="353"/>
      <c r="BF19" s="329">
        <f t="shared" si="29"/>
        <v>45398</v>
      </c>
      <c r="BG19" s="401"/>
      <c r="BH19" s="401"/>
      <c r="BI19" s="401"/>
      <c r="BJ19" s="401"/>
      <c r="BK19" s="401"/>
      <c r="BL19" s="401"/>
      <c r="BM19" s="401"/>
      <c r="BN19" s="401"/>
      <c r="BO19" s="358">
        <f>SUM(BG19:BN19)</f>
        <v>0</v>
      </c>
      <c r="BQ19" s="329">
        <f t="shared" si="30"/>
        <v>45398</v>
      </c>
      <c r="BR19" s="357">
        <f t="shared" si="14"/>
        <v>0</v>
      </c>
      <c r="BS19" s="357">
        <f t="shared" si="15"/>
        <v>0</v>
      </c>
      <c r="BT19" s="357">
        <f t="shared" si="16"/>
        <v>0</v>
      </c>
      <c r="BU19" s="357">
        <f t="shared" si="17"/>
        <v>0</v>
      </c>
      <c r="BV19" s="357">
        <f t="shared" si="18"/>
        <v>0</v>
      </c>
      <c r="BW19" s="357">
        <f t="shared" si="18"/>
        <v>0</v>
      </c>
      <c r="BX19" s="357">
        <f t="shared" si="19"/>
        <v>0</v>
      </c>
      <c r="BY19" s="357">
        <f t="shared" si="20"/>
        <v>0</v>
      </c>
      <c r="BZ19" s="358">
        <f t="shared" ref="BZ19:BZ33" si="46">SUM(BR19:BY19)</f>
        <v>0</v>
      </c>
      <c r="CB19" s="329">
        <f t="shared" si="31"/>
        <v>45398</v>
      </c>
      <c r="CC19" s="401"/>
      <c r="CD19" s="401"/>
      <c r="CE19" s="401"/>
      <c r="CF19" s="401"/>
      <c r="CG19" s="401"/>
      <c r="CH19" s="401"/>
      <c r="CI19" s="401"/>
      <c r="CJ19" s="401"/>
      <c r="CK19" s="358">
        <f>SUM(CC19:CJ19)</f>
        <v>0</v>
      </c>
    </row>
    <row r="20" spans="2:90" x14ac:dyDescent="0.25">
      <c r="B20" s="47">
        <f t="shared" si="22"/>
        <v>45399</v>
      </c>
      <c r="C20" s="333">
        <f>+Плевен!K20+Плевен!L20</f>
        <v>0</v>
      </c>
      <c r="D20" s="334">
        <f>Бургас!H20</f>
        <v>0</v>
      </c>
      <c r="E20" s="334">
        <f>'Враца 1'!H20</f>
        <v>0</v>
      </c>
      <c r="F20" s="334">
        <f>'Враца 2'!H20</f>
        <v>0</v>
      </c>
      <c r="G20" s="335">
        <f>Русе!G20</f>
        <v>0</v>
      </c>
      <c r="H20" s="335">
        <f>+'Русе Кемикълс'!E20</f>
        <v>0</v>
      </c>
      <c r="I20" s="335">
        <f>+'Нова пауър'!E20</f>
        <v>0</v>
      </c>
      <c r="J20" s="335">
        <f>+'Доминекс про'!E20</f>
        <v>0</v>
      </c>
      <c r="K20" s="335">
        <f>+Труд!E20</f>
        <v>0</v>
      </c>
      <c r="L20" s="335">
        <f>+'Велико Търново'!E20</f>
        <v>0</v>
      </c>
      <c r="M20" s="335">
        <f>+Берус!E20</f>
        <v>0</v>
      </c>
      <c r="N20" s="335">
        <f>+'Бултекс 1'!E20</f>
        <v>0</v>
      </c>
      <c r="O20" s="335">
        <f>+Алуком!E20</f>
        <v>0</v>
      </c>
      <c r="P20" s="335">
        <f>+Илинден!E20</f>
        <v>0</v>
      </c>
      <c r="Q20" s="335">
        <f>+'Ваптех АМ'!E20</f>
        <v>0</v>
      </c>
      <c r="R20" s="335">
        <f>+РВД!E20</f>
        <v>0</v>
      </c>
      <c r="S20" s="335">
        <f>+'Тенекс С'!E20</f>
        <v>0</v>
      </c>
      <c r="T20" s="335">
        <f>+Декотекс!E20</f>
        <v>0</v>
      </c>
      <c r="U20" s="335">
        <f>+ДХТ!D20</f>
        <v>0</v>
      </c>
      <c r="V20" s="335">
        <f>+ДХТ!I20</f>
        <v>0</v>
      </c>
      <c r="W20" s="335">
        <f>+ЕМИ!D20</f>
        <v>0</v>
      </c>
      <c r="X20" s="335">
        <f>+Цени!L19</f>
        <v>0</v>
      </c>
      <c r="Y20" s="336">
        <f>Перник!G20</f>
        <v>0</v>
      </c>
      <c r="Z20" s="337">
        <f>'Борса и балансиране'!F20</f>
        <v>0</v>
      </c>
      <c r="AA20" s="333">
        <f>IF(AH20-SUM(G20:Z20,Плевен!K20,Плевен!L20,Бургас!H20,'Враца 1'!H20,'Враца 2'!H20)&gt;=0,AH20-SUM(G20:Z20,Плевен!K20,Плевен!L20,Бургас!H20,'Враца 1'!H20,'Враца 2'!H20),IF(AH20-SUM(G20:Z20,Плевен!K20,Плевен!L20,Бургас!H20,'Враца 1'!H20,'Враца 2'!H20)&lt;=0,0))</f>
        <v>0</v>
      </c>
      <c r="AB20" s="336">
        <f>IF(AH20-SUM(G20:Z20,Плевен!K20,Плевен!L20,Бургас!H20,'Враца 1'!H20,'Враца 2'!H20)&lt;=0,AH20-SUM(G20:Z20,Плевен!K20,Плевен!L20,Бургас!H20,'Враца 1'!H20,'Враца 2'!H20),IF(AH20-SUM(G20:Z20,Плевен!K20,Плевен!L20,Бургас!H20,'Враца 1'!H20,'Враца 2'!H20)&gt;=0,0))</f>
        <v>0</v>
      </c>
      <c r="AD20" s="342">
        <f>Цени!E19</f>
        <v>0</v>
      </c>
      <c r="AE20" s="342">
        <f>+Цени!C19+Цени!F19</f>
        <v>0</v>
      </c>
      <c r="AF20" s="342">
        <f>+Цени!D19</f>
        <v>0</v>
      </c>
      <c r="AG20" s="343">
        <f>'Борса и балансиране'!C20</f>
        <v>0</v>
      </c>
      <c r="AH20" s="344">
        <f t="shared" si="10"/>
        <v>0</v>
      </c>
      <c r="AJ20" s="345"/>
      <c r="AK20" s="346"/>
      <c r="AL20" s="347">
        <f>AJ20-AK20+Перник!T31</f>
        <v>0</v>
      </c>
      <c r="AM20" s="348">
        <f>+(Цени!$E$35-Цени!$M$1)*Цени!E19</f>
        <v>0</v>
      </c>
      <c r="AN20" s="349">
        <f t="shared" si="23"/>
        <v>0</v>
      </c>
      <c r="AP20" s="329">
        <f t="shared" si="24"/>
        <v>45399</v>
      </c>
      <c r="AQ20" s="353">
        <f t="shared" si="25"/>
        <v>58.84</v>
      </c>
      <c r="AR20" s="353">
        <f t="shared" si="11"/>
        <v>0</v>
      </c>
      <c r="AS20" s="332"/>
      <c r="AT20" s="353">
        <f t="shared" si="12"/>
        <v>0</v>
      </c>
      <c r="AV20" s="329">
        <f t="shared" si="26"/>
        <v>45399</v>
      </c>
      <c r="AW20" s="354"/>
      <c r="AX20" s="354"/>
      <c r="AY20" s="353">
        <f t="shared" si="32"/>
        <v>0</v>
      </c>
      <c r="BA20" s="329">
        <f t="shared" si="27"/>
        <v>45399</v>
      </c>
      <c r="BB20" s="355"/>
      <c r="BC20" s="353"/>
      <c r="BD20" s="353"/>
      <c r="BF20" s="329">
        <f t="shared" si="29"/>
        <v>45399</v>
      </c>
      <c r="BG20" s="401"/>
      <c r="BH20" s="401"/>
      <c r="BI20" s="401"/>
      <c r="BJ20" s="401"/>
      <c r="BK20" s="401"/>
      <c r="BL20" s="401"/>
      <c r="BM20" s="401"/>
      <c r="BN20" s="401"/>
      <c r="BO20" s="358">
        <f>SUM(BG20:BN20)</f>
        <v>0</v>
      </c>
      <c r="BQ20" s="329">
        <f t="shared" si="30"/>
        <v>45399</v>
      </c>
      <c r="BR20" s="357">
        <f t="shared" si="14"/>
        <v>0</v>
      </c>
      <c r="BS20" s="357">
        <f t="shared" si="15"/>
        <v>0</v>
      </c>
      <c r="BT20" s="357">
        <f t="shared" si="16"/>
        <v>0</v>
      </c>
      <c r="BU20" s="357">
        <f t="shared" si="17"/>
        <v>0</v>
      </c>
      <c r="BV20" s="357">
        <f t="shared" si="18"/>
        <v>0</v>
      </c>
      <c r="BW20" s="357">
        <f t="shared" si="18"/>
        <v>0</v>
      </c>
      <c r="BX20" s="357">
        <f t="shared" si="19"/>
        <v>0</v>
      </c>
      <c r="BY20" s="357">
        <f t="shared" si="20"/>
        <v>0</v>
      </c>
      <c r="BZ20" s="358">
        <f t="shared" si="46"/>
        <v>0</v>
      </c>
      <c r="CB20" s="329">
        <f t="shared" si="31"/>
        <v>45399</v>
      </c>
      <c r="CC20" s="401"/>
      <c r="CD20" s="401"/>
      <c r="CE20" s="401"/>
      <c r="CF20" s="401"/>
      <c r="CG20" s="401"/>
      <c r="CH20" s="401"/>
      <c r="CI20" s="401"/>
      <c r="CJ20" s="401"/>
      <c r="CK20" s="358">
        <f t="shared" ref="CK20:CK30" si="47">SUM(CC20:CJ20)</f>
        <v>0</v>
      </c>
    </row>
    <row r="21" spans="2:90" x14ac:dyDescent="0.25">
      <c r="B21" s="47">
        <f t="shared" si="22"/>
        <v>45400</v>
      </c>
      <c r="C21" s="333">
        <f>+Плевен!K21+Плевен!L21</f>
        <v>0</v>
      </c>
      <c r="D21" s="334">
        <f>Бургас!H21</f>
        <v>0</v>
      </c>
      <c r="E21" s="334">
        <f>'Враца 1'!H21</f>
        <v>0</v>
      </c>
      <c r="F21" s="334">
        <f>'Враца 2'!H21</f>
        <v>0</v>
      </c>
      <c r="G21" s="335">
        <f>Русе!G21</f>
        <v>0</v>
      </c>
      <c r="H21" s="335">
        <f>+'Русе Кемикълс'!E21</f>
        <v>0</v>
      </c>
      <c r="I21" s="335">
        <f>+'Нова пауър'!E21</f>
        <v>0</v>
      </c>
      <c r="J21" s="335">
        <f>+'Доминекс про'!E21</f>
        <v>0</v>
      </c>
      <c r="K21" s="335">
        <f>+Труд!E21</f>
        <v>0</v>
      </c>
      <c r="L21" s="335">
        <f>+'Велико Търново'!E21</f>
        <v>0</v>
      </c>
      <c r="M21" s="335">
        <f>+Берус!E21</f>
        <v>0</v>
      </c>
      <c r="N21" s="335">
        <f>+'Бултекс 1'!E21</f>
        <v>0</v>
      </c>
      <c r="O21" s="335">
        <f>+Алуком!E21</f>
        <v>0</v>
      </c>
      <c r="P21" s="335">
        <f>+Илинден!E21</f>
        <v>0</v>
      </c>
      <c r="Q21" s="335">
        <f>+'Ваптех АМ'!E21</f>
        <v>0</v>
      </c>
      <c r="R21" s="335">
        <f>+РВД!E21</f>
        <v>0</v>
      </c>
      <c r="S21" s="335">
        <f>+'Тенекс С'!E21</f>
        <v>0</v>
      </c>
      <c r="T21" s="335">
        <f>+Декотекс!E21</f>
        <v>0</v>
      </c>
      <c r="U21" s="335">
        <f>+ДХТ!D21</f>
        <v>0</v>
      </c>
      <c r="V21" s="335">
        <f>+ДХТ!I21</f>
        <v>0</v>
      </c>
      <c r="W21" s="335">
        <f>+ЕМИ!D21</f>
        <v>0</v>
      </c>
      <c r="X21" s="335">
        <f>+Цени!L20</f>
        <v>0</v>
      </c>
      <c r="Y21" s="336">
        <f>Перник!G21</f>
        <v>0</v>
      </c>
      <c r="Z21" s="337">
        <f>'Борса и балансиране'!F21</f>
        <v>0</v>
      </c>
      <c r="AA21" s="333">
        <f>IF(AH21-SUM(G21:Z21,Плевен!K21,Плевен!L21,Бургас!H21,'Враца 1'!H21,'Враца 2'!H21)&gt;=0,AH21-SUM(G21:Z21,Плевен!K21,Плевен!L21,Бургас!H21,'Враца 1'!H21,'Враца 2'!H21),IF(AH21-SUM(G21:Z21,Плевен!K21,Плевен!L21,Бургас!H21,'Враца 1'!H21,'Враца 2'!H21)&lt;=0,0))</f>
        <v>0</v>
      </c>
      <c r="AB21" s="336">
        <f>IF(AH21-SUM(G21:Z21,Плевен!K21,Плевен!L21,Бургас!H21,'Враца 1'!H21,'Враца 2'!H21)&lt;=0,AH21-SUM(G21:Z21,Плевен!K21,Плевен!L21,Бургас!H21,'Враца 1'!H21,'Враца 2'!H21),IF(AH21-SUM(G21:Z21,Плевен!K21,Плевен!L21,Бургас!H21,'Враца 1'!H21,'Враца 2'!H21)&gt;=0,0))</f>
        <v>0</v>
      </c>
      <c r="AD21" s="342">
        <f>Цени!E20</f>
        <v>0</v>
      </c>
      <c r="AE21" s="342">
        <f>+Цени!C20+Цени!F20</f>
        <v>0</v>
      </c>
      <c r="AF21" s="342">
        <f>+Цени!D20</f>
        <v>0</v>
      </c>
      <c r="AG21" s="343">
        <f>'Борса и балансиране'!C21</f>
        <v>0</v>
      </c>
      <c r="AH21" s="344">
        <f t="shared" si="10"/>
        <v>0</v>
      </c>
      <c r="AJ21" s="345"/>
      <c r="AK21" s="346"/>
      <c r="AL21" s="347">
        <f>AJ21-AK21+Перник!T32</f>
        <v>0</v>
      </c>
      <c r="AM21" s="348">
        <f>+(Цени!$E$35-Цени!$M$1)*Цени!E20</f>
        <v>0</v>
      </c>
      <c r="AN21" s="349">
        <f t="shared" si="23"/>
        <v>0</v>
      </c>
      <c r="AP21" s="329">
        <f t="shared" si="24"/>
        <v>45400</v>
      </c>
      <c r="AQ21" s="353">
        <f t="shared" si="25"/>
        <v>58.84</v>
      </c>
      <c r="AR21" s="353">
        <f t="shared" si="11"/>
        <v>0</v>
      </c>
      <c r="AS21" s="332"/>
      <c r="AT21" s="353">
        <f t="shared" si="12"/>
        <v>0</v>
      </c>
      <c r="AV21" s="329">
        <f t="shared" si="26"/>
        <v>45400</v>
      </c>
      <c r="AW21" s="354"/>
      <c r="AX21" s="354"/>
      <c r="AY21" s="353">
        <f t="shared" si="32"/>
        <v>0</v>
      </c>
      <c r="BA21" s="329">
        <f t="shared" si="27"/>
        <v>45400</v>
      </c>
      <c r="BB21" s="355"/>
      <c r="BC21" s="353"/>
      <c r="BD21" s="353"/>
      <c r="BF21" s="329">
        <f t="shared" si="29"/>
        <v>45400</v>
      </c>
      <c r="BG21" s="401"/>
      <c r="BH21" s="401"/>
      <c r="BI21" s="401"/>
      <c r="BJ21" s="401"/>
      <c r="BK21" s="401"/>
      <c r="BL21" s="401"/>
      <c r="BM21" s="401"/>
      <c r="BN21" s="401"/>
      <c r="BO21" s="358">
        <f>SUM(BG21:BN21)</f>
        <v>0</v>
      </c>
      <c r="BQ21" s="329">
        <f t="shared" si="30"/>
        <v>45400</v>
      </c>
      <c r="BR21" s="357">
        <f t="shared" si="14"/>
        <v>0</v>
      </c>
      <c r="BS21" s="357">
        <f t="shared" si="15"/>
        <v>0</v>
      </c>
      <c r="BT21" s="357">
        <f t="shared" si="16"/>
        <v>0</v>
      </c>
      <c r="BU21" s="357">
        <f t="shared" si="17"/>
        <v>0</v>
      </c>
      <c r="BV21" s="357">
        <f t="shared" si="18"/>
        <v>0</v>
      </c>
      <c r="BW21" s="357">
        <f t="shared" si="18"/>
        <v>0</v>
      </c>
      <c r="BX21" s="357">
        <f t="shared" si="19"/>
        <v>0</v>
      </c>
      <c r="BY21" s="357">
        <f t="shared" si="20"/>
        <v>0</v>
      </c>
      <c r="BZ21" s="358">
        <f t="shared" si="46"/>
        <v>0</v>
      </c>
      <c r="CB21" s="329">
        <f t="shared" si="31"/>
        <v>45400</v>
      </c>
      <c r="CC21" s="401"/>
      <c r="CD21" s="401"/>
      <c r="CE21" s="401"/>
      <c r="CF21" s="401"/>
      <c r="CG21" s="401"/>
      <c r="CH21" s="401"/>
      <c r="CI21" s="401"/>
      <c r="CJ21" s="401"/>
      <c r="CK21" s="358">
        <f t="shared" ref="CK21" si="48">SUM(CC21:CJ21)</f>
        <v>0</v>
      </c>
    </row>
    <row r="22" spans="2:90" x14ac:dyDescent="0.25">
      <c r="B22" s="47">
        <f t="shared" si="22"/>
        <v>45401</v>
      </c>
      <c r="C22" s="333">
        <f>+Плевен!K22+Плевен!L22</f>
        <v>0</v>
      </c>
      <c r="D22" s="334">
        <f>Бургас!H22</f>
        <v>0</v>
      </c>
      <c r="E22" s="334">
        <f>'Враца 1'!H22</f>
        <v>0</v>
      </c>
      <c r="F22" s="334">
        <f>'Враца 2'!H22</f>
        <v>0</v>
      </c>
      <c r="G22" s="335">
        <f>Русе!G22</f>
        <v>0</v>
      </c>
      <c r="H22" s="335">
        <f>+'Русе Кемикълс'!E22</f>
        <v>0</v>
      </c>
      <c r="I22" s="335">
        <f>+'Нова пауър'!E22</f>
        <v>0</v>
      </c>
      <c r="J22" s="335">
        <f>+'Доминекс про'!E22</f>
        <v>0</v>
      </c>
      <c r="K22" s="335">
        <f>+Труд!E22</f>
        <v>0</v>
      </c>
      <c r="L22" s="335">
        <f>+'Велико Търново'!E22</f>
        <v>0</v>
      </c>
      <c r="M22" s="335">
        <f>+Берус!E22</f>
        <v>0</v>
      </c>
      <c r="N22" s="335">
        <f>+'Бултекс 1'!E22</f>
        <v>0</v>
      </c>
      <c r="O22" s="335">
        <f>+Алуком!E22</f>
        <v>0</v>
      </c>
      <c r="P22" s="335">
        <f>+Илинден!E22</f>
        <v>0</v>
      </c>
      <c r="Q22" s="335">
        <f>+'Ваптех АМ'!E22</f>
        <v>0</v>
      </c>
      <c r="R22" s="335">
        <f>+РВД!E22</f>
        <v>0</v>
      </c>
      <c r="S22" s="335">
        <f>+'Тенекс С'!E22</f>
        <v>0</v>
      </c>
      <c r="T22" s="335">
        <f>+Декотекс!E22</f>
        <v>0</v>
      </c>
      <c r="U22" s="335">
        <f>+ДХТ!D22</f>
        <v>0</v>
      </c>
      <c r="V22" s="335">
        <f>+ДХТ!I22</f>
        <v>0</v>
      </c>
      <c r="W22" s="335">
        <f>+ЕМИ!D22</f>
        <v>0</v>
      </c>
      <c r="X22" s="335">
        <f>+Цени!L21</f>
        <v>0</v>
      </c>
      <c r="Y22" s="336">
        <f>Перник!G22</f>
        <v>0</v>
      </c>
      <c r="Z22" s="337">
        <f>'Борса и балансиране'!F22</f>
        <v>0</v>
      </c>
      <c r="AA22" s="333">
        <f>IF(AH22-SUM(G22:Z22,Плевен!K22,Плевен!L22,Бургас!H22,'Враца 1'!H22,'Враца 2'!H22)&gt;=0,AH22-SUM(G22:Z22,Плевен!K22,Плевен!L22,Бургас!H22,'Враца 1'!H22,'Враца 2'!H22),IF(AH22-SUM(G22:Z22,Плевен!K22,Плевен!L22,Бургас!H22,'Враца 1'!H22,'Враца 2'!H22)&lt;=0,0))</f>
        <v>0</v>
      </c>
      <c r="AB22" s="336">
        <f>IF(AH22-SUM(G22:Z22,Плевен!K22,Плевен!L22,Бургас!H22,'Враца 1'!H22,'Враца 2'!H22)&lt;=0,AH22-SUM(G22:Z22,Плевен!K22,Плевен!L22,Бургас!H22,'Враца 1'!H22,'Враца 2'!H22),IF(AH22-SUM(G22:Z22,Плевен!K22,Плевен!L22,Бургас!H22,'Враца 1'!H22,'Враца 2'!H22)&gt;=0,0))</f>
        <v>0</v>
      </c>
      <c r="AD22" s="342">
        <f>Цени!E21</f>
        <v>0</v>
      </c>
      <c r="AE22" s="342">
        <f>+Цени!C21+Цени!F21</f>
        <v>0</v>
      </c>
      <c r="AF22" s="342">
        <f>+Цени!D21</f>
        <v>0</v>
      </c>
      <c r="AG22" s="343">
        <f>'Борса и балансиране'!C22</f>
        <v>0</v>
      </c>
      <c r="AH22" s="344">
        <f t="shared" si="10"/>
        <v>0</v>
      </c>
      <c r="AJ22" s="345"/>
      <c r="AK22" s="346"/>
      <c r="AL22" s="347">
        <f>AJ22-AK22+Перник!T33</f>
        <v>0</v>
      </c>
      <c r="AM22" s="348">
        <f>+(Цени!$E$35-Цени!$M$1)*Цени!E21</f>
        <v>0</v>
      </c>
      <c r="AN22" s="349">
        <f t="shared" si="23"/>
        <v>0</v>
      </c>
      <c r="AP22" s="329">
        <f t="shared" si="24"/>
        <v>45401</v>
      </c>
      <c r="AQ22" s="353">
        <f t="shared" si="25"/>
        <v>58.84</v>
      </c>
      <c r="AR22" s="353">
        <f t="shared" si="11"/>
        <v>0</v>
      </c>
      <c r="AS22" s="332"/>
      <c r="AT22" s="353">
        <f t="shared" si="12"/>
        <v>0</v>
      </c>
      <c r="AV22" s="329">
        <f t="shared" si="26"/>
        <v>45401</v>
      </c>
      <c r="AW22" s="354"/>
      <c r="AX22" s="354"/>
      <c r="AY22" s="353">
        <f t="shared" si="32"/>
        <v>0</v>
      </c>
      <c r="BA22" s="329">
        <f t="shared" si="27"/>
        <v>45401</v>
      </c>
      <c r="BB22" s="355"/>
      <c r="BC22" s="353"/>
      <c r="BD22" s="353"/>
      <c r="BF22" s="329">
        <f t="shared" si="29"/>
        <v>45401</v>
      </c>
      <c r="BG22" s="401"/>
      <c r="BH22" s="401"/>
      <c r="BI22" s="401"/>
      <c r="BJ22" s="401"/>
      <c r="BK22" s="401"/>
      <c r="BL22" s="401"/>
      <c r="BM22" s="401"/>
      <c r="BN22" s="401"/>
      <c r="BO22" s="358">
        <f t="shared" ref="BO22:BO33" si="49">SUM(BG22:BN22)</f>
        <v>0</v>
      </c>
      <c r="BQ22" s="329">
        <f t="shared" si="30"/>
        <v>45401</v>
      </c>
      <c r="BR22" s="357">
        <f t="shared" si="14"/>
        <v>0</v>
      </c>
      <c r="BS22" s="357">
        <f t="shared" si="15"/>
        <v>0</v>
      </c>
      <c r="BT22" s="357">
        <f t="shared" si="16"/>
        <v>0</v>
      </c>
      <c r="BU22" s="357">
        <f t="shared" si="17"/>
        <v>0</v>
      </c>
      <c r="BV22" s="357">
        <f t="shared" si="18"/>
        <v>0</v>
      </c>
      <c r="BW22" s="357">
        <f t="shared" si="18"/>
        <v>0</v>
      </c>
      <c r="BX22" s="357">
        <f t="shared" si="19"/>
        <v>0</v>
      </c>
      <c r="BY22" s="357">
        <f t="shared" si="20"/>
        <v>0</v>
      </c>
      <c r="BZ22" s="358">
        <f t="shared" si="46"/>
        <v>0</v>
      </c>
      <c r="CB22" s="329">
        <f t="shared" si="31"/>
        <v>45401</v>
      </c>
      <c r="CC22" s="401"/>
      <c r="CD22" s="401"/>
      <c r="CE22" s="401"/>
      <c r="CF22" s="401"/>
      <c r="CG22" s="401"/>
      <c r="CH22" s="401"/>
      <c r="CI22" s="401"/>
      <c r="CJ22" s="401"/>
      <c r="CK22" s="358">
        <f t="shared" si="47"/>
        <v>0</v>
      </c>
    </row>
    <row r="23" spans="2:90" x14ac:dyDescent="0.25">
      <c r="B23" s="47">
        <f t="shared" si="22"/>
        <v>45402</v>
      </c>
      <c r="C23" s="333">
        <f>+Плевен!K23+Плевен!L23</f>
        <v>0</v>
      </c>
      <c r="D23" s="334">
        <f>Бургас!H23</f>
        <v>0</v>
      </c>
      <c r="E23" s="334">
        <f>'Враца 1'!H23</f>
        <v>0</v>
      </c>
      <c r="F23" s="334">
        <f>'Враца 2'!H23</f>
        <v>0</v>
      </c>
      <c r="G23" s="335">
        <f>Русе!G23</f>
        <v>0</v>
      </c>
      <c r="H23" s="335">
        <f>+'Русе Кемикълс'!E23</f>
        <v>0</v>
      </c>
      <c r="I23" s="335">
        <f>+'Нова пауър'!E23</f>
        <v>0</v>
      </c>
      <c r="J23" s="335">
        <f>+'Доминекс про'!E23</f>
        <v>0</v>
      </c>
      <c r="K23" s="335">
        <f>+Труд!E23</f>
        <v>0</v>
      </c>
      <c r="L23" s="335">
        <f>+'Велико Търново'!E23</f>
        <v>0</v>
      </c>
      <c r="M23" s="335">
        <f>+Берус!E23</f>
        <v>0</v>
      </c>
      <c r="N23" s="335">
        <f>+'Бултекс 1'!E23</f>
        <v>0</v>
      </c>
      <c r="O23" s="335">
        <f>+Алуком!E23</f>
        <v>0</v>
      </c>
      <c r="P23" s="335">
        <f>+Илинден!E23</f>
        <v>0</v>
      </c>
      <c r="Q23" s="335">
        <f>+'Ваптех АМ'!E23</f>
        <v>0</v>
      </c>
      <c r="R23" s="335">
        <f>+РВД!E23</f>
        <v>0</v>
      </c>
      <c r="S23" s="335">
        <f>+'Тенекс С'!E23</f>
        <v>0</v>
      </c>
      <c r="T23" s="335">
        <f>+Декотекс!E23</f>
        <v>0</v>
      </c>
      <c r="U23" s="335">
        <f>+ДХТ!D23</f>
        <v>0</v>
      </c>
      <c r="V23" s="335">
        <f>+ДХТ!I23</f>
        <v>0</v>
      </c>
      <c r="W23" s="335">
        <f>+ЕМИ!D23</f>
        <v>0</v>
      </c>
      <c r="X23" s="335">
        <f>+Цени!L22</f>
        <v>0</v>
      </c>
      <c r="Y23" s="336">
        <f>Перник!G23</f>
        <v>0</v>
      </c>
      <c r="Z23" s="337">
        <f>'Борса и балансиране'!F23</f>
        <v>0</v>
      </c>
      <c r="AA23" s="333">
        <f>IF(AH23-SUM(G23:Z23,Плевен!K23,Плевен!L23,Бургас!H23,'Враца 1'!H23,'Враца 2'!H23)&gt;=0,AH23-SUM(G23:Z23,Плевен!K23,Плевен!L23,Бургас!H23,'Враца 1'!H23,'Враца 2'!H23),IF(AH23-SUM(G23:Z23,Плевен!K23,Плевен!L23,Бургас!H23,'Враца 1'!H23,'Враца 2'!H23)&lt;=0,0))</f>
        <v>0</v>
      </c>
      <c r="AB23" s="336">
        <f>IF(AH23-SUM(G23:Z23,Плевен!K23,Плевен!L23,Бургас!H23,'Враца 1'!H23,'Враца 2'!H23)&lt;=0,AH23-SUM(G23:Z23,Плевен!K23,Плевен!L23,Бургас!H23,'Враца 1'!H23,'Враца 2'!H23),IF(AH23-SUM(G23:Z23,Плевен!K23,Плевен!L23,Бургас!H23,'Враца 1'!H23,'Враца 2'!H23)&gt;=0,0))</f>
        <v>0</v>
      </c>
      <c r="AD23" s="342">
        <f>Цени!E22</f>
        <v>0</v>
      </c>
      <c r="AE23" s="342">
        <f>+Цени!C22+Цени!F22</f>
        <v>0</v>
      </c>
      <c r="AF23" s="342">
        <f>+Цени!D22</f>
        <v>0</v>
      </c>
      <c r="AG23" s="343">
        <f>'Борса и балансиране'!C23</f>
        <v>0</v>
      </c>
      <c r="AH23" s="344">
        <f t="shared" si="10"/>
        <v>0</v>
      </c>
      <c r="AJ23" s="345"/>
      <c r="AK23" s="346"/>
      <c r="AL23" s="347">
        <f>AJ23-AK23+Перник!T34</f>
        <v>0</v>
      </c>
      <c r="AM23" s="348">
        <f>+(Цени!$E$35-Цени!$M$1)*Цени!E22</f>
        <v>0</v>
      </c>
      <c r="AN23" s="349">
        <f t="shared" si="23"/>
        <v>0</v>
      </c>
      <c r="AP23" s="329">
        <f t="shared" si="24"/>
        <v>45402</v>
      </c>
      <c r="AQ23" s="353">
        <f t="shared" si="25"/>
        <v>58.84</v>
      </c>
      <c r="AR23" s="353">
        <f t="shared" si="11"/>
        <v>0</v>
      </c>
      <c r="AS23" s="332"/>
      <c r="AT23" s="353">
        <f t="shared" si="12"/>
        <v>0</v>
      </c>
      <c r="AV23" s="329">
        <f t="shared" si="26"/>
        <v>45402</v>
      </c>
      <c r="AW23" s="354"/>
      <c r="AX23" s="354"/>
      <c r="AY23" s="353">
        <f t="shared" si="32"/>
        <v>0</v>
      </c>
      <c r="BA23" s="329">
        <f t="shared" si="27"/>
        <v>45402</v>
      </c>
      <c r="BB23" s="355"/>
      <c r="BC23" s="353"/>
      <c r="BD23" s="353"/>
      <c r="BF23" s="329">
        <f t="shared" si="29"/>
        <v>45402</v>
      </c>
      <c r="BG23" s="401"/>
      <c r="BH23" s="401"/>
      <c r="BI23" s="401"/>
      <c r="BJ23" s="401"/>
      <c r="BK23" s="401"/>
      <c r="BL23" s="401"/>
      <c r="BM23" s="401"/>
      <c r="BN23" s="401"/>
      <c r="BO23" s="358">
        <f t="shared" si="49"/>
        <v>0</v>
      </c>
      <c r="BQ23" s="329">
        <f t="shared" si="30"/>
        <v>45402</v>
      </c>
      <c r="BR23" s="357">
        <f t="shared" si="14"/>
        <v>0</v>
      </c>
      <c r="BS23" s="357">
        <f t="shared" si="15"/>
        <v>0</v>
      </c>
      <c r="BT23" s="357">
        <f t="shared" si="16"/>
        <v>0</v>
      </c>
      <c r="BU23" s="357">
        <f t="shared" si="17"/>
        <v>0</v>
      </c>
      <c r="BV23" s="357">
        <f t="shared" si="18"/>
        <v>0</v>
      </c>
      <c r="BW23" s="357">
        <f t="shared" si="18"/>
        <v>0</v>
      </c>
      <c r="BX23" s="357">
        <f t="shared" si="19"/>
        <v>0</v>
      </c>
      <c r="BY23" s="357">
        <f t="shared" si="20"/>
        <v>0</v>
      </c>
      <c r="BZ23" s="358">
        <f t="shared" si="46"/>
        <v>0</v>
      </c>
      <c r="CB23" s="329">
        <f t="shared" si="31"/>
        <v>45402</v>
      </c>
      <c r="CC23" s="401"/>
      <c r="CD23" s="401"/>
      <c r="CE23" s="401"/>
      <c r="CF23" s="401"/>
      <c r="CG23" s="401"/>
      <c r="CH23" s="401"/>
      <c r="CI23" s="401"/>
      <c r="CJ23" s="401"/>
      <c r="CK23" s="358">
        <f t="shared" si="47"/>
        <v>0</v>
      </c>
    </row>
    <row r="24" spans="2:90" x14ac:dyDescent="0.25">
      <c r="B24" s="47">
        <f t="shared" si="22"/>
        <v>45403</v>
      </c>
      <c r="C24" s="333">
        <f>+Плевен!K24+Плевен!L24</f>
        <v>0</v>
      </c>
      <c r="D24" s="334">
        <f>Бургас!H24</f>
        <v>0</v>
      </c>
      <c r="E24" s="334">
        <f>'Враца 1'!H24</f>
        <v>0</v>
      </c>
      <c r="F24" s="334">
        <f>'Враца 2'!H24</f>
        <v>0</v>
      </c>
      <c r="G24" s="335">
        <f>Русе!G24</f>
        <v>0</v>
      </c>
      <c r="H24" s="335">
        <f>+'Русе Кемикълс'!E24</f>
        <v>0</v>
      </c>
      <c r="I24" s="335">
        <f>+'Нова пауър'!E24</f>
        <v>0</v>
      </c>
      <c r="J24" s="335">
        <f>+'Доминекс про'!E24</f>
        <v>0</v>
      </c>
      <c r="K24" s="335">
        <f>+Труд!E24</f>
        <v>0</v>
      </c>
      <c r="L24" s="335">
        <f>+'Велико Търново'!E24</f>
        <v>0</v>
      </c>
      <c r="M24" s="335">
        <f>+Берус!E24</f>
        <v>0</v>
      </c>
      <c r="N24" s="335">
        <f>+'Бултекс 1'!E24</f>
        <v>0</v>
      </c>
      <c r="O24" s="335">
        <f>+Алуком!E24</f>
        <v>0</v>
      </c>
      <c r="P24" s="335">
        <f>+Илинден!E24</f>
        <v>0</v>
      </c>
      <c r="Q24" s="335">
        <f>+'Ваптех АМ'!E24</f>
        <v>0</v>
      </c>
      <c r="R24" s="335">
        <f>+РВД!E24</f>
        <v>0</v>
      </c>
      <c r="S24" s="335">
        <f>+'Тенекс С'!E24</f>
        <v>0</v>
      </c>
      <c r="T24" s="335">
        <f>+Декотекс!E24</f>
        <v>0</v>
      </c>
      <c r="U24" s="335">
        <f>+ДХТ!D24</f>
        <v>0</v>
      </c>
      <c r="V24" s="335">
        <f>+ДХТ!I24</f>
        <v>0</v>
      </c>
      <c r="W24" s="335">
        <f>+ЕМИ!D24</f>
        <v>0</v>
      </c>
      <c r="X24" s="335">
        <f>+Цени!L23</f>
        <v>0</v>
      </c>
      <c r="Y24" s="336">
        <f>Перник!G24</f>
        <v>0</v>
      </c>
      <c r="Z24" s="337">
        <f>'Борса и балансиране'!F24</f>
        <v>0</v>
      </c>
      <c r="AA24" s="333">
        <f>IF(AH24-SUM(G24:Z24,Плевен!K24,Плевен!L24,Бургас!H24,'Враца 1'!H24,'Враца 2'!H24)&gt;=0,AH24-SUM(G24:Z24,Плевен!K24,Плевен!L24,Бургас!H24,'Враца 1'!H24,'Враца 2'!H24),IF(AH24-SUM(G24:Z24,Плевен!K24,Плевен!L24,Бургас!H24,'Враца 1'!H24,'Враца 2'!H24)&lt;=0,0))</f>
        <v>0</v>
      </c>
      <c r="AB24" s="336">
        <f>IF(AH24-SUM(G24:Z24,Плевен!K24,Плевен!L24,Бургас!H24,'Враца 1'!H24,'Враца 2'!H24)&lt;=0,AH24-SUM(G24:Z24,Плевен!K24,Плевен!L24,Бургас!H24,'Враца 1'!H24,'Враца 2'!H24),IF(AH24-SUM(G24:Z24,Плевен!K24,Плевен!L24,Бургас!H24,'Враца 1'!H24,'Враца 2'!H24)&gt;=0,0))</f>
        <v>0</v>
      </c>
      <c r="AD24" s="342">
        <f>Цени!E23</f>
        <v>0</v>
      </c>
      <c r="AE24" s="342">
        <f>+Цени!C23+Цени!F23</f>
        <v>0</v>
      </c>
      <c r="AF24" s="342">
        <f>+Цени!D23</f>
        <v>0</v>
      </c>
      <c r="AG24" s="343">
        <f>'Борса и балансиране'!C24</f>
        <v>0</v>
      </c>
      <c r="AH24" s="344">
        <f t="shared" si="10"/>
        <v>0</v>
      </c>
      <c r="AJ24" s="345"/>
      <c r="AK24" s="346"/>
      <c r="AL24" s="347">
        <f>AJ24-AK24+Перник!T35</f>
        <v>0</v>
      </c>
      <c r="AM24" s="348">
        <f>+(Цени!$E$35-Цени!$M$1)*Цени!E23</f>
        <v>0</v>
      </c>
      <c r="AN24" s="349">
        <f t="shared" si="23"/>
        <v>0</v>
      </c>
      <c r="AO24" s="4"/>
      <c r="AP24" s="329">
        <f t="shared" si="24"/>
        <v>45403</v>
      </c>
      <c r="AQ24" s="353">
        <f t="shared" si="25"/>
        <v>58.84</v>
      </c>
      <c r="AR24" s="353">
        <f t="shared" si="11"/>
        <v>0</v>
      </c>
      <c r="AS24" s="332"/>
      <c r="AT24" s="353">
        <f t="shared" si="12"/>
        <v>0</v>
      </c>
      <c r="AV24" s="329">
        <f t="shared" si="26"/>
        <v>45403</v>
      </c>
      <c r="AW24" s="354"/>
      <c r="AX24" s="354"/>
      <c r="AY24" s="353">
        <f t="shared" si="32"/>
        <v>0</v>
      </c>
      <c r="BA24" s="329">
        <f t="shared" si="27"/>
        <v>45403</v>
      </c>
      <c r="BB24" s="355"/>
      <c r="BC24" s="353"/>
      <c r="BD24" s="353"/>
      <c r="BF24" s="329">
        <f t="shared" si="29"/>
        <v>45403</v>
      </c>
      <c r="BG24" s="401"/>
      <c r="BH24" s="401"/>
      <c r="BI24" s="401"/>
      <c r="BJ24" s="401"/>
      <c r="BK24" s="401"/>
      <c r="BL24" s="401"/>
      <c r="BM24" s="401"/>
      <c r="BN24" s="401"/>
      <c r="BO24" s="358">
        <f t="shared" si="49"/>
        <v>0</v>
      </c>
      <c r="BP24" s="1" t="s">
        <v>74</v>
      </c>
      <c r="BQ24" s="329">
        <f t="shared" si="30"/>
        <v>45403</v>
      </c>
      <c r="BR24" s="357">
        <f t="shared" si="14"/>
        <v>0</v>
      </c>
      <c r="BS24" s="357">
        <f t="shared" si="15"/>
        <v>0</v>
      </c>
      <c r="BT24" s="357">
        <f t="shared" si="16"/>
        <v>0</v>
      </c>
      <c r="BU24" s="357">
        <f t="shared" si="17"/>
        <v>0</v>
      </c>
      <c r="BV24" s="357">
        <f t="shared" si="18"/>
        <v>0</v>
      </c>
      <c r="BW24" s="357">
        <f t="shared" si="18"/>
        <v>0</v>
      </c>
      <c r="BX24" s="357">
        <f t="shared" si="19"/>
        <v>0</v>
      </c>
      <c r="BY24" s="357">
        <f t="shared" si="20"/>
        <v>0</v>
      </c>
      <c r="BZ24" s="358">
        <f t="shared" si="46"/>
        <v>0</v>
      </c>
      <c r="CB24" s="329">
        <f t="shared" si="31"/>
        <v>45403</v>
      </c>
      <c r="CC24" s="401"/>
      <c r="CD24" s="401"/>
      <c r="CE24" s="401"/>
      <c r="CF24" s="401"/>
      <c r="CG24" s="401"/>
      <c r="CH24" s="401"/>
      <c r="CI24" s="401"/>
      <c r="CJ24" s="401"/>
      <c r="CK24" s="358">
        <f t="shared" si="47"/>
        <v>0</v>
      </c>
      <c r="CL24" s="4"/>
    </row>
    <row r="25" spans="2:90" x14ac:dyDescent="0.25">
      <c r="B25" s="47">
        <f t="shared" si="22"/>
        <v>45404</v>
      </c>
      <c r="C25" s="333">
        <f>+Плевен!K25+Плевен!L25</f>
        <v>0</v>
      </c>
      <c r="D25" s="334">
        <f>Бургас!H25</f>
        <v>0</v>
      </c>
      <c r="E25" s="334">
        <f>'Враца 1'!H25</f>
        <v>0</v>
      </c>
      <c r="F25" s="334">
        <f>'Враца 2'!H25</f>
        <v>0</v>
      </c>
      <c r="G25" s="335">
        <f>Русе!G25</f>
        <v>0</v>
      </c>
      <c r="H25" s="335">
        <f>+'Русе Кемикълс'!E25</f>
        <v>0</v>
      </c>
      <c r="I25" s="335">
        <f>+'Нова пауър'!E25</f>
        <v>0</v>
      </c>
      <c r="J25" s="335">
        <f>+'Доминекс про'!E25</f>
        <v>0</v>
      </c>
      <c r="K25" s="335">
        <f>+Труд!E25</f>
        <v>0</v>
      </c>
      <c r="L25" s="335">
        <f>+'Велико Търново'!E25</f>
        <v>0</v>
      </c>
      <c r="M25" s="335">
        <f>+Берус!E25</f>
        <v>0</v>
      </c>
      <c r="N25" s="335">
        <f>+'Бултекс 1'!E25</f>
        <v>0</v>
      </c>
      <c r="O25" s="335">
        <f>+Алуком!E25</f>
        <v>0</v>
      </c>
      <c r="P25" s="335">
        <f>+Илинден!E25</f>
        <v>0</v>
      </c>
      <c r="Q25" s="335">
        <f>+'Ваптех АМ'!E25</f>
        <v>0</v>
      </c>
      <c r="R25" s="335">
        <f>+РВД!E25</f>
        <v>0</v>
      </c>
      <c r="S25" s="335">
        <f>+'Тенекс С'!E25</f>
        <v>0</v>
      </c>
      <c r="T25" s="335">
        <f>+Декотекс!E25</f>
        <v>0</v>
      </c>
      <c r="U25" s="335">
        <f>+ДХТ!D25</f>
        <v>0</v>
      </c>
      <c r="V25" s="335">
        <f>+ДХТ!I25</f>
        <v>0</v>
      </c>
      <c r="W25" s="335">
        <f>+ЕМИ!D25</f>
        <v>0</v>
      </c>
      <c r="X25" s="335">
        <f>+Цени!L24</f>
        <v>0</v>
      </c>
      <c r="Y25" s="336">
        <f>Перник!G25</f>
        <v>0</v>
      </c>
      <c r="Z25" s="337">
        <f>'Борса и балансиране'!F25</f>
        <v>0</v>
      </c>
      <c r="AA25" s="333">
        <f>IF(AH25-SUM(G25:Z25,Плевен!K25,Плевен!L25,Бургас!H25,'Враца 1'!H25,'Враца 2'!H25)&gt;=0,AH25-SUM(G25:Z25,Плевен!K25,Плевен!L25,Бургас!H25,'Враца 1'!H25,'Враца 2'!H25),IF(AH25-SUM(G25:Z25,Плевен!K25,Плевен!L25,Бургас!H25,'Враца 1'!H25,'Враца 2'!H25)&lt;=0,0))</f>
        <v>0</v>
      </c>
      <c r="AB25" s="336">
        <f>IF(AH25-SUM(G25:Z25,Плевен!K25,Плевен!L25,Бургас!H25,'Враца 1'!H25,'Враца 2'!H25)&lt;=0,AH25-SUM(G25:Z25,Плевен!K25,Плевен!L25,Бургас!H25,'Враца 1'!H25,'Враца 2'!H25),IF(AH25-SUM(G25:Z25,Плевен!K25,Плевен!L25,Бургас!H25,'Враца 1'!H25,'Враца 2'!H25)&gt;=0,0))</f>
        <v>0</v>
      </c>
      <c r="AD25" s="342">
        <f>Цени!E24</f>
        <v>0</v>
      </c>
      <c r="AE25" s="342">
        <f>+Цени!C24+Цени!F24</f>
        <v>0</v>
      </c>
      <c r="AF25" s="342">
        <f>+Цени!D24</f>
        <v>0</v>
      </c>
      <c r="AG25" s="343">
        <f>'Борса и балансиране'!C25</f>
        <v>0</v>
      </c>
      <c r="AH25" s="344">
        <f t="shared" si="10"/>
        <v>0</v>
      </c>
      <c r="AJ25" s="345"/>
      <c r="AK25" s="346"/>
      <c r="AL25" s="347">
        <f>AJ25-AK25+Перник!T36</f>
        <v>0</v>
      </c>
      <c r="AM25" s="348">
        <f>+(Цени!$E$35-Цени!$M$1)*Цени!E24</f>
        <v>0</v>
      </c>
      <c r="AN25" s="349">
        <f t="shared" si="23"/>
        <v>0</v>
      </c>
      <c r="AP25" s="329">
        <f t="shared" si="24"/>
        <v>45404</v>
      </c>
      <c r="AQ25" s="353">
        <f t="shared" si="25"/>
        <v>58.84</v>
      </c>
      <c r="AR25" s="353">
        <f t="shared" si="11"/>
        <v>0</v>
      </c>
      <c r="AS25" s="332"/>
      <c r="AT25" s="353">
        <f t="shared" si="12"/>
        <v>0</v>
      </c>
      <c r="AV25" s="329">
        <f t="shared" si="26"/>
        <v>45404</v>
      </c>
      <c r="AW25" s="354"/>
      <c r="AX25" s="354"/>
      <c r="AY25" s="353">
        <f t="shared" si="32"/>
        <v>0</v>
      </c>
      <c r="BA25" s="329">
        <f t="shared" si="27"/>
        <v>45404</v>
      </c>
      <c r="BB25" s="355"/>
      <c r="BC25" s="353"/>
      <c r="BD25" s="353"/>
      <c r="BF25" s="329">
        <f t="shared" si="29"/>
        <v>45404</v>
      </c>
      <c r="BG25" s="401"/>
      <c r="BH25" s="401"/>
      <c r="BI25" s="401"/>
      <c r="BJ25" s="401"/>
      <c r="BK25" s="401"/>
      <c r="BL25" s="401"/>
      <c r="BM25" s="401"/>
      <c r="BN25" s="401"/>
      <c r="BO25" s="358">
        <f t="shared" si="49"/>
        <v>0</v>
      </c>
      <c r="BQ25" s="329">
        <f t="shared" si="30"/>
        <v>45404</v>
      </c>
      <c r="BR25" s="357">
        <f t="shared" si="14"/>
        <v>0</v>
      </c>
      <c r="BS25" s="357">
        <f t="shared" si="15"/>
        <v>0</v>
      </c>
      <c r="BT25" s="357">
        <f t="shared" si="16"/>
        <v>0</v>
      </c>
      <c r="BU25" s="357">
        <f t="shared" si="17"/>
        <v>0</v>
      </c>
      <c r="BV25" s="357">
        <f t="shared" si="18"/>
        <v>0</v>
      </c>
      <c r="BW25" s="357">
        <f t="shared" si="18"/>
        <v>0</v>
      </c>
      <c r="BX25" s="357">
        <f t="shared" si="19"/>
        <v>0</v>
      </c>
      <c r="BY25" s="357">
        <f t="shared" si="20"/>
        <v>0</v>
      </c>
      <c r="BZ25" s="358">
        <f t="shared" si="46"/>
        <v>0</v>
      </c>
      <c r="CB25" s="329">
        <f t="shared" si="31"/>
        <v>45404</v>
      </c>
      <c r="CC25" s="401"/>
      <c r="CD25" s="401"/>
      <c r="CE25" s="401"/>
      <c r="CF25" s="401"/>
      <c r="CG25" s="401"/>
      <c r="CH25" s="401"/>
      <c r="CI25" s="401"/>
      <c r="CJ25" s="401"/>
      <c r="CK25" s="358">
        <f t="shared" si="47"/>
        <v>0</v>
      </c>
    </row>
    <row r="26" spans="2:90" x14ac:dyDescent="0.25">
      <c r="B26" s="47">
        <f t="shared" si="22"/>
        <v>45405</v>
      </c>
      <c r="C26" s="333">
        <f>+Плевен!K26+Плевен!L26</f>
        <v>0</v>
      </c>
      <c r="D26" s="334">
        <f>Бургас!H26</f>
        <v>0</v>
      </c>
      <c r="E26" s="334">
        <f>'Враца 1'!H26</f>
        <v>0</v>
      </c>
      <c r="F26" s="334">
        <f>'Враца 2'!H26</f>
        <v>0</v>
      </c>
      <c r="G26" s="335">
        <f>Русе!G26</f>
        <v>0</v>
      </c>
      <c r="H26" s="335">
        <f>+'Русе Кемикълс'!E26</f>
        <v>0</v>
      </c>
      <c r="I26" s="335">
        <f>+'Нова пауър'!E26</f>
        <v>0</v>
      </c>
      <c r="J26" s="335">
        <f>+'Доминекс про'!E26</f>
        <v>0</v>
      </c>
      <c r="K26" s="335">
        <f>+Труд!E26</f>
        <v>0</v>
      </c>
      <c r="L26" s="335">
        <f>+'Велико Търново'!E26</f>
        <v>0</v>
      </c>
      <c r="M26" s="335">
        <f>+Берус!E26</f>
        <v>0</v>
      </c>
      <c r="N26" s="335">
        <f>+'Бултекс 1'!E26</f>
        <v>0</v>
      </c>
      <c r="O26" s="335">
        <f>+Алуком!E26</f>
        <v>0</v>
      </c>
      <c r="P26" s="335">
        <f>+Илинден!E26</f>
        <v>0</v>
      </c>
      <c r="Q26" s="335">
        <f>+'Ваптех АМ'!E26</f>
        <v>0</v>
      </c>
      <c r="R26" s="335">
        <f>+РВД!E26</f>
        <v>0</v>
      </c>
      <c r="S26" s="335">
        <f>+'Тенекс С'!E26</f>
        <v>0</v>
      </c>
      <c r="T26" s="335">
        <f>+Декотекс!E26</f>
        <v>0</v>
      </c>
      <c r="U26" s="335">
        <f>+ДХТ!D26</f>
        <v>0</v>
      </c>
      <c r="V26" s="335">
        <f>+ДХТ!I26</f>
        <v>0</v>
      </c>
      <c r="W26" s="335">
        <f>+ЕМИ!D26</f>
        <v>0</v>
      </c>
      <c r="X26" s="335">
        <f>+Цени!L25</f>
        <v>0</v>
      </c>
      <c r="Y26" s="336">
        <f>Перник!G26</f>
        <v>0</v>
      </c>
      <c r="Z26" s="337">
        <f>'Борса и балансиране'!F26</f>
        <v>0</v>
      </c>
      <c r="AA26" s="333">
        <f>IF(AH26-SUM(G26:Z26,Плевен!K26,Плевен!L26,Бургас!H26,'Враца 1'!H26,'Враца 2'!H26)&gt;=0,AH26-SUM(G26:Z26,Плевен!K26,Плевен!L26,Бургас!H26,'Враца 1'!H26,'Враца 2'!H26),IF(AH26-SUM(G26:Z26,Плевен!K26,Плевен!L26,Бургас!H26,'Враца 1'!H26,'Враца 2'!H26)&lt;=0,0))</f>
        <v>0</v>
      </c>
      <c r="AB26" s="336">
        <f>IF(AH26-SUM(G26:Z26,Плевен!K26,Плевен!L26,Бургас!H26,'Враца 1'!H26,'Враца 2'!H26)&lt;=0,AH26-SUM(G26:Z26,Плевен!K26,Плевен!L26,Бургас!H26,'Враца 1'!H26,'Враца 2'!H26),IF(AH26-SUM(G26:Z26,Плевен!K26,Плевен!L26,Бургас!H26,'Враца 1'!H26,'Враца 2'!H26)&gt;=0,0))</f>
        <v>0</v>
      </c>
      <c r="AD26" s="342">
        <f>Цени!E25</f>
        <v>0</v>
      </c>
      <c r="AE26" s="342">
        <f>+Цени!C25+Цени!F25</f>
        <v>0</v>
      </c>
      <c r="AF26" s="342">
        <f>+Цени!D25</f>
        <v>0</v>
      </c>
      <c r="AG26" s="343">
        <f>'Борса и балансиране'!C26</f>
        <v>0</v>
      </c>
      <c r="AH26" s="344">
        <f t="shared" si="10"/>
        <v>0</v>
      </c>
      <c r="AJ26" s="345"/>
      <c r="AK26" s="346"/>
      <c r="AL26" s="347">
        <f>AJ26-AK26+Перник!T37</f>
        <v>0</v>
      </c>
      <c r="AM26" s="348">
        <f>+(Цени!$E$35-Цени!$M$1)*Цени!E25</f>
        <v>0</v>
      </c>
      <c r="AN26" s="349">
        <f t="shared" si="23"/>
        <v>0</v>
      </c>
      <c r="AO26" s="4"/>
      <c r="AP26" s="329">
        <f t="shared" si="24"/>
        <v>45405</v>
      </c>
      <c r="AQ26" s="353">
        <f t="shared" si="25"/>
        <v>58.84</v>
      </c>
      <c r="AR26" s="353">
        <f t="shared" si="11"/>
        <v>0</v>
      </c>
      <c r="AS26" s="332"/>
      <c r="AT26" s="353">
        <f t="shared" si="12"/>
        <v>0</v>
      </c>
      <c r="AV26" s="329">
        <f t="shared" si="26"/>
        <v>45405</v>
      </c>
      <c r="AW26" s="354"/>
      <c r="AX26" s="354"/>
      <c r="AY26" s="353">
        <f t="shared" si="32"/>
        <v>0</v>
      </c>
      <c r="BA26" s="329">
        <f t="shared" si="27"/>
        <v>45405</v>
      </c>
      <c r="BB26" s="355"/>
      <c r="BC26" s="353"/>
      <c r="BD26" s="353"/>
      <c r="BF26" s="329">
        <f t="shared" si="29"/>
        <v>45405</v>
      </c>
      <c r="BG26" s="401"/>
      <c r="BH26" s="401"/>
      <c r="BI26" s="401"/>
      <c r="BJ26" s="401"/>
      <c r="BK26" s="401"/>
      <c r="BL26" s="401"/>
      <c r="BM26" s="401"/>
      <c r="BN26" s="401"/>
      <c r="BO26" s="358">
        <f t="shared" si="49"/>
        <v>0</v>
      </c>
      <c r="BQ26" s="329">
        <f t="shared" si="30"/>
        <v>45405</v>
      </c>
      <c r="BR26" s="357">
        <f t="shared" si="14"/>
        <v>0</v>
      </c>
      <c r="BS26" s="357">
        <f t="shared" si="15"/>
        <v>0</v>
      </c>
      <c r="BT26" s="357">
        <f t="shared" si="16"/>
        <v>0</v>
      </c>
      <c r="BU26" s="357">
        <f t="shared" si="17"/>
        <v>0</v>
      </c>
      <c r="BV26" s="357">
        <f t="shared" si="18"/>
        <v>0</v>
      </c>
      <c r="BW26" s="357">
        <f t="shared" si="18"/>
        <v>0</v>
      </c>
      <c r="BX26" s="357">
        <f t="shared" si="19"/>
        <v>0</v>
      </c>
      <c r="BY26" s="357">
        <f t="shared" si="20"/>
        <v>0</v>
      </c>
      <c r="BZ26" s="358">
        <f t="shared" si="46"/>
        <v>0</v>
      </c>
      <c r="CB26" s="329">
        <f t="shared" si="31"/>
        <v>45405</v>
      </c>
      <c r="CC26" s="401"/>
      <c r="CD26" s="401"/>
      <c r="CE26" s="401"/>
      <c r="CF26" s="401"/>
      <c r="CG26" s="401"/>
      <c r="CH26" s="401"/>
      <c r="CI26" s="401"/>
      <c r="CJ26" s="401"/>
      <c r="CK26" s="358">
        <f t="shared" si="47"/>
        <v>0</v>
      </c>
    </row>
    <row r="27" spans="2:90" x14ac:dyDescent="0.25">
      <c r="B27" s="47">
        <f t="shared" si="22"/>
        <v>45406</v>
      </c>
      <c r="C27" s="333">
        <f>+Плевен!K27+Плевен!L27</f>
        <v>0</v>
      </c>
      <c r="D27" s="334">
        <f>Бургас!H27</f>
        <v>0</v>
      </c>
      <c r="E27" s="334">
        <f>'Враца 1'!H27</f>
        <v>0</v>
      </c>
      <c r="F27" s="334">
        <f>'Враца 2'!H27</f>
        <v>0</v>
      </c>
      <c r="G27" s="335">
        <f>Русе!G27</f>
        <v>0</v>
      </c>
      <c r="H27" s="335">
        <f>+'Русе Кемикълс'!E27</f>
        <v>0</v>
      </c>
      <c r="I27" s="335">
        <f>+'Нова пауър'!E27</f>
        <v>0</v>
      </c>
      <c r="J27" s="335">
        <f>+'Доминекс про'!E27</f>
        <v>0</v>
      </c>
      <c r="K27" s="335">
        <f>+Труд!E27</f>
        <v>0</v>
      </c>
      <c r="L27" s="335">
        <f>+'Велико Търново'!E27</f>
        <v>0</v>
      </c>
      <c r="M27" s="335">
        <f>+Берус!E27</f>
        <v>0</v>
      </c>
      <c r="N27" s="335">
        <f>+'Бултекс 1'!E27</f>
        <v>0</v>
      </c>
      <c r="O27" s="335">
        <f>+Алуком!E27</f>
        <v>0</v>
      </c>
      <c r="P27" s="335">
        <f>+Илинден!E27</f>
        <v>0</v>
      </c>
      <c r="Q27" s="335">
        <f>+'Ваптех АМ'!E27</f>
        <v>0</v>
      </c>
      <c r="R27" s="335">
        <f>+РВД!E27</f>
        <v>0</v>
      </c>
      <c r="S27" s="335">
        <f>+'Тенекс С'!E27</f>
        <v>0</v>
      </c>
      <c r="T27" s="335">
        <f>+Декотекс!E27</f>
        <v>0</v>
      </c>
      <c r="U27" s="335">
        <f>+ДХТ!D27</f>
        <v>0</v>
      </c>
      <c r="V27" s="335">
        <f>+ДХТ!I27</f>
        <v>0</v>
      </c>
      <c r="W27" s="335">
        <f>+ЕМИ!D27</f>
        <v>0</v>
      </c>
      <c r="X27" s="335">
        <f>+Цени!L26</f>
        <v>0</v>
      </c>
      <c r="Y27" s="336">
        <f>Перник!G27</f>
        <v>0</v>
      </c>
      <c r="Z27" s="337">
        <f>'Борса и балансиране'!F27</f>
        <v>0</v>
      </c>
      <c r="AA27" s="333">
        <f>IF(AH27-SUM(G27:Z27,Плевен!K27,Плевен!L27,Бургас!H27,'Враца 1'!H27,'Враца 2'!H27)&gt;=0,AH27-SUM(G27:Z27,Плевен!K27,Плевен!L27,Бургас!H27,'Враца 1'!H27,'Враца 2'!H27),IF(AH27-SUM(G27:Z27,Плевен!K27,Плевен!L27,Бургас!H27,'Враца 1'!H27,'Враца 2'!H27)&lt;=0,0))</f>
        <v>0</v>
      </c>
      <c r="AB27" s="336">
        <f>IF(AH27-SUM(G27:Z27,Плевен!K27,Плевен!L27,Бургас!H27,'Враца 1'!H27,'Враца 2'!H27)&lt;=0,AH27-SUM(G27:Z27,Плевен!K27,Плевен!L27,Бургас!H27,'Враца 1'!H27,'Враца 2'!H27),IF(AH27-SUM(G27:Z27,Плевен!K27,Плевен!L27,Бургас!H27,'Враца 1'!H27,'Враца 2'!H27)&gt;=0,0))</f>
        <v>0</v>
      </c>
      <c r="AD27" s="342">
        <f>Цени!E26</f>
        <v>0</v>
      </c>
      <c r="AE27" s="342">
        <f>+Цени!C26+Цени!F26</f>
        <v>0</v>
      </c>
      <c r="AF27" s="342">
        <f>+Цени!D26</f>
        <v>0</v>
      </c>
      <c r="AG27" s="343">
        <f>'Борса и балансиране'!C27</f>
        <v>0</v>
      </c>
      <c r="AH27" s="344">
        <f t="shared" si="10"/>
        <v>0</v>
      </c>
      <c r="AJ27" s="345"/>
      <c r="AK27" s="346"/>
      <c r="AL27" s="347">
        <f>AJ27-AK27+Перник!T38</f>
        <v>0</v>
      </c>
      <c r="AM27" s="348">
        <f>+(Цени!$E$35-Цени!$M$1)*Цени!E26</f>
        <v>0</v>
      </c>
      <c r="AN27" s="349">
        <f t="shared" si="23"/>
        <v>0</v>
      </c>
      <c r="AP27" s="329">
        <f t="shared" si="24"/>
        <v>45406</v>
      </c>
      <c r="AQ27" s="353">
        <f t="shared" si="25"/>
        <v>58.84</v>
      </c>
      <c r="AR27" s="353">
        <f t="shared" si="11"/>
        <v>0</v>
      </c>
      <c r="AS27" s="332"/>
      <c r="AT27" s="353">
        <f t="shared" si="12"/>
        <v>0</v>
      </c>
      <c r="AV27" s="329">
        <f t="shared" si="26"/>
        <v>45406</v>
      </c>
      <c r="AW27" s="354"/>
      <c r="AX27" s="354"/>
      <c r="AY27" s="353">
        <f t="shared" si="32"/>
        <v>0</v>
      </c>
      <c r="BA27" s="329">
        <f t="shared" si="27"/>
        <v>45406</v>
      </c>
      <c r="BB27" s="355"/>
      <c r="BC27" s="353"/>
      <c r="BD27" s="353"/>
      <c r="BF27" s="329">
        <f t="shared" si="29"/>
        <v>45406</v>
      </c>
      <c r="BG27" s="401"/>
      <c r="BH27" s="401"/>
      <c r="BI27" s="401"/>
      <c r="BJ27" s="401"/>
      <c r="BK27" s="401"/>
      <c r="BL27" s="401"/>
      <c r="BM27" s="401"/>
      <c r="BN27" s="401"/>
      <c r="BO27" s="358">
        <f t="shared" si="49"/>
        <v>0</v>
      </c>
      <c r="BQ27" s="329">
        <f t="shared" si="30"/>
        <v>45406</v>
      </c>
      <c r="BR27" s="357">
        <f t="shared" si="14"/>
        <v>0</v>
      </c>
      <c r="BS27" s="357">
        <f t="shared" si="15"/>
        <v>0</v>
      </c>
      <c r="BT27" s="357">
        <f t="shared" si="16"/>
        <v>0</v>
      </c>
      <c r="BU27" s="357">
        <f t="shared" si="17"/>
        <v>0</v>
      </c>
      <c r="BV27" s="357">
        <f t="shared" si="18"/>
        <v>0</v>
      </c>
      <c r="BW27" s="357">
        <f t="shared" si="18"/>
        <v>0</v>
      </c>
      <c r="BX27" s="357">
        <f t="shared" si="19"/>
        <v>0</v>
      </c>
      <c r="BY27" s="357">
        <f t="shared" si="20"/>
        <v>0</v>
      </c>
      <c r="BZ27" s="358">
        <f t="shared" si="46"/>
        <v>0</v>
      </c>
      <c r="CB27" s="329">
        <f t="shared" si="31"/>
        <v>45406</v>
      </c>
      <c r="CC27" s="401"/>
      <c r="CD27" s="401"/>
      <c r="CE27" s="401"/>
      <c r="CF27" s="401"/>
      <c r="CG27" s="401"/>
      <c r="CH27" s="401"/>
      <c r="CI27" s="401"/>
      <c r="CJ27" s="401"/>
      <c r="CK27" s="358">
        <f t="shared" si="47"/>
        <v>0</v>
      </c>
    </row>
    <row r="28" spans="2:90" x14ac:dyDescent="0.25">
      <c r="B28" s="47">
        <f t="shared" si="22"/>
        <v>45407</v>
      </c>
      <c r="C28" s="333">
        <f>+Плевен!K28+Плевен!L28</f>
        <v>0</v>
      </c>
      <c r="D28" s="334">
        <f>Бургас!H28</f>
        <v>0</v>
      </c>
      <c r="E28" s="334">
        <f>'Враца 1'!H28</f>
        <v>0</v>
      </c>
      <c r="F28" s="334">
        <f>'Враца 2'!H28</f>
        <v>0</v>
      </c>
      <c r="G28" s="335">
        <f>Русе!G28</f>
        <v>0</v>
      </c>
      <c r="H28" s="335">
        <f>+'Русе Кемикълс'!E28</f>
        <v>0</v>
      </c>
      <c r="I28" s="335">
        <f>+'Нова пауър'!E28</f>
        <v>0</v>
      </c>
      <c r="J28" s="335">
        <f>+'Доминекс про'!E28</f>
        <v>0</v>
      </c>
      <c r="K28" s="335">
        <f>+Труд!E28</f>
        <v>0</v>
      </c>
      <c r="L28" s="335">
        <f>+'Велико Търново'!E28</f>
        <v>0</v>
      </c>
      <c r="M28" s="335">
        <f>+Берус!E28</f>
        <v>0</v>
      </c>
      <c r="N28" s="335">
        <f>+'Бултекс 1'!E28</f>
        <v>0</v>
      </c>
      <c r="O28" s="335">
        <f>+Алуком!E28</f>
        <v>0</v>
      </c>
      <c r="P28" s="335">
        <f>+Илинден!E28</f>
        <v>0</v>
      </c>
      <c r="Q28" s="335">
        <f>+'Ваптех АМ'!E28</f>
        <v>0</v>
      </c>
      <c r="R28" s="335">
        <f>+РВД!E28</f>
        <v>0</v>
      </c>
      <c r="S28" s="335">
        <f>+'Тенекс С'!E28</f>
        <v>0</v>
      </c>
      <c r="T28" s="335">
        <f>+Декотекс!E28</f>
        <v>0</v>
      </c>
      <c r="U28" s="335">
        <f>+ДХТ!D28</f>
        <v>0</v>
      </c>
      <c r="V28" s="335">
        <f>+ДХТ!I28</f>
        <v>0</v>
      </c>
      <c r="W28" s="335">
        <f>+ЕМИ!D28</f>
        <v>0</v>
      </c>
      <c r="X28" s="335">
        <f>+Цени!L27</f>
        <v>0</v>
      </c>
      <c r="Y28" s="336">
        <f>Перник!G28</f>
        <v>0</v>
      </c>
      <c r="Z28" s="337">
        <f>'Борса и балансиране'!F28</f>
        <v>0</v>
      </c>
      <c r="AA28" s="333">
        <f>IF(AH28-SUM(G28:Z28,Плевен!K28,Плевен!L28,Бургас!H28,'Враца 1'!H28,'Враца 2'!H28)&gt;=0,AH28-SUM(G28:Z28,Плевен!K28,Плевен!L28,Бургас!H28,'Враца 1'!H28,'Враца 2'!H28),IF(AH28-SUM(G28:Z28,Плевен!K28,Плевен!L28,Бургас!H28,'Враца 1'!H28,'Враца 2'!H28)&lt;=0,0))</f>
        <v>0</v>
      </c>
      <c r="AB28" s="336">
        <f>IF(AH28-SUM(G28:Z28,Плевен!K28,Плевен!L28,Бургас!H28,'Враца 1'!H28,'Враца 2'!H28)&lt;=0,AH28-SUM(G28:Z28,Плевен!K28,Плевен!L28,Бургас!H28,'Враца 1'!H28,'Враца 2'!H28),IF(AH28-SUM(G28:Z28,Плевен!K28,Плевен!L28,Бургас!H28,'Враца 1'!H28,'Враца 2'!H28)&gt;=0,0))</f>
        <v>0</v>
      </c>
      <c r="AD28" s="342">
        <f>Цени!E27</f>
        <v>0</v>
      </c>
      <c r="AE28" s="342">
        <f>+Цени!C27+Цени!F27</f>
        <v>0</v>
      </c>
      <c r="AF28" s="342">
        <f>+Цени!D27</f>
        <v>0</v>
      </c>
      <c r="AG28" s="343">
        <f>'Борса и балансиране'!C28</f>
        <v>0</v>
      </c>
      <c r="AH28" s="344">
        <f t="shared" si="10"/>
        <v>0</v>
      </c>
      <c r="AJ28" s="345"/>
      <c r="AK28" s="346"/>
      <c r="AL28" s="347">
        <f>AJ28-AK28+Перник!T39</f>
        <v>0</v>
      </c>
      <c r="AM28" s="348">
        <f>+(Цени!$E$35-Цени!$M$1)*Цени!E27</f>
        <v>0</v>
      </c>
      <c r="AN28" s="349">
        <f t="shared" si="23"/>
        <v>0</v>
      </c>
      <c r="AP28" s="329">
        <f t="shared" si="24"/>
        <v>45407</v>
      </c>
      <c r="AQ28" s="353">
        <f t="shared" si="25"/>
        <v>58.84</v>
      </c>
      <c r="AR28" s="353">
        <f t="shared" si="11"/>
        <v>0</v>
      </c>
      <c r="AS28" s="332"/>
      <c r="AT28" s="353">
        <f t="shared" si="12"/>
        <v>0</v>
      </c>
      <c r="AV28" s="329">
        <f t="shared" si="26"/>
        <v>45407</v>
      </c>
      <c r="AW28" s="354"/>
      <c r="AX28" s="354"/>
      <c r="AY28" s="353">
        <f t="shared" si="32"/>
        <v>0</v>
      </c>
      <c r="BA28" s="329">
        <f t="shared" si="27"/>
        <v>45407</v>
      </c>
      <c r="BB28" s="355"/>
      <c r="BC28" s="353"/>
      <c r="BD28" s="353"/>
      <c r="BF28" s="329">
        <f t="shared" si="29"/>
        <v>45407</v>
      </c>
      <c r="BG28" s="401"/>
      <c r="BH28" s="401"/>
      <c r="BI28" s="401"/>
      <c r="BJ28" s="401"/>
      <c r="BK28" s="401"/>
      <c r="BL28" s="401"/>
      <c r="BM28" s="401"/>
      <c r="BN28" s="401"/>
      <c r="BO28" s="358">
        <f t="shared" si="49"/>
        <v>0</v>
      </c>
      <c r="BQ28" s="329">
        <f t="shared" si="30"/>
        <v>45407</v>
      </c>
      <c r="BR28" s="357">
        <f t="shared" si="14"/>
        <v>0</v>
      </c>
      <c r="BS28" s="357">
        <f t="shared" si="15"/>
        <v>0</v>
      </c>
      <c r="BT28" s="357">
        <f t="shared" si="16"/>
        <v>0</v>
      </c>
      <c r="BU28" s="357">
        <f t="shared" si="17"/>
        <v>0</v>
      </c>
      <c r="BV28" s="357">
        <f t="shared" si="18"/>
        <v>0</v>
      </c>
      <c r="BW28" s="357">
        <f t="shared" si="18"/>
        <v>0</v>
      </c>
      <c r="BX28" s="357">
        <f t="shared" si="19"/>
        <v>0</v>
      </c>
      <c r="BY28" s="357">
        <f t="shared" si="20"/>
        <v>0</v>
      </c>
      <c r="BZ28" s="358">
        <f t="shared" si="46"/>
        <v>0</v>
      </c>
      <c r="CB28" s="329">
        <f t="shared" si="31"/>
        <v>45407</v>
      </c>
      <c r="CC28" s="401"/>
      <c r="CD28" s="401"/>
      <c r="CE28" s="401"/>
      <c r="CF28" s="401"/>
      <c r="CG28" s="401"/>
      <c r="CH28" s="401"/>
      <c r="CI28" s="401"/>
      <c r="CJ28" s="401"/>
      <c r="CK28" s="358">
        <f t="shared" si="47"/>
        <v>0</v>
      </c>
    </row>
    <row r="29" spans="2:90" x14ac:dyDescent="0.25">
      <c r="B29" s="47">
        <f t="shared" si="22"/>
        <v>45408</v>
      </c>
      <c r="C29" s="333">
        <f>+Плевен!K29+Плевен!L29</f>
        <v>0</v>
      </c>
      <c r="D29" s="334">
        <f>Бургас!H29</f>
        <v>0</v>
      </c>
      <c r="E29" s="334">
        <f>'Враца 1'!H29</f>
        <v>0</v>
      </c>
      <c r="F29" s="334">
        <f>'Враца 2'!H29</f>
        <v>0</v>
      </c>
      <c r="G29" s="335">
        <f>Русе!G29</f>
        <v>0</v>
      </c>
      <c r="H29" s="335">
        <f>+'Русе Кемикълс'!E29</f>
        <v>0</v>
      </c>
      <c r="I29" s="335">
        <f>+'Нова пауър'!E29</f>
        <v>0</v>
      </c>
      <c r="J29" s="335">
        <f>+'Доминекс про'!E29</f>
        <v>0</v>
      </c>
      <c r="K29" s="335">
        <f>+Труд!E29</f>
        <v>0</v>
      </c>
      <c r="L29" s="335">
        <f>+'Велико Търново'!E29</f>
        <v>0</v>
      </c>
      <c r="M29" s="335">
        <f>+Берус!E29</f>
        <v>0</v>
      </c>
      <c r="N29" s="335">
        <f>+'Бултекс 1'!E29</f>
        <v>0</v>
      </c>
      <c r="O29" s="335">
        <f>+Алуком!E29</f>
        <v>0</v>
      </c>
      <c r="P29" s="335">
        <f>+Илинден!E29</f>
        <v>0</v>
      </c>
      <c r="Q29" s="335">
        <f>+'Ваптех АМ'!E29</f>
        <v>0</v>
      </c>
      <c r="R29" s="335">
        <f>+РВД!E29</f>
        <v>0</v>
      </c>
      <c r="S29" s="335">
        <f>+'Тенекс С'!E29</f>
        <v>0</v>
      </c>
      <c r="T29" s="335">
        <f>+Декотекс!E29</f>
        <v>0</v>
      </c>
      <c r="U29" s="335">
        <f>+ДХТ!D29</f>
        <v>0</v>
      </c>
      <c r="V29" s="335">
        <f>+ДХТ!I29</f>
        <v>0</v>
      </c>
      <c r="W29" s="335">
        <f>+ЕМИ!D29</f>
        <v>0</v>
      </c>
      <c r="X29" s="335">
        <f>+Цени!L28</f>
        <v>0</v>
      </c>
      <c r="Y29" s="336">
        <f>Перник!G29</f>
        <v>0</v>
      </c>
      <c r="Z29" s="337">
        <f>'Борса и балансиране'!F29</f>
        <v>0</v>
      </c>
      <c r="AA29" s="333">
        <f>IF(AH29-SUM(G29:Z29,Плевен!K29,Плевен!L29,Бургас!H29,'Враца 1'!H29,'Враца 2'!H29)&gt;=0,AH29-SUM(G29:Z29,Плевен!K29,Плевен!L29,Бургас!H29,'Враца 1'!H29,'Враца 2'!H29),IF(AH29-SUM(G29:Z29,Плевен!K29,Плевен!L29,Бургас!H29,'Враца 1'!H29,'Враца 2'!H29)&lt;=0,0))</f>
        <v>0</v>
      </c>
      <c r="AB29" s="336">
        <f>IF(AH29-SUM(G29:Z29,Плевен!K29,Плевен!L29,Бургас!H29,'Враца 1'!H29,'Враца 2'!H29)&lt;=0,AH29-SUM(G29:Z29,Плевен!K29,Плевен!L29,Бургас!H29,'Враца 1'!H29,'Враца 2'!H29),IF(AH29-SUM(G29:Z29,Плевен!K29,Плевен!L29,Бургас!H29,'Враца 1'!H29,'Враца 2'!H29)&gt;=0,0))</f>
        <v>0</v>
      </c>
      <c r="AD29" s="342">
        <f>Цени!E28</f>
        <v>0</v>
      </c>
      <c r="AE29" s="342">
        <f>+Цени!C28+Цени!F28</f>
        <v>0</v>
      </c>
      <c r="AF29" s="342">
        <f>+Цени!D28</f>
        <v>0</v>
      </c>
      <c r="AG29" s="343">
        <f>'Борса и балансиране'!C29</f>
        <v>0</v>
      </c>
      <c r="AH29" s="344">
        <f t="shared" si="10"/>
        <v>0</v>
      </c>
      <c r="AJ29" s="345"/>
      <c r="AK29" s="346"/>
      <c r="AL29" s="347">
        <f>AJ29-AK29+Перник!T40</f>
        <v>0</v>
      </c>
      <c r="AM29" s="348">
        <f>+(Цени!$E$35-Цени!$M$1)*Цени!E28</f>
        <v>0</v>
      </c>
      <c r="AN29" s="349">
        <f t="shared" si="23"/>
        <v>0</v>
      </c>
      <c r="AP29" s="329">
        <f t="shared" si="24"/>
        <v>45408</v>
      </c>
      <c r="AQ29" s="353">
        <f t="shared" si="25"/>
        <v>58.84</v>
      </c>
      <c r="AR29" s="353">
        <f t="shared" si="11"/>
        <v>0</v>
      </c>
      <c r="AS29" s="332"/>
      <c r="AT29" s="353">
        <f t="shared" si="12"/>
        <v>0</v>
      </c>
      <c r="AV29" s="329">
        <f t="shared" si="26"/>
        <v>45408</v>
      </c>
      <c r="AW29" s="354"/>
      <c r="AX29" s="354"/>
      <c r="AY29" s="353">
        <f t="shared" si="32"/>
        <v>0</v>
      </c>
      <c r="BA29" s="329">
        <f t="shared" si="27"/>
        <v>45408</v>
      </c>
      <c r="BB29" s="355"/>
      <c r="BC29" s="353"/>
      <c r="BD29" s="353"/>
      <c r="BF29" s="329">
        <f t="shared" si="29"/>
        <v>45408</v>
      </c>
      <c r="BG29" s="401"/>
      <c r="BH29" s="401"/>
      <c r="BI29" s="401"/>
      <c r="BJ29" s="401"/>
      <c r="BK29" s="401"/>
      <c r="BL29" s="401"/>
      <c r="BM29" s="401"/>
      <c r="BN29" s="401"/>
      <c r="BO29" s="358">
        <f>SUM(BG29:BN29)</f>
        <v>0</v>
      </c>
      <c r="BQ29" s="329">
        <f t="shared" si="30"/>
        <v>45408</v>
      </c>
      <c r="BR29" s="357">
        <f t="shared" si="14"/>
        <v>0</v>
      </c>
      <c r="BS29" s="357">
        <f t="shared" si="15"/>
        <v>0</v>
      </c>
      <c r="BT29" s="357">
        <f t="shared" si="16"/>
        <v>0</v>
      </c>
      <c r="BU29" s="357">
        <f t="shared" si="17"/>
        <v>0</v>
      </c>
      <c r="BV29" s="357">
        <f t="shared" si="18"/>
        <v>0</v>
      </c>
      <c r="BW29" s="357">
        <f t="shared" si="18"/>
        <v>0</v>
      </c>
      <c r="BX29" s="357">
        <f t="shared" si="19"/>
        <v>0</v>
      </c>
      <c r="BY29" s="357">
        <f t="shared" si="20"/>
        <v>0</v>
      </c>
      <c r="BZ29" s="358">
        <f t="shared" si="46"/>
        <v>0</v>
      </c>
      <c r="CB29" s="329">
        <f t="shared" si="31"/>
        <v>45408</v>
      </c>
      <c r="CC29" s="401"/>
      <c r="CD29" s="401"/>
      <c r="CE29" s="401"/>
      <c r="CF29" s="401"/>
      <c r="CG29" s="401"/>
      <c r="CH29" s="401"/>
      <c r="CI29" s="401"/>
      <c r="CJ29" s="401"/>
      <c r="CK29" s="358">
        <f>SUM(CC29:CJ29)</f>
        <v>0</v>
      </c>
    </row>
    <row r="30" spans="2:90" x14ac:dyDescent="0.25">
      <c r="B30" s="47">
        <f t="shared" si="22"/>
        <v>45409</v>
      </c>
      <c r="C30" s="333">
        <f>+Плевен!K30+Плевен!L30</f>
        <v>0</v>
      </c>
      <c r="D30" s="334">
        <f>Бургас!H30</f>
        <v>0</v>
      </c>
      <c r="E30" s="334">
        <f>'Враца 1'!H30</f>
        <v>0</v>
      </c>
      <c r="F30" s="334">
        <f>'Враца 2'!H30</f>
        <v>0</v>
      </c>
      <c r="G30" s="335">
        <f>Русе!G30</f>
        <v>0</v>
      </c>
      <c r="H30" s="335">
        <f>+'Русе Кемикълс'!E30</f>
        <v>0</v>
      </c>
      <c r="I30" s="335">
        <f>+'Нова пауър'!E30</f>
        <v>0</v>
      </c>
      <c r="J30" s="335">
        <f>+'Доминекс про'!E30</f>
        <v>0</v>
      </c>
      <c r="K30" s="335">
        <f>+Труд!E30</f>
        <v>0</v>
      </c>
      <c r="L30" s="335">
        <f>+'Велико Търново'!E30</f>
        <v>0</v>
      </c>
      <c r="M30" s="335">
        <f>+Берус!E30</f>
        <v>0</v>
      </c>
      <c r="N30" s="335">
        <f>+'Бултекс 1'!E30</f>
        <v>0</v>
      </c>
      <c r="O30" s="335">
        <f>+Алуком!E30</f>
        <v>0</v>
      </c>
      <c r="P30" s="335">
        <f>+Илинден!E30</f>
        <v>0</v>
      </c>
      <c r="Q30" s="335">
        <f>+'Ваптех АМ'!E30</f>
        <v>0</v>
      </c>
      <c r="R30" s="335">
        <f>+РВД!E30</f>
        <v>0</v>
      </c>
      <c r="S30" s="335">
        <f>+'Тенекс С'!E30</f>
        <v>0</v>
      </c>
      <c r="T30" s="335">
        <f>+Декотекс!E30</f>
        <v>0</v>
      </c>
      <c r="U30" s="335">
        <f>+ДХТ!D30</f>
        <v>0</v>
      </c>
      <c r="V30" s="335">
        <f>+ДХТ!I30</f>
        <v>0</v>
      </c>
      <c r="W30" s="335">
        <f>+ЕМИ!D30</f>
        <v>0</v>
      </c>
      <c r="X30" s="335">
        <f>+Цени!L29</f>
        <v>0</v>
      </c>
      <c r="Y30" s="336">
        <f>Перник!G30</f>
        <v>0</v>
      </c>
      <c r="Z30" s="337">
        <f>'Борса и балансиране'!F30</f>
        <v>0</v>
      </c>
      <c r="AA30" s="333">
        <f>IF(AH30-SUM(G30:Z30,Плевен!K30,Плевен!L30,Бургас!H30,'Враца 1'!H30,'Враца 2'!H30)&gt;=0,AH30-SUM(G30:Z30,Плевен!K30,Плевен!L30,Бургас!H30,'Враца 1'!H30,'Враца 2'!H30),IF(AH30-SUM(G30:Z30,Плевен!K30,Плевен!L30,Бургас!H30,'Враца 1'!H30,'Враца 2'!H30)&lt;=0,0))</f>
        <v>0</v>
      </c>
      <c r="AB30" s="336">
        <f>IF(AH30-SUM(G30:Z30,Плевен!K30,Плевен!L30,Бургас!H30,'Враца 1'!H30,'Враца 2'!H30)&lt;=0,AH30-SUM(G30:Z30,Плевен!K30,Плевен!L30,Бургас!H30,'Враца 1'!H30,'Враца 2'!H30),IF(AH30-SUM(G30:Z30,Плевен!K30,Плевен!L30,Бургас!H30,'Враца 1'!H30,'Враца 2'!H30)&gt;=0,0))</f>
        <v>0</v>
      </c>
      <c r="AD30" s="342">
        <f>Цени!E29</f>
        <v>0</v>
      </c>
      <c r="AE30" s="342">
        <f>+Цени!C29+Цени!F29</f>
        <v>0</v>
      </c>
      <c r="AF30" s="342">
        <f>+Цени!D29</f>
        <v>0</v>
      </c>
      <c r="AG30" s="343">
        <f>'Борса и балансиране'!C30</f>
        <v>0</v>
      </c>
      <c r="AH30" s="344">
        <f t="shared" si="10"/>
        <v>0</v>
      </c>
      <c r="AJ30" s="345"/>
      <c r="AK30" s="346"/>
      <c r="AL30" s="347">
        <f>AJ30-AK30+Перник!T41</f>
        <v>0</v>
      </c>
      <c r="AM30" s="348">
        <f>+(Цени!$E$35-Цени!$M$1)*Цени!E29</f>
        <v>0</v>
      </c>
      <c r="AN30" s="349">
        <f t="shared" si="23"/>
        <v>0</v>
      </c>
      <c r="AO30" s="4"/>
      <c r="AP30" s="329">
        <f t="shared" si="24"/>
        <v>45409</v>
      </c>
      <c r="AQ30" s="353">
        <f t="shared" si="25"/>
        <v>58.84</v>
      </c>
      <c r="AR30" s="353">
        <f t="shared" si="11"/>
        <v>0</v>
      </c>
      <c r="AS30" s="332"/>
      <c r="AT30" s="353">
        <f t="shared" si="12"/>
        <v>0</v>
      </c>
      <c r="AV30" s="329">
        <f t="shared" si="26"/>
        <v>45409</v>
      </c>
      <c r="AW30" s="354"/>
      <c r="AX30" s="354"/>
      <c r="AY30" s="353">
        <f t="shared" si="32"/>
        <v>0</v>
      </c>
      <c r="BA30" s="329">
        <f t="shared" si="27"/>
        <v>45409</v>
      </c>
      <c r="BB30" s="355"/>
      <c r="BC30" s="353"/>
      <c r="BD30" s="353"/>
      <c r="BF30" s="329">
        <f t="shared" si="29"/>
        <v>45409</v>
      </c>
      <c r="BG30" s="401"/>
      <c r="BH30" s="401"/>
      <c r="BI30" s="401"/>
      <c r="BJ30" s="401"/>
      <c r="BK30" s="401"/>
      <c r="BL30" s="401"/>
      <c r="BM30" s="401"/>
      <c r="BN30" s="401"/>
      <c r="BO30" s="358">
        <f t="shared" si="49"/>
        <v>0</v>
      </c>
      <c r="BQ30" s="329">
        <f t="shared" si="30"/>
        <v>45409</v>
      </c>
      <c r="BR30" s="357">
        <f t="shared" si="14"/>
        <v>0</v>
      </c>
      <c r="BS30" s="357">
        <f t="shared" si="15"/>
        <v>0</v>
      </c>
      <c r="BT30" s="357">
        <f t="shared" si="16"/>
        <v>0</v>
      </c>
      <c r="BU30" s="357">
        <f t="shared" si="17"/>
        <v>0</v>
      </c>
      <c r="BV30" s="357">
        <f t="shared" si="18"/>
        <v>0</v>
      </c>
      <c r="BW30" s="357">
        <f t="shared" si="18"/>
        <v>0</v>
      </c>
      <c r="BX30" s="357">
        <f t="shared" si="19"/>
        <v>0</v>
      </c>
      <c r="BY30" s="357">
        <f t="shared" si="20"/>
        <v>0</v>
      </c>
      <c r="BZ30" s="358">
        <f t="shared" si="46"/>
        <v>0</v>
      </c>
      <c r="CB30" s="329">
        <f t="shared" si="31"/>
        <v>45409</v>
      </c>
      <c r="CC30" s="401"/>
      <c r="CD30" s="401"/>
      <c r="CE30" s="401"/>
      <c r="CF30" s="401"/>
      <c r="CG30" s="401"/>
      <c r="CH30" s="401"/>
      <c r="CI30" s="401"/>
      <c r="CJ30" s="401"/>
      <c r="CK30" s="358">
        <f t="shared" si="47"/>
        <v>0</v>
      </c>
    </row>
    <row r="31" spans="2:90" x14ac:dyDescent="0.25">
      <c r="B31" s="47">
        <f t="shared" si="22"/>
        <v>45410</v>
      </c>
      <c r="C31" s="333">
        <f>+Плевен!K31+Плевен!L31</f>
        <v>0</v>
      </c>
      <c r="D31" s="334">
        <f>Бургас!H31</f>
        <v>0</v>
      </c>
      <c r="E31" s="334">
        <f>'Враца 1'!H31</f>
        <v>0</v>
      </c>
      <c r="F31" s="334">
        <f>'Враца 2'!H31</f>
        <v>0</v>
      </c>
      <c r="G31" s="335">
        <f>Русе!G31</f>
        <v>0</v>
      </c>
      <c r="H31" s="335">
        <f>+'Русе Кемикълс'!E31</f>
        <v>0</v>
      </c>
      <c r="I31" s="335">
        <f>+'Нова пауър'!E31</f>
        <v>0</v>
      </c>
      <c r="J31" s="335">
        <f>+'Доминекс про'!E31</f>
        <v>0</v>
      </c>
      <c r="K31" s="335">
        <f>+Труд!E31</f>
        <v>0</v>
      </c>
      <c r="L31" s="335">
        <f>+'Велико Търново'!E31</f>
        <v>0</v>
      </c>
      <c r="M31" s="335">
        <f>+Берус!E31</f>
        <v>0</v>
      </c>
      <c r="N31" s="335">
        <f>+'Бултекс 1'!E31</f>
        <v>0</v>
      </c>
      <c r="O31" s="335">
        <f>+Алуком!E31</f>
        <v>0</v>
      </c>
      <c r="P31" s="335">
        <f>+Илинден!E31</f>
        <v>0</v>
      </c>
      <c r="Q31" s="335">
        <f>+'Ваптех АМ'!E31</f>
        <v>0</v>
      </c>
      <c r="R31" s="335">
        <f>+РВД!E31</f>
        <v>0</v>
      </c>
      <c r="S31" s="335">
        <f>+'Тенекс С'!E31</f>
        <v>0</v>
      </c>
      <c r="T31" s="335">
        <f>+Декотекс!E31</f>
        <v>0</v>
      </c>
      <c r="U31" s="335">
        <f>+ДХТ!D31</f>
        <v>0</v>
      </c>
      <c r="V31" s="335">
        <f>+ДХТ!I31</f>
        <v>0</v>
      </c>
      <c r="W31" s="335">
        <f>+ЕМИ!D31</f>
        <v>0</v>
      </c>
      <c r="X31" s="335">
        <f>+Цени!L30</f>
        <v>0</v>
      </c>
      <c r="Y31" s="336">
        <f>Перник!G31</f>
        <v>0</v>
      </c>
      <c r="Z31" s="337">
        <f>'Борса и балансиране'!F31</f>
        <v>0</v>
      </c>
      <c r="AA31" s="333">
        <f>IF(AH31-SUM(G31:Z31,Плевен!K31,Плевен!L31,Бургас!H31,'Враца 1'!H31,'Враца 2'!H31)&gt;=0,AH31-SUM(G31:Z31,Плевен!K31,Плевен!L31,Бургас!H31,'Враца 1'!H31,'Враца 2'!H31),IF(AH31-SUM(G31:Z31,Плевен!K31,Плевен!L31,Бургас!H31,'Враца 1'!H31,'Враца 2'!H31)&lt;=0,0))</f>
        <v>0</v>
      </c>
      <c r="AB31" s="336">
        <f>IF(AH31-SUM(G31:Z31,Плевен!K31,Плевен!L31,Бургас!H31,'Враца 1'!H31,'Враца 2'!H31)&lt;=0,AH31-SUM(G31:Z31,Плевен!K31,Плевен!L31,Бургас!H31,'Враца 1'!H31,'Враца 2'!H31),IF(AH31-SUM(G31:Z31,Плевен!K31,Плевен!L31,Бургас!H31,'Враца 1'!H31,'Враца 2'!H31)&gt;=0,0))</f>
        <v>0</v>
      </c>
      <c r="AD31" s="342">
        <f>Цени!E30</f>
        <v>0</v>
      </c>
      <c r="AE31" s="342">
        <f>+Цени!C30+Цени!F30</f>
        <v>0</v>
      </c>
      <c r="AF31" s="342">
        <f>+Цени!D30</f>
        <v>0</v>
      </c>
      <c r="AG31" s="343">
        <f>'Борса и балансиране'!C31</f>
        <v>0</v>
      </c>
      <c r="AH31" s="344">
        <f t="shared" si="10"/>
        <v>0</v>
      </c>
      <c r="AJ31" s="345"/>
      <c r="AK31" s="346"/>
      <c r="AL31" s="347">
        <f>AJ31-AK31+Перник!T42</f>
        <v>0</v>
      </c>
      <c r="AM31" s="348">
        <f>+(Цени!$E$35-Цени!$M$1)*Цени!E30</f>
        <v>0</v>
      </c>
      <c r="AN31" s="349">
        <f t="shared" ref="AN31:AN32" si="50">AL31++AM31</f>
        <v>0</v>
      </c>
      <c r="AO31" s="4"/>
      <c r="AP31" s="329">
        <f t="shared" si="24"/>
        <v>45410</v>
      </c>
      <c r="AQ31" s="353">
        <f t="shared" si="25"/>
        <v>58.84</v>
      </c>
      <c r="AR31" s="353">
        <f t="shared" si="11"/>
        <v>0</v>
      </c>
      <c r="AS31" s="332"/>
      <c r="AT31" s="353">
        <f t="shared" ref="AT31:AT32" si="51">+AR31-AS31</f>
        <v>0</v>
      </c>
      <c r="AV31" s="329">
        <f t="shared" si="26"/>
        <v>45410</v>
      </c>
      <c r="AW31" s="354"/>
      <c r="AX31" s="354"/>
      <c r="AY31" s="353">
        <f t="shared" ref="AY31:AY32" si="52">+AX31-AW31</f>
        <v>0</v>
      </c>
      <c r="BA31" s="329">
        <f t="shared" si="27"/>
        <v>45410</v>
      </c>
      <c r="BB31" s="355"/>
      <c r="BC31" s="353"/>
      <c r="BD31" s="353"/>
      <c r="BF31" s="329">
        <f t="shared" si="29"/>
        <v>45410</v>
      </c>
      <c r="BG31" s="401"/>
      <c r="BH31" s="401"/>
      <c r="BI31" s="401"/>
      <c r="BJ31" s="401"/>
      <c r="BK31" s="401"/>
      <c r="BL31" s="401"/>
      <c r="BM31" s="401"/>
      <c r="BN31" s="401"/>
      <c r="BO31" s="358">
        <f t="shared" ref="BO31:BO32" si="53">SUM(BG31:BN31)</f>
        <v>0</v>
      </c>
      <c r="BQ31" s="329">
        <f t="shared" si="30"/>
        <v>45410</v>
      </c>
      <c r="BR31" s="357">
        <f t="shared" si="14"/>
        <v>0</v>
      </c>
      <c r="BS31" s="357">
        <f t="shared" si="15"/>
        <v>0</v>
      </c>
      <c r="BT31" s="357">
        <f t="shared" si="16"/>
        <v>0</v>
      </c>
      <c r="BU31" s="357">
        <f t="shared" si="17"/>
        <v>0</v>
      </c>
      <c r="BV31" s="357">
        <f t="shared" si="18"/>
        <v>0</v>
      </c>
      <c r="BW31" s="357">
        <f t="shared" si="18"/>
        <v>0</v>
      </c>
      <c r="BX31" s="357">
        <f t="shared" si="19"/>
        <v>0</v>
      </c>
      <c r="BY31" s="357">
        <f t="shared" si="20"/>
        <v>0</v>
      </c>
      <c r="BZ31" s="358">
        <f t="shared" ref="BZ31:BZ32" si="54">SUM(BR31:BY31)</f>
        <v>0</v>
      </c>
      <c r="CB31" s="329">
        <f t="shared" si="31"/>
        <v>45410</v>
      </c>
      <c r="CC31" s="401"/>
      <c r="CD31" s="401"/>
      <c r="CE31" s="401"/>
      <c r="CF31" s="401"/>
      <c r="CG31" s="401"/>
      <c r="CH31" s="401"/>
      <c r="CI31" s="401"/>
      <c r="CJ31" s="401"/>
      <c r="CK31" s="358">
        <f t="shared" ref="CK31:CK32" si="55">SUM(CC31:CJ31)</f>
        <v>0</v>
      </c>
    </row>
    <row r="32" spans="2:90" x14ac:dyDescent="0.25">
      <c r="B32" s="47">
        <f t="shared" si="22"/>
        <v>45411</v>
      </c>
      <c r="C32" s="333">
        <f>+Плевен!K32+Плевен!L32</f>
        <v>0</v>
      </c>
      <c r="D32" s="334">
        <f>Бургас!H32</f>
        <v>0</v>
      </c>
      <c r="E32" s="334">
        <f>'Враца 1'!H32</f>
        <v>0</v>
      </c>
      <c r="F32" s="334">
        <f>'Враца 2'!H32</f>
        <v>0</v>
      </c>
      <c r="G32" s="335">
        <f>Русе!G32</f>
        <v>0</v>
      </c>
      <c r="H32" s="335">
        <f>+'Русе Кемикълс'!E32</f>
        <v>0</v>
      </c>
      <c r="I32" s="335">
        <f>+'Нова пауър'!E32</f>
        <v>0</v>
      </c>
      <c r="J32" s="335">
        <f>+'Доминекс про'!E32</f>
        <v>0</v>
      </c>
      <c r="K32" s="335">
        <f>+Труд!E32</f>
        <v>0</v>
      </c>
      <c r="L32" s="335">
        <f>+'Велико Търново'!E32</f>
        <v>0</v>
      </c>
      <c r="M32" s="335">
        <f>+Берус!E32</f>
        <v>0</v>
      </c>
      <c r="N32" s="335">
        <f>+'Бултекс 1'!E32</f>
        <v>0</v>
      </c>
      <c r="O32" s="335">
        <f>+Алуком!E32</f>
        <v>0</v>
      </c>
      <c r="P32" s="335">
        <f>+Илинден!E32</f>
        <v>0</v>
      </c>
      <c r="Q32" s="335">
        <f>+'Ваптех АМ'!E32</f>
        <v>0</v>
      </c>
      <c r="R32" s="335">
        <f>+РВД!E32</f>
        <v>0</v>
      </c>
      <c r="S32" s="335">
        <f>+'Тенекс С'!E32</f>
        <v>0</v>
      </c>
      <c r="T32" s="335">
        <f>+Декотекс!E32</f>
        <v>0</v>
      </c>
      <c r="U32" s="335">
        <f>+ДХТ!D32</f>
        <v>0</v>
      </c>
      <c r="V32" s="335">
        <f>+ДХТ!I32</f>
        <v>0</v>
      </c>
      <c r="W32" s="335">
        <f>+ЕМИ!D32</f>
        <v>0</v>
      </c>
      <c r="X32" s="335">
        <f>+Цени!L31</f>
        <v>0</v>
      </c>
      <c r="Y32" s="336">
        <f>Перник!G32</f>
        <v>0</v>
      </c>
      <c r="Z32" s="337">
        <f>'Борса и балансиране'!F32</f>
        <v>0</v>
      </c>
      <c r="AA32" s="333">
        <f>IF(AH32-SUM(G32:Z32,Плевен!K32,Плевен!L32,Бургас!H32,'Враца 1'!H32,'Враца 2'!H32)&gt;=0,AH32-SUM(G32:Z32,Плевен!K32,Плевен!L32,Бургас!H32,'Враца 1'!H32,'Враца 2'!H32),IF(AH32-SUM(G32:Z32,Плевен!K32,Плевен!L32,Бургас!H32,'Враца 1'!H32,'Враца 2'!H32)&lt;=0,0))</f>
        <v>0</v>
      </c>
      <c r="AB32" s="336">
        <f>IF(AH32-SUM(G32:Z32,Плевен!K32,Плевен!L32,Бургас!H32,'Враца 1'!H32,'Враца 2'!H32)&lt;=0,AH32-SUM(G32:Z32,Плевен!K32,Плевен!L32,Бургас!H32,'Враца 1'!H32,'Враца 2'!H32),IF(AH32-SUM(G32:Z32,Плевен!K32,Плевен!L32,Бургас!H32,'Враца 1'!H32,'Враца 2'!H32)&gt;=0,0))</f>
        <v>0</v>
      </c>
      <c r="AD32" s="342">
        <f>Цени!E31</f>
        <v>0</v>
      </c>
      <c r="AE32" s="342">
        <f>+Цени!C31+Цени!F31</f>
        <v>0</v>
      </c>
      <c r="AF32" s="342">
        <f>+Цени!D31</f>
        <v>0</v>
      </c>
      <c r="AG32" s="343">
        <f>'Борса и балансиране'!C32</f>
        <v>0</v>
      </c>
      <c r="AH32" s="344">
        <f t="shared" si="10"/>
        <v>0</v>
      </c>
      <c r="AJ32" s="345"/>
      <c r="AK32" s="346"/>
      <c r="AL32" s="347">
        <f>AJ32-AK32+Перник!T43</f>
        <v>0</v>
      </c>
      <c r="AM32" s="348">
        <f>+(Цени!$E$35-Цени!$M$1)*Цени!E31</f>
        <v>0</v>
      </c>
      <c r="AN32" s="349">
        <f t="shared" si="50"/>
        <v>0</v>
      </c>
      <c r="AO32" s="4"/>
      <c r="AP32" s="329">
        <f t="shared" si="24"/>
        <v>45411</v>
      </c>
      <c r="AQ32" s="353">
        <f t="shared" si="25"/>
        <v>58.84</v>
      </c>
      <c r="AR32" s="353">
        <f t="shared" si="11"/>
        <v>0</v>
      </c>
      <c r="AS32" s="332"/>
      <c r="AT32" s="353">
        <f t="shared" si="51"/>
        <v>0</v>
      </c>
      <c r="AV32" s="329">
        <f t="shared" si="26"/>
        <v>45411</v>
      </c>
      <c r="AW32" s="354"/>
      <c r="AX32" s="354"/>
      <c r="AY32" s="353">
        <f t="shared" si="52"/>
        <v>0</v>
      </c>
      <c r="BA32" s="329">
        <f t="shared" si="27"/>
        <v>45411</v>
      </c>
      <c r="BB32" s="355"/>
      <c r="BC32" s="353"/>
      <c r="BD32" s="353"/>
      <c r="BF32" s="329">
        <f t="shared" si="29"/>
        <v>45411</v>
      </c>
      <c r="BG32" s="401"/>
      <c r="BH32" s="401"/>
      <c r="BI32" s="401"/>
      <c r="BJ32" s="401"/>
      <c r="BK32" s="401"/>
      <c r="BL32" s="401"/>
      <c r="BM32" s="401"/>
      <c r="BN32" s="401"/>
      <c r="BO32" s="358">
        <f t="shared" si="53"/>
        <v>0</v>
      </c>
      <c r="BQ32" s="329">
        <f t="shared" si="30"/>
        <v>45411</v>
      </c>
      <c r="BR32" s="357">
        <f t="shared" si="14"/>
        <v>0</v>
      </c>
      <c r="BS32" s="357">
        <f t="shared" si="15"/>
        <v>0</v>
      </c>
      <c r="BT32" s="357">
        <f t="shared" si="16"/>
        <v>0</v>
      </c>
      <c r="BU32" s="357">
        <f t="shared" si="17"/>
        <v>0</v>
      </c>
      <c r="BV32" s="357">
        <f t="shared" si="18"/>
        <v>0</v>
      </c>
      <c r="BW32" s="357">
        <f t="shared" si="18"/>
        <v>0</v>
      </c>
      <c r="BX32" s="357">
        <f t="shared" si="19"/>
        <v>0</v>
      </c>
      <c r="BY32" s="357">
        <f t="shared" si="20"/>
        <v>0</v>
      </c>
      <c r="BZ32" s="358">
        <f t="shared" si="54"/>
        <v>0</v>
      </c>
      <c r="CB32" s="329">
        <f t="shared" si="31"/>
        <v>45411</v>
      </c>
      <c r="CC32" s="401"/>
      <c r="CD32" s="401"/>
      <c r="CE32" s="401"/>
      <c r="CF32" s="401"/>
      <c r="CG32" s="401"/>
      <c r="CH32" s="401"/>
      <c r="CI32" s="401"/>
      <c r="CJ32" s="401"/>
      <c r="CK32" s="358">
        <f t="shared" si="55"/>
        <v>0</v>
      </c>
    </row>
    <row r="33" spans="1:89" ht="15.75" thickBot="1" x14ac:dyDescent="0.3">
      <c r="B33" s="47">
        <f t="shared" si="22"/>
        <v>45412</v>
      </c>
      <c r="C33" s="333">
        <f>+Плевен!K33+Плевен!L33</f>
        <v>0</v>
      </c>
      <c r="D33" s="334">
        <f>Бургас!H33</f>
        <v>0</v>
      </c>
      <c r="E33" s="334">
        <f>'Враца 1'!H33</f>
        <v>0</v>
      </c>
      <c r="F33" s="334">
        <f>'Враца 2'!H33</f>
        <v>0</v>
      </c>
      <c r="G33" s="335">
        <f>Русе!G33</f>
        <v>0</v>
      </c>
      <c r="H33" s="335">
        <f>+'Русе Кемикълс'!E33</f>
        <v>0</v>
      </c>
      <c r="I33" s="335">
        <f>+'Нова пауър'!E33</f>
        <v>0</v>
      </c>
      <c r="J33" s="335">
        <f>+'Доминекс про'!E33</f>
        <v>0</v>
      </c>
      <c r="K33" s="335">
        <f>+Труд!E33</f>
        <v>0</v>
      </c>
      <c r="L33" s="335">
        <f>+'Велико Търново'!E33</f>
        <v>0</v>
      </c>
      <c r="M33" s="335">
        <f>+Берус!E33</f>
        <v>0</v>
      </c>
      <c r="N33" s="335">
        <f>+'Бултекс 1'!E33</f>
        <v>0</v>
      </c>
      <c r="O33" s="335">
        <f>+Алуком!E33</f>
        <v>0</v>
      </c>
      <c r="P33" s="335">
        <f>+Илинден!E33</f>
        <v>0</v>
      </c>
      <c r="Q33" s="335">
        <f>+'Ваптех АМ'!E33</f>
        <v>0</v>
      </c>
      <c r="R33" s="335">
        <f>+РВД!E33</f>
        <v>0</v>
      </c>
      <c r="S33" s="335">
        <f>+'Тенекс С'!E33</f>
        <v>0</v>
      </c>
      <c r="T33" s="335">
        <f>+Декотекс!E33</f>
        <v>0</v>
      </c>
      <c r="U33" s="335">
        <f>+ДХТ!D33</f>
        <v>0</v>
      </c>
      <c r="V33" s="335">
        <f>+ДХТ!I33</f>
        <v>0</v>
      </c>
      <c r="W33" s="335">
        <f>+ЕМИ!D33</f>
        <v>0</v>
      </c>
      <c r="X33" s="335">
        <f>+Цени!L32</f>
        <v>0</v>
      </c>
      <c r="Y33" s="336">
        <f>Перник!G33</f>
        <v>0</v>
      </c>
      <c r="Z33" s="337">
        <f>'Борса и балансиране'!F33</f>
        <v>0</v>
      </c>
      <c r="AA33" s="333">
        <f>IF(AH33-SUM(G33:Z33,Плевен!K33,Плевен!L33,Бургас!H33,'Враца 1'!H33,'Враца 2'!H33)&gt;=0,AH33-SUM(G33:Z33,Плевен!K33,Плевен!L33,Бургас!H33,'Враца 1'!H33,'Враца 2'!H33),IF(AH33-SUM(G33:Z33,Плевен!K33,Плевен!L33,Бургас!H33,'Враца 1'!H33,'Враца 2'!H33)&lt;=0,0))</f>
        <v>0</v>
      </c>
      <c r="AB33" s="336">
        <f>IF(AH33-SUM(G33:Z33,Плевен!K33,Плевен!L33,Бургас!H33,'Враца 1'!H33,'Враца 2'!H33)&lt;=0,AH33-SUM(G33:Z33,Плевен!K33,Плевен!L33,Бургас!H33,'Враца 1'!H33,'Враца 2'!H33),IF(AH33-SUM(G33:Z33,Плевен!K33,Плевен!L33,Бургас!H33,'Враца 1'!H33,'Враца 2'!H33)&gt;=0,0))</f>
        <v>0</v>
      </c>
      <c r="AD33" s="342">
        <f>Цени!E32</f>
        <v>0</v>
      </c>
      <c r="AE33" s="342">
        <f>+Цени!C32+Цени!F32</f>
        <v>0</v>
      </c>
      <c r="AF33" s="342">
        <f>+Цени!D32</f>
        <v>0</v>
      </c>
      <c r="AG33" s="343">
        <f>'Борса и балансиране'!C33</f>
        <v>0</v>
      </c>
      <c r="AH33" s="344">
        <f t="shared" si="10"/>
        <v>0</v>
      </c>
      <c r="AJ33" s="345"/>
      <c r="AK33" s="346"/>
      <c r="AL33" s="347">
        <f>AJ33-AK33+Перник!T44</f>
        <v>0</v>
      </c>
      <c r="AM33" s="348">
        <f>+(Цени!$E$35-Цени!$M$1)*Цени!E32</f>
        <v>0</v>
      </c>
      <c r="AN33" s="349">
        <f t="shared" si="23"/>
        <v>0</v>
      </c>
      <c r="AO33" s="4"/>
      <c r="AP33" s="329">
        <f>+AP30+1</f>
        <v>45410</v>
      </c>
      <c r="AQ33" s="353">
        <f>+AQ30</f>
        <v>58.84</v>
      </c>
      <c r="AR33" s="353">
        <f t="shared" si="11"/>
        <v>0</v>
      </c>
      <c r="AS33" s="332"/>
      <c r="AT33" s="353">
        <f t="shared" si="12"/>
        <v>0</v>
      </c>
      <c r="AV33" s="329">
        <f>+AV30+1</f>
        <v>45410</v>
      </c>
      <c r="AW33" s="354"/>
      <c r="AX33" s="354"/>
      <c r="AY33" s="353">
        <f t="shared" si="32"/>
        <v>0</v>
      </c>
      <c r="BA33" s="329">
        <f>+BA30+1</f>
        <v>45410</v>
      </c>
      <c r="BB33" s="355"/>
      <c r="BC33" s="353"/>
      <c r="BD33" s="353"/>
      <c r="BF33" s="329">
        <f>+BF30+1</f>
        <v>45410</v>
      </c>
      <c r="BG33" s="401"/>
      <c r="BH33" s="401"/>
      <c r="BI33" s="401"/>
      <c r="BJ33" s="401"/>
      <c r="BK33" s="401"/>
      <c r="BL33" s="401"/>
      <c r="BM33" s="401"/>
      <c r="BN33" s="401"/>
      <c r="BO33" s="358">
        <f t="shared" si="49"/>
        <v>0</v>
      </c>
      <c r="BQ33" s="329">
        <f>+BQ30+1</f>
        <v>45410</v>
      </c>
      <c r="BR33" s="357">
        <f t="shared" si="14"/>
        <v>0</v>
      </c>
      <c r="BS33" s="357">
        <f t="shared" si="15"/>
        <v>0</v>
      </c>
      <c r="BT33" s="357">
        <f t="shared" si="16"/>
        <v>0</v>
      </c>
      <c r="BU33" s="357">
        <f t="shared" si="17"/>
        <v>0</v>
      </c>
      <c r="BV33" s="357">
        <f t="shared" si="18"/>
        <v>0</v>
      </c>
      <c r="BW33" s="357">
        <f t="shared" si="18"/>
        <v>0</v>
      </c>
      <c r="BX33" s="357">
        <f t="shared" si="19"/>
        <v>0</v>
      </c>
      <c r="BY33" s="357">
        <f t="shared" si="20"/>
        <v>0</v>
      </c>
      <c r="BZ33" s="358">
        <f t="shared" si="46"/>
        <v>0</v>
      </c>
      <c r="CB33" s="329">
        <f>+CB30+1</f>
        <v>45410</v>
      </c>
      <c r="CC33" s="401"/>
      <c r="CD33" s="401"/>
      <c r="CE33" s="401"/>
      <c r="CF33" s="401"/>
      <c r="CG33" s="401"/>
      <c r="CH33" s="401"/>
      <c r="CI33" s="401"/>
      <c r="CJ33" s="401"/>
      <c r="CK33" s="358">
        <f>SUM(CC33:CJ33)</f>
        <v>0</v>
      </c>
    </row>
    <row r="34" spans="1:89" ht="15.75" thickBot="1" x14ac:dyDescent="0.3">
      <c r="B34" s="71" t="s">
        <v>0</v>
      </c>
      <c r="C34" s="338">
        <f t="shared" ref="C34:AB34" si="56">SUM(C4:C33)</f>
        <v>12575.554</v>
      </c>
      <c r="D34" s="339">
        <f t="shared" si="56"/>
        <v>889.83500000000026</v>
      </c>
      <c r="E34" s="339">
        <f t="shared" si="56"/>
        <v>0</v>
      </c>
      <c r="F34" s="339">
        <f t="shared" si="56"/>
        <v>0</v>
      </c>
      <c r="G34" s="339">
        <f t="shared" si="56"/>
        <v>2031.88</v>
      </c>
      <c r="H34" s="340">
        <f t="shared" si="56"/>
        <v>35.847999999999999</v>
      </c>
      <c r="I34" s="340">
        <f t="shared" si="56"/>
        <v>0</v>
      </c>
      <c r="J34" s="340">
        <f t="shared" si="56"/>
        <v>248.887</v>
      </c>
      <c r="K34" s="340">
        <f t="shared" si="56"/>
        <v>358.00800000000004</v>
      </c>
      <c r="L34" s="340">
        <f t="shared" si="56"/>
        <v>593.95399999999995</v>
      </c>
      <c r="M34" s="340">
        <f t="shared" si="56"/>
        <v>1.4419999999999999</v>
      </c>
      <c r="N34" s="340">
        <f t="shared" si="56"/>
        <v>20.761999999999997</v>
      </c>
      <c r="O34" s="340">
        <f t="shared" si="56"/>
        <v>10.546999999999999</v>
      </c>
      <c r="P34" s="340">
        <f t="shared" si="56"/>
        <v>0</v>
      </c>
      <c r="Q34" s="340">
        <f t="shared" si="56"/>
        <v>0</v>
      </c>
      <c r="R34" s="340">
        <f t="shared" si="56"/>
        <v>157.84</v>
      </c>
      <c r="S34" s="340">
        <f t="shared" si="56"/>
        <v>0</v>
      </c>
      <c r="T34" s="340">
        <f t="shared" si="56"/>
        <v>185.34000000000003</v>
      </c>
      <c r="U34" s="340">
        <f t="shared" si="56"/>
        <v>0</v>
      </c>
      <c r="V34" s="340">
        <f t="shared" si="56"/>
        <v>0</v>
      </c>
      <c r="W34" s="340">
        <f t="shared" si="56"/>
        <v>0</v>
      </c>
      <c r="X34" s="340">
        <f t="shared" si="56"/>
        <v>0</v>
      </c>
      <c r="Y34" s="340">
        <f t="shared" si="56"/>
        <v>43.277999999999793</v>
      </c>
      <c r="Z34" s="341">
        <f t="shared" si="56"/>
        <v>150</v>
      </c>
      <c r="AA34" s="341">
        <f t="shared" si="56"/>
        <v>56.451000000000022</v>
      </c>
      <c r="AB34" s="341">
        <f t="shared" si="56"/>
        <v>-672.62599999999998</v>
      </c>
      <c r="AD34" s="338">
        <f>SUM(AD4:AD33)</f>
        <v>0</v>
      </c>
      <c r="AE34" s="338">
        <f>SUM(AE4:AE33)</f>
        <v>225</v>
      </c>
      <c r="AF34" s="338">
        <f>SUM(AF4:AF33)</f>
        <v>0</v>
      </c>
      <c r="AG34" s="339">
        <f>SUM(AG4:AG33)</f>
        <v>16462</v>
      </c>
      <c r="AH34" s="340">
        <f>SUM(AH4:AH33)</f>
        <v>16687</v>
      </c>
      <c r="AJ34" s="350">
        <f>SUM(AJ4:AJ33)</f>
        <v>317858.52598650014</v>
      </c>
      <c r="AK34" s="350">
        <f>SUM(AK4:AK33)</f>
        <v>37275</v>
      </c>
      <c r="AL34" s="351">
        <f>SUM(AL4:AL33)</f>
        <v>280583.52598650014</v>
      </c>
      <c r="AM34" s="352">
        <f>SUM(AM4:AM33)</f>
        <v>0</v>
      </c>
      <c r="AN34" s="351">
        <f>SUM(AN4:AN33)</f>
        <v>280583.52598650014</v>
      </c>
    </row>
    <row r="35" spans="1:89" x14ac:dyDescent="0.25">
      <c r="Z35" s="16"/>
      <c r="AA35" s="16"/>
      <c r="AB35" s="51"/>
      <c r="AK35" s="4"/>
      <c r="AL35" s="4"/>
      <c r="AM35" s="4"/>
      <c r="AN35" s="4"/>
    </row>
    <row r="36" spans="1:89" s="82" customFormat="1" x14ac:dyDescent="0.25">
      <c r="C36" s="157"/>
      <c r="D36" s="157"/>
      <c r="E36" s="157"/>
      <c r="F36" s="157"/>
      <c r="G36" s="157"/>
      <c r="H36" s="157"/>
      <c r="I36" s="157"/>
      <c r="J36" s="157"/>
      <c r="K36" s="157"/>
      <c r="L36" s="157"/>
      <c r="M36" s="157"/>
      <c r="N36" s="157"/>
      <c r="O36" s="157"/>
      <c r="P36" s="157"/>
      <c r="Q36" s="157"/>
      <c r="R36" s="157"/>
      <c r="S36" s="157"/>
      <c r="T36" s="157"/>
      <c r="U36" s="157"/>
      <c r="V36" s="157"/>
      <c r="W36" s="157"/>
      <c r="X36" s="157"/>
      <c r="Y36" s="157"/>
      <c r="AK36" s="158">
        <f>+AJ33-AK33</f>
        <v>0</v>
      </c>
      <c r="AL36" s="158"/>
      <c r="AM36" s="158"/>
      <c r="AN36" s="158"/>
      <c r="AP36" s="1"/>
      <c r="AQ36" s="1"/>
      <c r="AR36" s="4"/>
      <c r="AS36" s="4"/>
      <c r="AT36" s="4"/>
      <c r="AV36" s="1"/>
      <c r="AW36" s="4"/>
      <c r="AX36" s="4"/>
      <c r="AY36" s="4"/>
      <c r="BA36" s="1"/>
      <c r="BF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</row>
    <row r="37" spans="1:89" s="82" customFormat="1" x14ac:dyDescent="0.25">
      <c r="C37" s="157"/>
      <c r="D37" s="157"/>
      <c r="E37" s="157"/>
      <c r="F37" s="157"/>
      <c r="G37" s="157"/>
      <c r="H37" s="157"/>
      <c r="I37" s="157"/>
      <c r="J37" s="157"/>
      <c r="K37" s="157"/>
      <c r="L37" s="157"/>
      <c r="M37" s="157"/>
      <c r="N37" s="157"/>
      <c r="O37" s="157"/>
      <c r="P37" s="157"/>
      <c r="Q37" s="157"/>
      <c r="R37" s="157"/>
      <c r="S37" s="157"/>
      <c r="T37" s="157"/>
      <c r="U37" s="157"/>
      <c r="V37" s="157"/>
      <c r="W37" s="157"/>
      <c r="X37" s="157"/>
      <c r="Y37" s="157"/>
      <c r="AD37" s="157"/>
      <c r="AE37" s="157"/>
      <c r="AF37" s="157"/>
      <c r="AJ37" s="158">
        <f>+AJ4-AK4</f>
        <v>18363.793390000006</v>
      </c>
      <c r="AL37" s="158"/>
      <c r="AM37" s="158"/>
      <c r="AN37" s="158"/>
      <c r="AP37" s="1"/>
      <c r="AQ37" s="1"/>
      <c r="AR37" s="4"/>
      <c r="AS37" s="4"/>
      <c r="AT37" s="4"/>
      <c r="AV37" s="1"/>
      <c r="AW37" s="4"/>
      <c r="AX37" s="4"/>
      <c r="AY37" s="4"/>
      <c r="BA37" s="1"/>
      <c r="BF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</row>
    <row r="38" spans="1:89" s="82" customFormat="1" x14ac:dyDescent="0.25">
      <c r="B38" s="157"/>
      <c r="C38" s="157"/>
      <c r="D38" s="157"/>
      <c r="E38" s="157"/>
      <c r="F38" s="157"/>
      <c r="G38" s="157"/>
      <c r="H38" s="157"/>
      <c r="I38" s="157"/>
      <c r="J38" s="157"/>
      <c r="K38" s="157"/>
      <c r="L38" s="157"/>
      <c r="M38" s="157"/>
      <c r="N38" s="157"/>
      <c r="O38" s="157"/>
      <c r="P38" s="157"/>
      <c r="Q38" s="157"/>
      <c r="R38" s="157"/>
      <c r="S38" s="157"/>
      <c r="T38" s="157"/>
      <c r="U38" s="157"/>
      <c r="V38" s="157"/>
      <c r="W38" s="157"/>
      <c r="X38" s="157"/>
      <c r="Y38" s="157"/>
      <c r="AD38" s="157"/>
      <c r="AE38" s="157"/>
      <c r="AF38" s="157"/>
      <c r="AL38" s="158"/>
      <c r="AM38" s="158"/>
      <c r="AN38" s="157"/>
      <c r="AP38" s="1"/>
      <c r="AQ38" s="1"/>
      <c r="AR38" s="4"/>
      <c r="AS38" s="4"/>
      <c r="AT38" s="4"/>
      <c r="AV38" s="1"/>
      <c r="AW38" s="4"/>
      <c r="AX38" s="4"/>
      <c r="AY38" s="4"/>
      <c r="BA38" s="1"/>
      <c r="BF38" s="1"/>
      <c r="BQ38" s="1"/>
      <c r="BR38" s="1"/>
      <c r="BS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</row>
    <row r="39" spans="1:89" ht="28.9" customHeight="1" x14ac:dyDescent="0.25">
      <c r="A39" s="707" t="s">
        <v>123</v>
      </c>
      <c r="B39" s="708"/>
      <c r="C39" s="708"/>
      <c r="D39" s="708"/>
      <c r="E39" s="708"/>
      <c r="F39" s="709"/>
      <c r="AL39" s="16"/>
    </row>
    <row r="40" spans="1:89" ht="30" x14ac:dyDescent="0.25">
      <c r="A40" s="2"/>
      <c r="B40" s="2"/>
      <c r="C40" s="13" t="s">
        <v>14</v>
      </c>
      <c r="D40" s="13" t="s">
        <v>15</v>
      </c>
      <c r="E40" s="13" t="s">
        <v>121</v>
      </c>
      <c r="F40" s="119" t="s">
        <v>116</v>
      </c>
      <c r="AR40" s="1"/>
      <c r="AS40" s="1"/>
      <c r="AU40" s="4"/>
      <c r="AV40" s="4"/>
      <c r="AW40" s="1"/>
      <c r="AX40" s="1"/>
      <c r="AZ40" s="4"/>
      <c r="BA40" s="4"/>
    </row>
    <row r="41" spans="1:89" x14ac:dyDescent="0.25">
      <c r="A41" s="2"/>
      <c r="B41" s="2" t="s">
        <v>18</v>
      </c>
      <c r="C41" s="239"/>
      <c r="D41" s="239"/>
      <c r="E41" s="239"/>
      <c r="F41" s="239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AR41" s="1"/>
      <c r="AS41" s="1"/>
      <c r="AU41" s="4"/>
      <c r="AV41" s="4"/>
      <c r="AW41" s="1"/>
      <c r="AX41" s="1"/>
      <c r="AZ41" s="4"/>
      <c r="BA41" s="4"/>
    </row>
    <row r="42" spans="1:89" x14ac:dyDescent="0.25">
      <c r="A42" s="2"/>
      <c r="B42" s="2" t="s">
        <v>6</v>
      </c>
      <c r="C42" s="239"/>
      <c r="D42" s="239"/>
      <c r="E42" s="239"/>
      <c r="F42" s="239"/>
      <c r="M42" s="3"/>
      <c r="N42" s="16"/>
      <c r="R42" s="16"/>
      <c r="AR42" s="1"/>
      <c r="AU42" s="4"/>
      <c r="AW42" s="1"/>
      <c r="AZ42" s="4"/>
    </row>
    <row r="44" spans="1:89" x14ac:dyDescent="0.25">
      <c r="C44" s="238"/>
    </row>
    <row r="45" spans="1:89" x14ac:dyDescent="0.25">
      <c r="C45" s="16"/>
      <c r="I45" s="4"/>
      <c r="Q45" s="18"/>
    </row>
    <row r="46" spans="1:89" x14ac:dyDescent="0.25">
      <c r="C46" s="16"/>
      <c r="I46" s="4"/>
    </row>
    <row r="47" spans="1:89" x14ac:dyDescent="0.25">
      <c r="I47" s="4"/>
    </row>
    <row r="48" spans="1:89" x14ac:dyDescent="0.25">
      <c r="H48" s="4"/>
      <c r="I48" s="4"/>
    </row>
    <row r="49" spans="8:51" x14ac:dyDescent="0.25">
      <c r="H49" s="367"/>
    </row>
    <row r="51" spans="8:51" x14ac:dyDescent="0.25">
      <c r="I51" s="4"/>
    </row>
    <row r="52" spans="8:51" x14ac:dyDescent="0.25">
      <c r="H52" s="4"/>
    </row>
    <row r="53" spans="8:51" x14ac:dyDescent="0.25">
      <c r="H53" s="4"/>
      <c r="I53" s="4"/>
    </row>
    <row r="54" spans="8:51" x14ac:dyDescent="0.25">
      <c r="H54" s="4"/>
      <c r="I54" s="4"/>
    </row>
    <row r="55" spans="8:51" s="366" customFormat="1" x14ac:dyDescent="0.25">
      <c r="H55" s="4"/>
      <c r="I55" s="4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AR55" s="367"/>
      <c r="AS55" s="367"/>
      <c r="AT55" s="367"/>
      <c r="AW55" s="367"/>
      <c r="AX55" s="367"/>
      <c r="AY55" s="367"/>
    </row>
    <row r="56" spans="8:51" x14ac:dyDescent="0.25">
      <c r="H56" s="4"/>
      <c r="I56" s="4"/>
    </row>
    <row r="57" spans="8:51" x14ac:dyDescent="0.25">
      <c r="H57" s="367"/>
      <c r="I57" s="4"/>
    </row>
    <row r="58" spans="8:51" x14ac:dyDescent="0.25">
      <c r="H58" s="4"/>
      <c r="I58" s="4"/>
    </row>
    <row r="59" spans="8:51" x14ac:dyDescent="0.25">
      <c r="H59" s="4"/>
    </row>
    <row r="63" spans="8:51" x14ac:dyDescent="0.25">
      <c r="H63" s="4"/>
    </row>
  </sheetData>
  <mergeCells count="11">
    <mergeCell ref="BQ2:BZ2"/>
    <mergeCell ref="CB2:CK2"/>
    <mergeCell ref="C2:Y2"/>
    <mergeCell ref="AA2:AB2"/>
    <mergeCell ref="AD2:AH2"/>
    <mergeCell ref="A39:F39"/>
    <mergeCell ref="BF2:BO2"/>
    <mergeCell ref="BA2:BD2"/>
    <mergeCell ref="AP2:AT2"/>
    <mergeCell ref="AV2:AY2"/>
    <mergeCell ref="AJ2:AN2"/>
  </mergeCells>
  <pageMargins left="0.7" right="0.7" top="0.75" bottom="0.75" header="0.3" footer="0.3"/>
  <pageSetup orientation="portrait" r:id="rId1"/>
  <colBreaks count="1" manualBreakCount="1">
    <brk id="25" max="42" man="1"/>
  </colBreak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B1:DE327"/>
  <sheetViews>
    <sheetView tabSelected="1" view="pageBreakPreview" topLeftCell="AG1" zoomScaleNormal="100" zoomScaleSheetLayoutView="100" workbookViewId="0">
      <pane ySplit="3" topLeftCell="A15" activePane="bottomLeft" state="frozen"/>
      <selection pane="bottomLeft" activeCell="AK26" sqref="AK26"/>
    </sheetView>
  </sheetViews>
  <sheetFormatPr defaultColWidth="8.85546875" defaultRowHeight="15" x14ac:dyDescent="0.25"/>
  <cols>
    <col min="1" max="1" width="4.5703125" style="450" customWidth="1"/>
    <col min="2" max="2" width="12.85546875" style="450" bestFit="1" customWidth="1"/>
    <col min="3" max="5" width="13.7109375" style="450" customWidth="1"/>
    <col min="6" max="6" width="10.85546875" style="450" customWidth="1"/>
    <col min="7" max="7" width="13.28515625" style="450" customWidth="1"/>
    <col min="8" max="8" width="12.28515625" style="450" customWidth="1"/>
    <col min="9" max="9" width="16.28515625" style="450" bestFit="1" customWidth="1"/>
    <col min="10" max="11" width="14.140625" style="450" customWidth="1"/>
    <col min="12" max="13" width="15.42578125" style="450" bestFit="1" customWidth="1"/>
    <col min="14" max="14" width="15.42578125" style="499" bestFit="1" customWidth="1"/>
    <col min="15" max="15" width="15.7109375" style="499" customWidth="1"/>
    <col min="16" max="16" width="8.85546875" style="450"/>
    <col min="17" max="17" width="12.42578125" style="450" bestFit="1" customWidth="1"/>
    <col min="18" max="25" width="14.140625" style="450" customWidth="1"/>
    <col min="26" max="26" width="11.7109375" style="450" bestFit="1" customWidth="1"/>
    <col min="27" max="27" width="12" style="450" customWidth="1"/>
    <col min="28" max="29" width="14.140625" style="450" customWidth="1"/>
    <col min="30" max="30" width="12.140625" style="450" bestFit="1" customWidth="1"/>
    <col min="31" max="31" width="12.42578125" style="450" bestFit="1" customWidth="1"/>
    <col min="32" max="32" width="12.85546875" style="450" customWidth="1"/>
    <col min="33" max="33" width="14.140625" style="450" customWidth="1"/>
    <col min="34" max="34" width="13.42578125" style="450" bestFit="1" customWidth="1"/>
    <col min="35" max="36" width="14.140625" style="499" customWidth="1"/>
    <col min="37" max="37" width="10.7109375" style="450" customWidth="1"/>
    <col min="38" max="39" width="13.42578125" style="450" customWidth="1"/>
    <col min="40" max="40" width="13.5703125" style="450" bestFit="1" customWidth="1"/>
    <col min="41" max="41" width="12.7109375" style="450" bestFit="1" customWidth="1"/>
    <col min="42" max="42" width="10.7109375" style="450" customWidth="1"/>
    <col min="43" max="43" width="8.42578125" style="450" bestFit="1" customWidth="1"/>
    <col min="44" max="44" width="8.28515625" style="450" bestFit="1" customWidth="1"/>
    <col min="45" max="45" width="9.140625" style="450" bestFit="1" customWidth="1"/>
    <col min="46" max="46" width="8.28515625" style="450" bestFit="1" customWidth="1"/>
    <col min="47" max="47" width="4.42578125" style="450" customWidth="1"/>
    <col min="48" max="48" width="10.7109375" style="450" customWidth="1"/>
    <col min="49" max="49" width="11.7109375" style="450" customWidth="1"/>
    <col min="50" max="50" width="10.7109375" style="450" customWidth="1"/>
    <col min="51" max="51" width="8.28515625" style="450" bestFit="1" customWidth="1"/>
    <col min="52" max="52" width="9" style="450" bestFit="1" customWidth="1"/>
    <col min="53" max="53" width="8.28515625" style="450" bestFit="1" customWidth="1"/>
    <col min="54" max="54" width="4.28515625" style="450" customWidth="1"/>
    <col min="55" max="55" width="10.28515625" style="450" customWidth="1"/>
    <col min="56" max="56" width="10.85546875" style="480" customWidth="1"/>
    <col min="57" max="57" width="7.28515625" style="480" customWidth="1"/>
    <col min="58" max="58" width="8.85546875" style="480" hidden="1" customWidth="1"/>
    <col min="59" max="59" width="5.5703125" style="450" customWidth="1"/>
    <col min="60" max="60" width="12.7109375" style="480" customWidth="1"/>
    <col min="61" max="61" width="11.140625" style="480" customWidth="1"/>
    <col min="62" max="62" width="8.85546875" style="480" hidden="1" customWidth="1"/>
    <col min="63" max="63" width="6.42578125" style="450" customWidth="1"/>
    <col min="64" max="64" width="12.42578125" style="450" bestFit="1" customWidth="1"/>
    <col min="65" max="65" width="12.85546875" style="450" customWidth="1"/>
    <col min="66" max="66" width="10.28515625" style="450" customWidth="1"/>
    <col min="67" max="67" width="14" style="450" bestFit="1" customWidth="1"/>
    <col min="68" max="68" width="8.85546875" style="450"/>
    <col min="69" max="69" width="12.42578125" style="450" bestFit="1" customWidth="1"/>
    <col min="70" max="70" width="14.140625" style="450" bestFit="1" customWidth="1"/>
    <col min="71" max="71" width="13.140625" style="450" bestFit="1" customWidth="1"/>
    <col min="72" max="73" width="13" style="450" bestFit="1" customWidth="1"/>
    <col min="74" max="74" width="12" style="450" bestFit="1" customWidth="1"/>
    <col min="75" max="75" width="12" style="450" customWidth="1"/>
    <col min="76" max="76" width="12" style="450" bestFit="1" customWidth="1"/>
    <col min="77" max="77" width="11.85546875" style="450" bestFit="1" customWidth="1"/>
    <col min="78" max="78" width="14.140625" style="450" bestFit="1" customWidth="1"/>
    <col min="79" max="79" width="4.5703125" style="450" customWidth="1"/>
    <col min="80" max="80" width="12.42578125" style="450" bestFit="1" customWidth="1"/>
    <col min="81" max="81" width="13.85546875" style="450" bestFit="1" customWidth="1"/>
    <col min="82" max="82" width="13" style="450" bestFit="1" customWidth="1"/>
    <col min="83" max="84" width="11.85546875" style="450" bestFit="1" customWidth="1"/>
    <col min="85" max="85" width="12.7109375" style="450" bestFit="1" customWidth="1"/>
    <col min="86" max="86" width="12.7109375" style="450" customWidth="1"/>
    <col min="87" max="87" width="11.85546875" style="450" bestFit="1" customWidth="1"/>
    <col min="88" max="88" width="9.28515625" style="450" bestFit="1" customWidth="1"/>
    <col min="89" max="89" width="14" style="450" bestFit="1" customWidth="1"/>
    <col min="90" max="90" width="6.7109375" style="450" customWidth="1"/>
    <col min="91" max="91" width="12.42578125" style="450" bestFit="1" customWidth="1"/>
    <col min="92" max="92" width="14" style="450" bestFit="1" customWidth="1"/>
    <col min="93" max="93" width="13" style="450" bestFit="1" customWidth="1"/>
    <col min="94" max="95" width="12.85546875" style="450" bestFit="1" customWidth="1"/>
    <col min="96" max="97" width="13.28515625" style="450" bestFit="1" customWidth="1"/>
    <col min="98" max="98" width="11.85546875" style="450" bestFit="1" customWidth="1"/>
    <col min="99" max="99" width="12.28515625" style="450" bestFit="1" customWidth="1"/>
    <col min="100" max="100" width="14" style="450" bestFit="1" customWidth="1"/>
    <col min="101" max="101" width="12.7109375" style="450" bestFit="1" customWidth="1"/>
    <col min="102" max="102" width="9.28515625" style="513" bestFit="1" customWidth="1"/>
    <col min="103" max="103" width="12.140625" style="513" customWidth="1"/>
    <col min="104" max="104" width="12" style="513" customWidth="1"/>
    <col min="105" max="105" width="10.5703125" style="513" customWidth="1"/>
    <col min="106" max="106" width="12.28515625" style="513" customWidth="1"/>
    <col min="107" max="107" width="9.7109375" style="513" customWidth="1"/>
    <col min="108" max="108" width="9.42578125" style="513" customWidth="1"/>
    <col min="109" max="109" width="13.85546875" style="513" customWidth="1"/>
    <col min="110" max="16384" width="8.85546875" style="450"/>
  </cols>
  <sheetData>
    <row r="1" spans="2:109" ht="15.75" thickBot="1" x14ac:dyDescent="0.3"/>
    <row r="2" spans="2:109" ht="31.9" customHeight="1" thickBot="1" x14ac:dyDescent="0.3">
      <c r="B2" s="449"/>
      <c r="C2" s="722" t="s">
        <v>192</v>
      </c>
      <c r="D2" s="723"/>
      <c r="E2" s="723"/>
      <c r="F2" s="723"/>
      <c r="G2" s="723"/>
      <c r="H2" s="723"/>
      <c r="I2" s="723"/>
      <c r="J2" s="723"/>
      <c r="K2" s="723"/>
      <c r="L2" s="723"/>
      <c r="M2" s="723"/>
      <c r="N2" s="723"/>
      <c r="O2" s="724"/>
      <c r="Q2" s="722" t="s">
        <v>204</v>
      </c>
      <c r="R2" s="723"/>
      <c r="S2" s="723"/>
      <c r="T2" s="723"/>
      <c r="U2" s="723"/>
      <c r="V2" s="723"/>
      <c r="W2" s="723"/>
      <c r="X2" s="723"/>
      <c r="Y2" s="723"/>
      <c r="Z2" s="723"/>
      <c r="AA2" s="723"/>
      <c r="AB2" s="723"/>
      <c r="AC2" s="724"/>
      <c r="AD2" s="451"/>
      <c r="AE2" s="452"/>
      <c r="AF2" s="453"/>
      <c r="AG2" s="454"/>
      <c r="AH2" s="455"/>
      <c r="AI2" s="456"/>
      <c r="AJ2" s="456"/>
      <c r="AK2" s="456"/>
      <c r="AL2" s="451"/>
      <c r="AM2" s="451"/>
      <c r="AO2" s="734" t="s">
        <v>218</v>
      </c>
      <c r="AP2" s="735"/>
      <c r="AQ2" s="735"/>
      <c r="AR2" s="735"/>
      <c r="AS2" s="735"/>
      <c r="AT2" s="736"/>
      <c r="AV2" s="734" t="s">
        <v>223</v>
      </c>
      <c r="AW2" s="735"/>
      <c r="AX2" s="735"/>
      <c r="AY2" s="735"/>
      <c r="AZ2" s="735"/>
      <c r="BA2" s="736"/>
      <c r="BC2" s="734" t="s">
        <v>160</v>
      </c>
      <c r="BD2" s="735"/>
      <c r="BE2" s="736"/>
      <c r="BF2" s="457"/>
      <c r="BH2" s="734" t="s">
        <v>160</v>
      </c>
      <c r="BI2" s="736"/>
      <c r="BJ2" s="457"/>
      <c r="BL2" s="725" t="s">
        <v>159</v>
      </c>
      <c r="BM2" s="726"/>
      <c r="BN2" s="726"/>
      <c r="BO2" s="727"/>
      <c r="BQ2" s="728" t="s">
        <v>166</v>
      </c>
      <c r="BR2" s="728"/>
      <c r="BS2" s="728"/>
      <c r="BT2" s="728"/>
      <c r="BU2" s="728"/>
      <c r="BV2" s="728"/>
      <c r="BW2" s="728"/>
      <c r="BX2" s="728"/>
      <c r="BY2" s="728"/>
      <c r="BZ2" s="728"/>
      <c r="CB2" s="728" t="s">
        <v>167</v>
      </c>
      <c r="CC2" s="728"/>
      <c r="CD2" s="728"/>
      <c r="CE2" s="728"/>
      <c r="CF2" s="728"/>
      <c r="CG2" s="728"/>
      <c r="CH2" s="728"/>
      <c r="CI2" s="728"/>
      <c r="CJ2" s="728"/>
      <c r="CK2" s="728"/>
      <c r="CM2" s="728" t="s">
        <v>168</v>
      </c>
      <c r="CN2" s="728"/>
      <c r="CO2" s="728"/>
      <c r="CP2" s="728"/>
      <c r="CQ2" s="728"/>
      <c r="CR2" s="728"/>
      <c r="CS2" s="728"/>
      <c r="CT2" s="728"/>
      <c r="CU2" s="728"/>
      <c r="CV2" s="728"/>
      <c r="CX2" s="514" t="s">
        <v>254</v>
      </c>
    </row>
    <row r="3" spans="2:109" s="28" customFormat="1" ht="82.9" customHeight="1" thickBot="1" x14ac:dyDescent="0.3">
      <c r="B3" s="72" t="s">
        <v>8</v>
      </c>
      <c r="C3" s="29" t="s">
        <v>193</v>
      </c>
      <c r="D3" s="391" t="s">
        <v>200</v>
      </c>
      <c r="E3" s="391" t="s">
        <v>215</v>
      </c>
      <c r="F3" s="30" t="s">
        <v>194</v>
      </c>
      <c r="G3" s="33" t="s">
        <v>201</v>
      </c>
      <c r="H3" s="33" t="s">
        <v>216</v>
      </c>
      <c r="I3" s="33" t="s">
        <v>217</v>
      </c>
      <c r="J3" s="33" t="s">
        <v>195</v>
      </c>
      <c r="K3" s="33" t="s">
        <v>202</v>
      </c>
      <c r="L3" s="33" t="s">
        <v>197</v>
      </c>
      <c r="M3" s="33" t="s">
        <v>198</v>
      </c>
      <c r="N3" s="390" t="s">
        <v>196</v>
      </c>
      <c r="O3" s="399" t="s">
        <v>199</v>
      </c>
      <c r="Q3" s="72" t="s">
        <v>8</v>
      </c>
      <c r="R3" s="33" t="s">
        <v>205</v>
      </c>
      <c r="S3" s="33" t="s">
        <v>206</v>
      </c>
      <c r="T3" s="33" t="s">
        <v>306</v>
      </c>
      <c r="U3" s="33" t="s">
        <v>289</v>
      </c>
      <c r="V3" s="33" t="s">
        <v>288</v>
      </c>
      <c r="W3" s="33" t="s">
        <v>289</v>
      </c>
      <c r="X3" s="33" t="s">
        <v>207</v>
      </c>
      <c r="Y3" s="33" t="s">
        <v>208</v>
      </c>
      <c r="Z3" s="33" t="s">
        <v>209</v>
      </c>
      <c r="AA3" s="33" t="s">
        <v>210</v>
      </c>
      <c r="AB3" s="390" t="s">
        <v>211</v>
      </c>
      <c r="AC3" s="399" t="s">
        <v>212</v>
      </c>
      <c r="AD3" s="392"/>
      <c r="AE3" s="43" t="s">
        <v>8</v>
      </c>
      <c r="AF3" s="400" t="s">
        <v>214</v>
      </c>
      <c r="AG3" s="400" t="s">
        <v>236</v>
      </c>
      <c r="AH3" s="404" t="s">
        <v>227</v>
      </c>
      <c r="AI3" s="399" t="s">
        <v>203</v>
      </c>
      <c r="AJ3" s="399" t="s">
        <v>239</v>
      </c>
      <c r="AK3" s="31" t="s">
        <v>213</v>
      </c>
      <c r="AL3" s="405" t="s">
        <v>228</v>
      </c>
      <c r="AM3" s="406" t="s">
        <v>229</v>
      </c>
      <c r="AO3" s="393" t="s">
        <v>8</v>
      </c>
      <c r="AP3" s="328" t="s">
        <v>226</v>
      </c>
      <c r="AQ3" s="331" t="s">
        <v>219</v>
      </c>
      <c r="AR3" s="331" t="s">
        <v>220</v>
      </c>
      <c r="AS3" s="331" t="s">
        <v>221</v>
      </c>
      <c r="AT3" s="395" t="s">
        <v>222</v>
      </c>
      <c r="AV3" s="393" t="s">
        <v>307</v>
      </c>
      <c r="AW3" s="331" t="s">
        <v>308</v>
      </c>
      <c r="AX3" s="331" t="s">
        <v>308</v>
      </c>
      <c r="AY3" s="331" t="s">
        <v>220</v>
      </c>
      <c r="AZ3" s="331" t="s">
        <v>225</v>
      </c>
      <c r="BA3" s="395" t="s">
        <v>224</v>
      </c>
      <c r="BC3" s="393" t="s">
        <v>164</v>
      </c>
      <c r="BD3" s="331" t="s">
        <v>153</v>
      </c>
      <c r="BE3" s="395" t="s">
        <v>165</v>
      </c>
      <c r="BF3" s="396" t="s">
        <v>162</v>
      </c>
      <c r="BH3" s="397" t="s">
        <v>153</v>
      </c>
      <c r="BI3" s="395" t="s">
        <v>152</v>
      </c>
      <c r="BJ3" s="396" t="s">
        <v>4</v>
      </c>
      <c r="BL3" s="393" t="s">
        <v>8</v>
      </c>
      <c r="BM3" s="330" t="s">
        <v>154</v>
      </c>
      <c r="BN3" s="331" t="s">
        <v>156</v>
      </c>
      <c r="BO3" s="398" t="s">
        <v>155</v>
      </c>
      <c r="BQ3" s="328" t="s">
        <v>8</v>
      </c>
      <c r="BR3" s="328" t="s">
        <v>14</v>
      </c>
      <c r="BS3" s="328" t="s">
        <v>15</v>
      </c>
      <c r="BT3" s="328" t="s">
        <v>157</v>
      </c>
      <c r="BU3" s="328" t="s">
        <v>116</v>
      </c>
      <c r="BV3" s="328" t="s">
        <v>38</v>
      </c>
      <c r="BW3" s="328" t="s">
        <v>75</v>
      </c>
      <c r="BX3" s="330" t="s">
        <v>151</v>
      </c>
      <c r="BY3" s="330" t="s">
        <v>129</v>
      </c>
      <c r="BZ3" s="330" t="s">
        <v>158</v>
      </c>
      <c r="CB3" s="328" t="s">
        <v>8</v>
      </c>
      <c r="CC3" s="328" t="s">
        <v>14</v>
      </c>
      <c r="CD3" s="328" t="s">
        <v>15</v>
      </c>
      <c r="CE3" s="328" t="s">
        <v>157</v>
      </c>
      <c r="CF3" s="328" t="s">
        <v>116</v>
      </c>
      <c r="CG3" s="328" t="s">
        <v>38</v>
      </c>
      <c r="CH3" s="328" t="s">
        <v>75</v>
      </c>
      <c r="CI3" s="330" t="s">
        <v>151</v>
      </c>
      <c r="CJ3" s="330" t="s">
        <v>129</v>
      </c>
      <c r="CK3" s="330" t="s">
        <v>158</v>
      </c>
      <c r="CM3" s="328" t="s">
        <v>8</v>
      </c>
      <c r="CN3" s="328" t="s">
        <v>14</v>
      </c>
      <c r="CO3" s="328" t="s">
        <v>15</v>
      </c>
      <c r="CP3" s="328" t="s">
        <v>157</v>
      </c>
      <c r="CQ3" s="328" t="s">
        <v>116</v>
      </c>
      <c r="CR3" s="328" t="s">
        <v>38</v>
      </c>
      <c r="CS3" s="328" t="s">
        <v>75</v>
      </c>
      <c r="CT3" s="330" t="s">
        <v>151</v>
      </c>
      <c r="CU3" s="330" t="s">
        <v>129</v>
      </c>
      <c r="CV3" s="330" t="s">
        <v>158</v>
      </c>
      <c r="CX3" s="729" t="s">
        <v>255</v>
      </c>
      <c r="CY3" s="731" t="s">
        <v>256</v>
      </c>
      <c r="CZ3" s="732"/>
      <c r="DA3" s="732"/>
      <c r="DB3" s="733"/>
      <c r="DC3" s="731" t="s">
        <v>257</v>
      </c>
      <c r="DD3" s="732"/>
      <c r="DE3" s="733"/>
    </row>
    <row r="4" spans="2:109" ht="30.75" thickBot="1" x14ac:dyDescent="0.3">
      <c r="B4" s="47">
        <v>45383</v>
      </c>
      <c r="C4" s="458">
        <f>+Общо!C4+Общо!D4+Общо!E4+Общо!F4+Общо!L4+Общо!Y4+Общо!G4</f>
        <v>1181.6199999999999</v>
      </c>
      <c r="D4" s="459">
        <f>+(Общо!C4+Общо!D4+Общо!E4+Общо!F4+Общо!G4+Общо!L4)*Цени!$G$41+Общо!Y4*Цени!$G$41</f>
        <v>69526.520799999998</v>
      </c>
      <c r="E4" s="459">
        <f>+Перник!T15</f>
        <v>0</v>
      </c>
      <c r="F4" s="460">
        <f>+Общо!H4+Общо!I4+Общо!J4+Общо!K4+Общо!M4+Общо!N4+Общо!O4+Общо!P4+Общо!Q4+Общо!R4+Общо!S4+Общо!T4+Общо!U4+Общо!V4+Общо!W4</f>
        <v>82.325999999999993</v>
      </c>
      <c r="G4" s="461">
        <f>+Общо!H4*Цени!$G$44+Общо!I4*Цени!$G$44+Общо!J4*Цени!$G$44+Общо!K4*Цени!$G$44+Общо!M4*Цени!$G$44+Общо!N4*Цени!$G$44+Общо!O4*Цени!$G$44+Общо!P4*Цени!$G$44+Общо!Q4*Цени!$G$44+Общо!R4*Цени!$G$45+Общо!S4*Цени!$G$44+Общо!T4*Цени!$G$43+Общо!W4*ЕМИ!E4</f>
        <v>4164.7218599999997</v>
      </c>
      <c r="H4" s="461">
        <f>+'Борса и балансиране'!F4</f>
        <v>0</v>
      </c>
      <c r="I4" s="461">
        <f>+'Борса и балансиране'!H4</f>
        <v>0</v>
      </c>
      <c r="J4" s="461">
        <f>+'Борса и балансиране'!J4</f>
        <v>31.054000000000087</v>
      </c>
      <c r="K4" s="461">
        <f>+'Борса и балансиране'!N4</f>
        <v>1180.05</v>
      </c>
      <c r="L4" s="461">
        <f>+Цени!L3</f>
        <v>0</v>
      </c>
      <c r="M4" s="461">
        <f>+Цени!N3</f>
        <v>0</v>
      </c>
      <c r="N4" s="462">
        <f>+C4+F4+H4+J4+L4</f>
        <v>1295</v>
      </c>
      <c r="O4" s="463">
        <f>+D4+G4+I4+K4+M4+E4</f>
        <v>74871.292660000006</v>
      </c>
      <c r="Q4" s="47">
        <v>45383</v>
      </c>
      <c r="R4" s="461">
        <f>+Цени!E3</f>
        <v>0</v>
      </c>
      <c r="S4" s="461">
        <f>+Цени!E3*Цени!$E$35</f>
        <v>0</v>
      </c>
      <c r="T4" s="461">
        <f>+Цени!F3+Цени!C3</f>
        <v>15</v>
      </c>
      <c r="U4" s="461">
        <f>+(Цени!F3)*Цени!$F$35+Цени!C3*Цени!$C$35</f>
        <v>996.15</v>
      </c>
      <c r="V4" s="461">
        <f>+Цени!D3</f>
        <v>0</v>
      </c>
      <c r="W4" s="461">
        <f>+Цени!D3*Цени!$D$35</f>
        <v>0</v>
      </c>
      <c r="X4" s="461">
        <f>+'Борса и балансиране'!C4</f>
        <v>1280</v>
      </c>
      <c r="Y4" s="461">
        <f>+'Борса и балансиране'!E4</f>
        <v>56590</v>
      </c>
      <c r="Z4" s="461">
        <f>+'Борса и балансиране'!K4*-1</f>
        <v>0</v>
      </c>
      <c r="AA4" s="461">
        <f>+'Борса и балансиране'!O4*-1</f>
        <v>0</v>
      </c>
      <c r="AB4" s="461">
        <f>+R4+X4+Z4+T4+V4</f>
        <v>1295</v>
      </c>
      <c r="AC4" s="464">
        <f>+S4+U4+Y4+AA4+W4</f>
        <v>57586.15</v>
      </c>
      <c r="AD4" s="465">
        <f t="shared" ref="AD4:AD29" si="0">+AB4-N4</f>
        <v>0</v>
      </c>
      <c r="AE4" s="394">
        <f>+B4</f>
        <v>45383</v>
      </c>
      <c r="AF4" s="466">
        <f>+AC4</f>
        <v>57586.15</v>
      </c>
      <c r="AG4" s="466">
        <f t="shared" ref="AG4:AG29" si="1">+O4</f>
        <v>74871.292660000006</v>
      </c>
      <c r="AH4" s="467">
        <f t="shared" ref="AH4:AH29" si="2">+AG4-AF4</f>
        <v>17285.142660000005</v>
      </c>
      <c r="AI4" s="463">
        <f>+Плевен!S4+(Общо!C4+Общо!D4+Общо!E4+Общо!F4+Общо!G4+Общо!S4+Общо!L4+Общо!Y4)*Цени!$E$56</f>
        <v>3563.6507299999998</v>
      </c>
      <c r="AJ4" s="463">
        <v>4715</v>
      </c>
      <c r="AK4" s="464">
        <f>+Общо!AK4</f>
        <v>2485</v>
      </c>
      <c r="AL4" s="468">
        <f>+(Цени!$E$35-Цени!$M$1)*Цени!E3</f>
        <v>0</v>
      </c>
      <c r="AM4" s="469">
        <f>+AH4+AL4+AI4-AK4-AJ4</f>
        <v>13648.793390000006</v>
      </c>
      <c r="AN4" s="470"/>
      <c r="AO4" s="394">
        <f>+AE4</f>
        <v>45383</v>
      </c>
      <c r="AP4" s="471">
        <f t="shared" ref="AP4:AP29" si="3">+IFERROR(D4/C4,0)</f>
        <v>58.84</v>
      </c>
      <c r="AQ4" s="471">
        <f t="shared" ref="AQ4:AQ29" si="4">+IFERROR(G4/F4,)</f>
        <v>50.588172144887402</v>
      </c>
      <c r="AR4" s="471">
        <f t="shared" ref="AR4:AR29" si="5">+IFERROR(I4/H4,0)</f>
        <v>0</v>
      </c>
      <c r="AS4" s="471">
        <f t="shared" ref="AS4:AS29" si="6">+IFERROR(K4/J4,0)</f>
        <v>37.999935596058371</v>
      </c>
      <c r="AT4" s="472">
        <f t="shared" ref="AT4:AT29" si="7">+IFERROR(M4/L4,0)</f>
        <v>0</v>
      </c>
      <c r="AU4" s="470"/>
      <c r="AV4" s="473">
        <f t="shared" ref="AV4" si="8">+IFERROR(U4/(T4),0)</f>
        <v>66.41</v>
      </c>
      <c r="AW4" s="474">
        <f>+IFERROR(#REF!/#REF!,0)</f>
        <v>0</v>
      </c>
      <c r="AX4" s="474">
        <f>+IFERROR(W4/V4,0)</f>
        <v>0</v>
      </c>
      <c r="AY4" s="471">
        <f t="shared" ref="AY4" si="9">IFERROR(Y4/X4,0)</f>
        <v>44.2109375</v>
      </c>
      <c r="AZ4" s="471">
        <f>+'Борса и балансиране'!M4</f>
        <v>0</v>
      </c>
      <c r="BA4" s="472">
        <f t="shared" ref="BA4:BA29" si="10">+IFERROR(S4/R4,0)</f>
        <v>0</v>
      </c>
      <c r="BB4" s="470"/>
      <c r="BC4" s="475">
        <f>+Общо!AQ4</f>
        <v>58.84</v>
      </c>
      <c r="BD4" s="476">
        <f>+Общо!AR4</f>
        <v>44.468069498069497</v>
      </c>
      <c r="BE4" s="477">
        <f>+Общо!AS4</f>
        <v>53.296367500000002</v>
      </c>
      <c r="BF4" s="478">
        <f>+BD4-BE4</f>
        <v>-8.8282980019305057</v>
      </c>
      <c r="BH4" s="475">
        <f t="shared" ref="BH4" si="11">++IFERROR(AC4/AB4,0)</f>
        <v>44.468069498069497</v>
      </c>
      <c r="BI4" s="479">
        <f t="shared" ref="BI4:BI29" si="12">++IFERROR(O4/N4,0)</f>
        <v>57.815670007722012</v>
      </c>
      <c r="BJ4" s="478">
        <f>+BI4-BH4</f>
        <v>13.347600509652516</v>
      </c>
      <c r="BK4" s="480"/>
      <c r="BL4" s="394">
        <f>+AE4</f>
        <v>45383</v>
      </c>
      <c r="BM4" s="481">
        <f>+Общо!BB4</f>
        <v>147998.64500000011</v>
      </c>
      <c r="BN4" s="476">
        <f>+BO4/BM4</f>
        <v>229.36627236379309</v>
      </c>
      <c r="BO4" s="482">
        <f>+Общо!BD4</f>
        <v>33945897.518542349</v>
      </c>
      <c r="BQ4" s="329">
        <f>+BL4</f>
        <v>45383</v>
      </c>
      <c r="BR4" s="483">
        <f>+Общо!BG4</f>
        <v>6825122.2699999996</v>
      </c>
      <c r="BS4" s="483">
        <f>+Общо!BH4</f>
        <v>0</v>
      </c>
      <c r="BT4" s="483">
        <f>+Общо!BI4</f>
        <v>0</v>
      </c>
      <c r="BU4" s="483">
        <f>+Общо!BJ4</f>
        <v>0</v>
      </c>
      <c r="BV4" s="483">
        <f>+Общо!BK4</f>
        <v>2098870.2800000003</v>
      </c>
      <c r="BW4" s="483">
        <f>+Общо!BL4</f>
        <v>0</v>
      </c>
      <c r="BX4" s="483">
        <f>+Общо!BM4</f>
        <v>0</v>
      </c>
      <c r="BY4" s="483">
        <f>+Общо!BN4</f>
        <v>0</v>
      </c>
      <c r="BZ4" s="484">
        <f>SUM(BR4:BY4)</f>
        <v>8923992.5500000007</v>
      </c>
      <c r="CB4" s="329">
        <f>+BQ4</f>
        <v>45383</v>
      </c>
      <c r="CC4" s="485">
        <f>+Общо!BR4</f>
        <v>0</v>
      </c>
      <c r="CD4" s="485">
        <f>+Общо!BS4</f>
        <v>0</v>
      </c>
      <c r="CE4" s="485">
        <f>+Общо!BT4</f>
        <v>0</v>
      </c>
      <c r="CF4" s="485">
        <f>+Общо!BU4</f>
        <v>0</v>
      </c>
      <c r="CG4" s="485">
        <f>+Общо!BV4</f>
        <v>11618458.91</v>
      </c>
      <c r="CH4" s="485">
        <f>+Общо!BW4</f>
        <v>15249723.549999999</v>
      </c>
      <c r="CI4" s="485">
        <f>+Общо!BX4</f>
        <v>0</v>
      </c>
      <c r="CJ4" s="485">
        <f>+Общо!BY4</f>
        <v>3567553.1529600001</v>
      </c>
      <c r="CK4" s="484">
        <f t="shared" ref="CK4:CK17" si="13">SUM(CC4:CJ4)</f>
        <v>30435735.61296</v>
      </c>
      <c r="CM4" s="329">
        <f>+CB4</f>
        <v>45383</v>
      </c>
      <c r="CN4" s="486">
        <f>+Общо!CC4</f>
        <v>6825122.2699999996</v>
      </c>
      <c r="CO4" s="486">
        <f>+Общо!CD4</f>
        <v>0</v>
      </c>
      <c r="CP4" s="486">
        <f>+Общо!CE4</f>
        <v>0</v>
      </c>
      <c r="CQ4" s="486">
        <f>+Общо!CF4</f>
        <v>0</v>
      </c>
      <c r="CR4" s="486">
        <f>+Общо!CG4</f>
        <v>13717329.190000001</v>
      </c>
      <c r="CS4" s="486">
        <f>+Общо!CH4</f>
        <v>15249723.549999999</v>
      </c>
      <c r="CT4" s="486">
        <f>+Общо!CI4</f>
        <v>0</v>
      </c>
      <c r="CU4" s="486">
        <f>+Общо!CJ4</f>
        <v>3567553.1529600001</v>
      </c>
      <c r="CV4" s="487">
        <f>SUM(CN4:CU4)</f>
        <v>39359728.16296</v>
      </c>
      <c r="CX4" s="730"/>
      <c r="CY4" s="515" t="s">
        <v>259</v>
      </c>
      <c r="CZ4" s="516" t="s">
        <v>260</v>
      </c>
      <c r="DA4" s="517" t="s">
        <v>261</v>
      </c>
      <c r="DB4" s="518" t="s">
        <v>262</v>
      </c>
      <c r="DC4" s="515" t="s">
        <v>263</v>
      </c>
      <c r="DD4" s="516" t="s">
        <v>258</v>
      </c>
      <c r="DE4" s="519" t="s">
        <v>253</v>
      </c>
    </row>
    <row r="5" spans="2:109" x14ac:dyDescent="0.25">
      <c r="B5" s="47">
        <f>+B4+1</f>
        <v>45384</v>
      </c>
      <c r="C5" s="458">
        <f>+Общо!C5+Общо!D5+Общо!E5+Общо!F5+Общо!L5+Общо!Y5+Общо!G5</f>
        <v>1202.8920000000003</v>
      </c>
      <c r="D5" s="459">
        <f>+(Общо!C5+Общо!D5+Общо!E5+Общо!F5+Общо!G5+Общо!L5)*Цени!$G$41+Общо!Y5*Цени!$G$41</f>
        <v>70778.165280000016</v>
      </c>
      <c r="E5" s="459">
        <f>+Перник!T16</f>
        <v>0</v>
      </c>
      <c r="F5" s="460">
        <f>+Общо!H5+Общо!I5+Общо!J5+Общо!K5+Общо!M5+Общо!N5+Общо!O5+Общо!P5+Общо!Q5+Общо!R5+Общо!S5+Общо!T5+Общо!U5+Общо!V5+Общо!W5</f>
        <v>70.7</v>
      </c>
      <c r="G5" s="461">
        <f>+Общо!H5*Цени!$G$44+Общо!I5*Цени!$G$44+Общо!J5*Цени!$G$44+Общо!K5*Цени!$G$44+Общо!M5*Цени!$G$44+Общо!N5*Цени!$G$44+Общо!O5*Цени!$G$44+Общо!P5*Цени!$G$44+Общо!Q5*Цени!$G$44+Общо!R5*Цени!$G$45+Общо!S5*Цени!$G$44+Общо!T5*Цени!$G$43+Общо!W5*ЕМИ!E5</f>
        <v>3683.1064799999995</v>
      </c>
      <c r="H5" s="461">
        <f>+'Борса и балансиране'!F5</f>
        <v>0</v>
      </c>
      <c r="I5" s="461">
        <f>+'Борса и балансиране'!H5</f>
        <v>0</v>
      </c>
      <c r="J5" s="461">
        <f>+'Борса и балансиране'!J5</f>
        <v>0</v>
      </c>
      <c r="K5" s="461">
        <f>+'Борса и балансиране'!N5</f>
        <v>0</v>
      </c>
      <c r="L5" s="461">
        <f>+Цени!L4</f>
        <v>0</v>
      </c>
      <c r="M5" s="461">
        <f>+Цени!N4</f>
        <v>0</v>
      </c>
      <c r="N5" s="462">
        <f t="shared" ref="N5:N27" si="14">+C5+F5+H5+J5+L5</f>
        <v>1273.5920000000003</v>
      </c>
      <c r="O5" s="463">
        <f t="shared" ref="O5:O27" si="15">+D5+G5+I5+K5+M5+E5</f>
        <v>74461.271760000018</v>
      </c>
      <c r="Q5" s="47">
        <f>+Q4+1</f>
        <v>45384</v>
      </c>
      <c r="R5" s="461">
        <f>+Цени!E4</f>
        <v>0</v>
      </c>
      <c r="S5" s="461">
        <f>+Цени!E4*Цени!$E$35</f>
        <v>0</v>
      </c>
      <c r="T5" s="461">
        <f>+Цени!F4+Цени!C4</f>
        <v>15</v>
      </c>
      <c r="U5" s="461">
        <f>+(Цени!F4)*Цени!$F$35+Цени!C4*Цени!$C$35</f>
        <v>996.15</v>
      </c>
      <c r="V5" s="461">
        <f>+Цени!D4</f>
        <v>0</v>
      </c>
      <c r="W5" s="461">
        <f>+Цени!D4*Цени!$D$35</f>
        <v>0</v>
      </c>
      <c r="X5" s="461">
        <f>+'Борса и балансиране'!C5</f>
        <v>1100</v>
      </c>
      <c r="Y5" s="461">
        <f>+'Борса и балансиране'!E5</f>
        <v>47270</v>
      </c>
      <c r="Z5" s="461">
        <f>+'Борса и балансиране'!K5*-1</f>
        <v>158.5920000000001</v>
      </c>
      <c r="AA5" s="461">
        <f>+'Борса и балансиране'!O5*-1</f>
        <v>7247.33</v>
      </c>
      <c r="AB5" s="461">
        <f t="shared" ref="AB5:AB29" si="16">+R5+X5+Z5+T5+V5</f>
        <v>1273.5920000000001</v>
      </c>
      <c r="AC5" s="464">
        <f t="shared" ref="AC5:AC29" si="17">+S5+U5+Y5+AA5+W5</f>
        <v>55513.48</v>
      </c>
      <c r="AD5" s="465">
        <f t="shared" si="0"/>
        <v>0</v>
      </c>
      <c r="AE5" s="394">
        <f>+AE4+1</f>
        <v>45384</v>
      </c>
      <c r="AF5" s="466">
        <f t="shared" ref="AF5:AF8" si="18">+AC5</f>
        <v>55513.48</v>
      </c>
      <c r="AG5" s="466">
        <f t="shared" si="1"/>
        <v>74461.271760000018</v>
      </c>
      <c r="AH5" s="467">
        <f t="shared" si="2"/>
        <v>18947.791760000015</v>
      </c>
      <c r="AI5" s="463">
        <f>+Плевен!S5+(Общо!C5+Общо!D5+Общо!E5+Общо!F5+Общо!G5+Общо!S5+Общо!L5+Общо!Y5)*Цени!$E$56</f>
        <v>3574.212278</v>
      </c>
      <c r="AJ5" s="463">
        <v>4715</v>
      </c>
      <c r="AK5" s="464">
        <f>+Общо!AK5</f>
        <v>2485</v>
      </c>
      <c r="AL5" s="468">
        <f>+(Цени!$E$35-Цени!$M$1)*Цени!E4</f>
        <v>0</v>
      </c>
      <c r="AM5" s="469">
        <f t="shared" ref="AM5:AM29" si="19">+AH5+AL5+AI5-AK5-AJ5</f>
        <v>15322.004038000014</v>
      </c>
      <c r="AN5" s="470"/>
      <c r="AO5" s="394">
        <f>+AO4+1</f>
        <v>45384</v>
      </c>
      <c r="AP5" s="471">
        <f t="shared" si="3"/>
        <v>58.839999999999996</v>
      </c>
      <c r="AQ5" s="471">
        <f t="shared" si="4"/>
        <v>52.09485827439886</v>
      </c>
      <c r="AR5" s="471">
        <f t="shared" si="5"/>
        <v>0</v>
      </c>
      <c r="AS5" s="471">
        <f t="shared" si="6"/>
        <v>0</v>
      </c>
      <c r="AT5" s="472">
        <f t="shared" si="7"/>
        <v>0</v>
      </c>
      <c r="AU5" s="470"/>
      <c r="AV5" s="473">
        <f t="shared" ref="AV5:AV29" si="20">+IFERROR(U5/(T5),0)</f>
        <v>66.41</v>
      </c>
      <c r="AW5" s="474">
        <f>+IFERROR(#REF!/#REF!,0)</f>
        <v>0</v>
      </c>
      <c r="AX5" s="474">
        <f t="shared" ref="AX5:AX29" si="21">+IFERROR(W5/V5,0)</f>
        <v>0</v>
      </c>
      <c r="AY5" s="471">
        <f t="shared" ref="AY5:AY29" si="22">IFERROR(Y5/X5,0)</f>
        <v>42.972727272727276</v>
      </c>
      <c r="AZ5" s="471">
        <f>+'Борса и балансиране'!M5</f>
        <v>45.697940000000003</v>
      </c>
      <c r="BA5" s="472">
        <f t="shared" si="10"/>
        <v>0</v>
      </c>
      <c r="BB5" s="470"/>
      <c r="BC5" s="475">
        <f>+Общо!AQ5</f>
        <v>58.84</v>
      </c>
      <c r="BD5" s="476">
        <f>+Общо!AR5</f>
        <v>43.588119272105978</v>
      </c>
      <c r="BE5" s="477">
        <f>+Общо!AS5</f>
        <v>55.936737999999998</v>
      </c>
      <c r="BF5" s="478">
        <f t="shared" ref="BF5:BF29" si="23">+BD5-BE5</f>
        <v>-12.348618727894021</v>
      </c>
      <c r="BH5" s="475">
        <f t="shared" ref="BH5:BH29" si="24">++IFERROR(AC5/AB5,0)</f>
        <v>43.588119272105978</v>
      </c>
      <c r="BI5" s="479">
        <f t="shared" si="12"/>
        <v>58.465561781166969</v>
      </c>
      <c r="BJ5" s="478">
        <f t="shared" ref="BJ5:BJ29" si="25">+BI5-BH5</f>
        <v>14.877442509060991</v>
      </c>
      <c r="BL5" s="394">
        <f>+BL4+1</f>
        <v>45384</v>
      </c>
      <c r="BM5" s="481">
        <f>+Общо!BB5</f>
        <v>147998.64500000011</v>
      </c>
      <c r="BN5" s="476">
        <f t="shared" ref="BN5" si="26">+BO5/BM5</f>
        <v>229.36627236379309</v>
      </c>
      <c r="BO5" s="482">
        <f>+Общо!BD5</f>
        <v>33945897.518542349</v>
      </c>
      <c r="BQ5" s="329">
        <f>+BQ4+1</f>
        <v>45384</v>
      </c>
      <c r="BR5" s="483">
        <f>+Общо!BG5</f>
        <v>6825122.2699999996</v>
      </c>
      <c r="BS5" s="483">
        <f>+Общо!BH5</f>
        <v>0</v>
      </c>
      <c r="BT5" s="483">
        <f>+Общо!BI5</f>
        <v>0</v>
      </c>
      <c r="BU5" s="483">
        <f>+Общо!BJ5</f>
        <v>0</v>
      </c>
      <c r="BV5" s="483">
        <f>+Общо!BK5</f>
        <v>2098870.2800000003</v>
      </c>
      <c r="BW5" s="483">
        <f>+Общо!BL5</f>
        <v>0</v>
      </c>
      <c r="BX5" s="483">
        <f>+Общо!BM5</f>
        <v>58860</v>
      </c>
      <c r="BY5" s="483">
        <f>+Общо!BN5</f>
        <v>0</v>
      </c>
      <c r="BZ5" s="484">
        <f>SUM(BR5:BY5)</f>
        <v>8982852.5500000007</v>
      </c>
      <c r="CB5" s="329">
        <f>+CB4+1</f>
        <v>45384</v>
      </c>
      <c r="CC5" s="485">
        <f>+Общо!BR5</f>
        <v>0</v>
      </c>
      <c r="CD5" s="485">
        <f>+Общо!BS5</f>
        <v>0</v>
      </c>
      <c r="CE5" s="485">
        <f>+Общо!BT5</f>
        <v>0</v>
      </c>
      <c r="CF5" s="485">
        <f>+Общо!BU5</f>
        <v>0</v>
      </c>
      <c r="CG5" s="485">
        <f>+Общо!BV5</f>
        <v>11618458.91</v>
      </c>
      <c r="CH5" s="485">
        <f>+Общо!BW5</f>
        <v>15249723.549999999</v>
      </c>
      <c r="CI5" s="485">
        <f>+Общо!BX5</f>
        <v>0</v>
      </c>
      <c r="CJ5" s="485">
        <f>+Общо!BY5</f>
        <v>3567553.1529600001</v>
      </c>
      <c r="CK5" s="484">
        <f t="shared" si="13"/>
        <v>30435735.61296</v>
      </c>
      <c r="CM5" s="329">
        <f>+CM4+1</f>
        <v>45384</v>
      </c>
      <c r="CN5" s="486">
        <f>+Общо!CC5</f>
        <v>6825122.2699999996</v>
      </c>
      <c r="CO5" s="486">
        <f>+Общо!CD5</f>
        <v>0</v>
      </c>
      <c r="CP5" s="486">
        <f>+Общо!CE5</f>
        <v>0</v>
      </c>
      <c r="CQ5" s="486">
        <f>+Общо!CF5</f>
        <v>0</v>
      </c>
      <c r="CR5" s="486">
        <f>+Общо!CG5</f>
        <v>13717329.190000001</v>
      </c>
      <c r="CS5" s="486">
        <f>+Общо!CH5</f>
        <v>15249723.549999999</v>
      </c>
      <c r="CT5" s="486">
        <f>+Общо!CI5</f>
        <v>58860</v>
      </c>
      <c r="CU5" s="486">
        <f>+Общо!CJ5</f>
        <v>3567553.1529600001</v>
      </c>
      <c r="CV5" s="487">
        <f t="shared" ref="CV5:CV17" si="27">SUM(CN5:CU5)</f>
        <v>39418588.16296</v>
      </c>
      <c r="CX5" s="520">
        <v>45292</v>
      </c>
      <c r="CY5" s="521">
        <f>+'баланс 2024'!C5</f>
        <v>3083.9513161290315</v>
      </c>
      <c r="CZ5" s="522">
        <f>+'баланс 2024'!D5</f>
        <v>303.02045806451611</v>
      </c>
      <c r="DA5" s="523">
        <f>+'баланс 2024'!E5</f>
        <v>1319.3548387096773</v>
      </c>
      <c r="DB5" s="524">
        <f>+'баланс 2024'!F5</f>
        <v>2459.8709677419356</v>
      </c>
      <c r="DC5" s="525">
        <f>+'баланс 2024'!G5</f>
        <v>0</v>
      </c>
      <c r="DD5" s="526">
        <f>+'баланс 2024'!H5</f>
        <v>1332.1737096774204</v>
      </c>
      <c r="DE5" s="527">
        <f>+'баланс 2024'!I5</f>
        <v>8216.9912903225813</v>
      </c>
    </row>
    <row r="6" spans="2:109" x14ac:dyDescent="0.25">
      <c r="B6" s="47">
        <f t="shared" ref="B6:B33" si="28">+B5+1</f>
        <v>45385</v>
      </c>
      <c r="C6" s="458">
        <f>+Общо!C6+Общо!D6+Общо!E6+Общо!F6+Общо!L6+Общо!Y6+Общо!G6</f>
        <v>1215.7619999999999</v>
      </c>
      <c r="D6" s="459">
        <f>+(Общо!C6+Общо!D6+Общо!E6+Общо!F6+Общо!G6+Общо!L6)*Цени!$G$41+Общо!Y6*Цени!$G$41</f>
        <v>71535.436079999999</v>
      </c>
      <c r="E6" s="459">
        <f>+Перник!T17</f>
        <v>0</v>
      </c>
      <c r="F6" s="460">
        <f>+Общо!H6+Общо!I6+Общо!J6+Общо!K6+Общо!M6+Общо!N6+Общо!O6+Общо!P6+Общо!Q6+Общо!R6+Общо!S6+Общо!T6+Общо!U6+Общо!V6+Общо!W6</f>
        <v>68.150000000000006</v>
      </c>
      <c r="G6" s="461">
        <f>+Общо!H6*Цени!$G$44+Общо!I6*Цени!$G$44+Общо!J6*Цени!$G$44+Общо!K6*Цени!$G$44+Общо!M6*Цени!$G$44+Общо!N6*Цени!$G$44+Общо!O6*Цени!$G$44+Общо!P6*Цени!$G$44+Общо!Q6*Цени!$G$44+Общо!R6*Цени!$G$45+Общо!S6*Цени!$G$44+Общо!T6*Цени!$G$43+Общо!W6*ЕМИ!E6</f>
        <v>3541.9332999999997</v>
      </c>
      <c r="H6" s="461">
        <f>+'Борса и балансиране'!F6</f>
        <v>0</v>
      </c>
      <c r="I6" s="461">
        <f>+'Борса и балансиране'!H6</f>
        <v>0</v>
      </c>
      <c r="J6" s="461">
        <f>+'Борса и балансиране'!J6</f>
        <v>0</v>
      </c>
      <c r="K6" s="461">
        <f>+'Борса и балансиране'!N6</f>
        <v>0</v>
      </c>
      <c r="L6" s="461">
        <f>+Цени!L5</f>
        <v>0</v>
      </c>
      <c r="M6" s="461">
        <f>+Цени!N5</f>
        <v>0</v>
      </c>
      <c r="N6" s="462">
        <f t="shared" si="14"/>
        <v>1283.912</v>
      </c>
      <c r="O6" s="463">
        <f t="shared" si="15"/>
        <v>75077.369380000004</v>
      </c>
      <c r="Q6" s="47">
        <f t="shared" ref="Q6:Q33" si="29">+Q5+1</f>
        <v>45385</v>
      </c>
      <c r="R6" s="461">
        <f>+Цени!E5</f>
        <v>0</v>
      </c>
      <c r="S6" s="461">
        <f>+Цени!E5*Цени!$E$35</f>
        <v>0</v>
      </c>
      <c r="T6" s="461">
        <f>+Цени!F5+Цени!C5</f>
        <v>15</v>
      </c>
      <c r="U6" s="461">
        <f>+(Цени!F5)*Цени!$F$35+Цени!C5*Цени!$C$35</f>
        <v>996.15</v>
      </c>
      <c r="V6" s="461">
        <f>+Цени!D5</f>
        <v>0</v>
      </c>
      <c r="W6" s="461">
        <f>+Цени!D5*Цени!$D$35</f>
        <v>0</v>
      </c>
      <c r="X6" s="461">
        <f>+'Борса и балансиране'!C6</f>
        <v>1250</v>
      </c>
      <c r="Y6" s="461">
        <f>+'Борса и балансиране'!E6</f>
        <v>54404.2</v>
      </c>
      <c r="Z6" s="461">
        <f>+'Борса и балансиране'!K6*-1</f>
        <v>18.912000000000035</v>
      </c>
      <c r="AA6" s="461">
        <f>+'Борса и балансиране'!O6*-1</f>
        <v>888.41</v>
      </c>
      <c r="AB6" s="461">
        <f t="shared" si="16"/>
        <v>1283.912</v>
      </c>
      <c r="AC6" s="464">
        <f t="shared" si="17"/>
        <v>56288.76</v>
      </c>
      <c r="AD6" s="465">
        <f t="shared" si="0"/>
        <v>0</v>
      </c>
      <c r="AE6" s="394">
        <f t="shared" ref="AE6:AE33" si="30">+AE5+1</f>
        <v>45385</v>
      </c>
      <c r="AF6" s="466">
        <f t="shared" si="18"/>
        <v>56288.76</v>
      </c>
      <c r="AG6" s="466">
        <f t="shared" si="1"/>
        <v>75077.369380000004</v>
      </c>
      <c r="AH6" s="467">
        <f t="shared" si="2"/>
        <v>18788.609380000002</v>
      </c>
      <c r="AI6" s="463">
        <f>+Плевен!S6+(Общо!C6+Общо!D6+Общо!E6+Общо!F6+Общо!G6+Общо!S6+Общо!L6+Общо!Y6)*Цени!$E$56</f>
        <v>3686.981033</v>
      </c>
      <c r="AJ6" s="463">
        <v>4715</v>
      </c>
      <c r="AK6" s="464">
        <f>+Общо!AK6</f>
        <v>2485</v>
      </c>
      <c r="AL6" s="468">
        <f>+(Цени!$E$35-Цени!$M$1)*Цени!E5</f>
        <v>0</v>
      </c>
      <c r="AM6" s="469">
        <f t="shared" si="19"/>
        <v>15275.590413000002</v>
      </c>
      <c r="AN6" s="470"/>
      <c r="AO6" s="394">
        <f t="shared" ref="AO6:AO33" si="31">+AO5+1</f>
        <v>45385</v>
      </c>
      <c r="AP6" s="471">
        <f t="shared" si="3"/>
        <v>58.84</v>
      </c>
      <c r="AQ6" s="471">
        <f t="shared" si="4"/>
        <v>51.972608950843721</v>
      </c>
      <c r="AR6" s="471">
        <f t="shared" si="5"/>
        <v>0</v>
      </c>
      <c r="AS6" s="471">
        <f t="shared" si="6"/>
        <v>0</v>
      </c>
      <c r="AT6" s="472">
        <f t="shared" si="7"/>
        <v>0</v>
      </c>
      <c r="AU6" s="470"/>
      <c r="AV6" s="473">
        <f t="shared" si="20"/>
        <v>66.41</v>
      </c>
      <c r="AW6" s="474">
        <f>+IFERROR(#REF!/#REF!,0)</f>
        <v>0</v>
      </c>
      <c r="AX6" s="474">
        <f t="shared" si="21"/>
        <v>0</v>
      </c>
      <c r="AY6" s="471">
        <f t="shared" si="22"/>
        <v>43.523359999999997</v>
      </c>
      <c r="AZ6" s="471">
        <f>+'Борса и балансиране'!M6</f>
        <v>46.975729999999999</v>
      </c>
      <c r="BA6" s="472">
        <f t="shared" si="10"/>
        <v>0</v>
      </c>
      <c r="BB6" s="470"/>
      <c r="BC6" s="475">
        <f>+Общо!AQ6</f>
        <v>58.84</v>
      </c>
      <c r="BD6" s="476">
        <f>+Общо!AR6</f>
        <v>43.841602851285757</v>
      </c>
      <c r="BE6" s="477">
        <f>+Общо!AS6</f>
        <v>51.438329000000003</v>
      </c>
      <c r="BF6" s="478">
        <f t="shared" si="23"/>
        <v>-7.5967261487142466</v>
      </c>
      <c r="BH6" s="475">
        <f t="shared" si="24"/>
        <v>43.841602851285757</v>
      </c>
      <c r="BI6" s="479">
        <f t="shared" si="12"/>
        <v>58.475479144988128</v>
      </c>
      <c r="BJ6" s="478">
        <f t="shared" si="25"/>
        <v>14.633876293702372</v>
      </c>
      <c r="BK6" s="488"/>
      <c r="BL6" s="394">
        <f t="shared" ref="BL6:BL33" si="32">+BL5+1</f>
        <v>45385</v>
      </c>
      <c r="BM6" s="481">
        <f>+Общо!BB6</f>
        <v>147998.64500000011</v>
      </c>
      <c r="BN6" s="476">
        <f>+Общо!BC6</f>
        <v>229.36627236379309</v>
      </c>
      <c r="BO6" s="482">
        <f>+Общо!BD6</f>
        <v>33945897.518542349</v>
      </c>
      <c r="BQ6" s="329">
        <f t="shared" ref="BQ6:BQ33" si="33">+BQ5+1</f>
        <v>45385</v>
      </c>
      <c r="BR6" s="483">
        <f>+Общо!BG6</f>
        <v>6825122.2699999996</v>
      </c>
      <c r="BS6" s="483">
        <f>+Общо!BH6</f>
        <v>1913745.64</v>
      </c>
      <c r="BT6" s="483">
        <f>+Общо!BI6</f>
        <v>0</v>
      </c>
      <c r="BU6" s="483">
        <f>+Общо!BJ6</f>
        <v>397936.4200000001</v>
      </c>
      <c r="BV6" s="483">
        <f>+Общо!BK6</f>
        <v>2433275.39</v>
      </c>
      <c r="BW6" s="483">
        <f>+Общо!BL6</f>
        <v>0</v>
      </c>
      <c r="BX6" s="483">
        <f>+Общо!BM6</f>
        <v>179041.49</v>
      </c>
      <c r="BY6" s="483">
        <f>+Общо!BN6</f>
        <v>0</v>
      </c>
      <c r="BZ6" s="484">
        <f>SUM(BR6:BY6)</f>
        <v>11749121.210000001</v>
      </c>
      <c r="CB6" s="329">
        <f t="shared" ref="CB6:CB33" si="34">+CB5+1</f>
        <v>45385</v>
      </c>
      <c r="CC6" s="485">
        <f>+Общо!BR6</f>
        <v>0</v>
      </c>
      <c r="CD6" s="485">
        <f>+Общо!BS6</f>
        <v>0</v>
      </c>
      <c r="CE6" s="485">
        <f>+Общо!BT6</f>
        <v>0</v>
      </c>
      <c r="CF6" s="485">
        <f>+Общо!BU6</f>
        <v>0</v>
      </c>
      <c r="CG6" s="485">
        <f>+Общо!BV6</f>
        <v>13717329.190000001</v>
      </c>
      <c r="CH6" s="485">
        <f>+Общо!BW6</f>
        <v>15249723.549999999</v>
      </c>
      <c r="CI6" s="485">
        <f>+Общо!BX6</f>
        <v>0</v>
      </c>
      <c r="CJ6" s="485">
        <f>+Общо!BY6</f>
        <v>3567553.1529600001</v>
      </c>
      <c r="CK6" s="484">
        <f t="shared" si="13"/>
        <v>32534605.892960001</v>
      </c>
      <c r="CM6" s="329">
        <f t="shared" ref="CM6:CM33" si="35">+CM5+1</f>
        <v>45385</v>
      </c>
      <c r="CN6" s="486">
        <f>+Общо!CC6</f>
        <v>6825122.2699999996</v>
      </c>
      <c r="CO6" s="486">
        <f>+Общо!CD6</f>
        <v>1913745.64</v>
      </c>
      <c r="CP6" s="486">
        <f>+Общо!CE6</f>
        <v>0</v>
      </c>
      <c r="CQ6" s="486">
        <f>+Общо!CF6</f>
        <v>397936.4200000001</v>
      </c>
      <c r="CR6" s="486">
        <f>+Общо!CG6</f>
        <v>16150604.580000002</v>
      </c>
      <c r="CS6" s="486">
        <f>+Общо!CH6</f>
        <v>15249723.549999999</v>
      </c>
      <c r="CT6" s="486">
        <f>+Общо!CI6</f>
        <v>179041.49</v>
      </c>
      <c r="CU6" s="486">
        <f>+Общо!CJ6</f>
        <v>3567553.1529600001</v>
      </c>
      <c r="CV6" s="487">
        <f t="shared" si="27"/>
        <v>44283727.102960005</v>
      </c>
      <c r="CX6" s="528">
        <v>45323</v>
      </c>
      <c r="CY6" s="529">
        <f>+'баланс 2024'!C6</f>
        <v>2675.8590999999992</v>
      </c>
      <c r="CZ6" s="530">
        <f>+'баланс 2024'!D6</f>
        <v>261.26200344827583</v>
      </c>
      <c r="DA6" s="531">
        <f>+'баланс 2024'!E6</f>
        <v>2558.6206896551726</v>
      </c>
      <c r="DB6" s="532">
        <f>+'баланс 2024'!F6</f>
        <v>1937.9310344827586</v>
      </c>
      <c r="DC6" s="529">
        <f>+'баланс 2024'!G6</f>
        <v>0</v>
      </c>
      <c r="DD6" s="533">
        <f>+'баланс 2024'!H6</f>
        <v>306.04341379310335</v>
      </c>
      <c r="DE6" s="531">
        <f>+'баланс 2024'!I6</f>
        <v>7526.379310344827</v>
      </c>
    </row>
    <row r="7" spans="2:109" x14ac:dyDescent="0.25">
      <c r="B7" s="47">
        <f t="shared" si="28"/>
        <v>45386</v>
      </c>
      <c r="C7" s="458">
        <f>+Общо!C7+Общо!D7+Общо!E7+Общо!F7+Общо!L7+Общо!Y7+Общо!G7</f>
        <v>1348.1100000000001</v>
      </c>
      <c r="D7" s="459">
        <f>+(Общо!C7+Общо!D7+Общо!E7+Общо!F7+Общо!G7+Общо!L7)*Цени!$G$41+Общо!Y7*Цени!$G$41</f>
        <v>79322.792400000006</v>
      </c>
      <c r="E7" s="459">
        <f>+Перник!T18</f>
        <v>0</v>
      </c>
      <c r="F7" s="460">
        <f>+Общо!H7+Общо!I7+Общо!J7+Общо!K7+Общо!M7+Общо!N7+Общо!O7+Общо!P7+Общо!Q7+Общо!R7+Общо!S7+Общо!T7+Общо!U7+Общо!V7+Общо!W7</f>
        <v>81.493000000000009</v>
      </c>
      <c r="G7" s="461">
        <f>+Общо!H7*Цени!$G$44+Общо!I7*Цени!$G$44+Общо!J7*Цени!$G$44+Общо!K7*Цени!$G$44+Общо!M7*Цени!$G$44+Общо!N7*Цени!$G$44+Общо!O7*Цени!$G$44+Общо!P7*Цени!$G$44+Общо!Q7*Цени!$G$44+Общо!R7*Цени!$G$45+Общо!S7*Цени!$G$44+Общо!T7*Цени!$G$43+Общо!W7*ЕМИ!E7</f>
        <v>4175.2301099999986</v>
      </c>
      <c r="H7" s="461">
        <f>+'Борса и балансиране'!F7</f>
        <v>0</v>
      </c>
      <c r="I7" s="461">
        <f>+'Борса и балансиране'!H7</f>
        <v>0</v>
      </c>
      <c r="J7" s="461">
        <f>+'Борса и балансиране'!J7</f>
        <v>25.396999999999935</v>
      </c>
      <c r="K7" s="461">
        <f>+'Борса и балансиране'!N7</f>
        <v>989.68</v>
      </c>
      <c r="L7" s="461">
        <f>+Цени!L6</f>
        <v>0</v>
      </c>
      <c r="M7" s="461">
        <f>+Цени!N6</f>
        <v>0</v>
      </c>
      <c r="N7" s="462">
        <f t="shared" si="14"/>
        <v>1455</v>
      </c>
      <c r="O7" s="463">
        <f t="shared" si="15"/>
        <v>84487.702510000003</v>
      </c>
      <c r="Q7" s="47">
        <f t="shared" si="29"/>
        <v>45386</v>
      </c>
      <c r="R7" s="461">
        <f>+Цени!E6</f>
        <v>0</v>
      </c>
      <c r="S7" s="461">
        <f>+Цени!E6*Цени!$E$35</f>
        <v>0</v>
      </c>
      <c r="T7" s="461">
        <f>+Цени!F6+Цени!C6</f>
        <v>15</v>
      </c>
      <c r="U7" s="461">
        <f>+(Цени!F6)*Цени!$F$35+Цени!C6*Цени!$C$35</f>
        <v>996.15</v>
      </c>
      <c r="V7" s="461">
        <f>+Цени!D6</f>
        <v>0</v>
      </c>
      <c r="W7" s="461">
        <f>+Цени!D6*Цени!$D$35</f>
        <v>0</v>
      </c>
      <c r="X7" s="461">
        <f>+'Борса и балансиране'!C7</f>
        <v>1440</v>
      </c>
      <c r="Y7" s="461">
        <f>+'Борса и балансиране'!E7</f>
        <v>61900.9</v>
      </c>
      <c r="Z7" s="461">
        <f>+'Борса и балансиране'!K7*-1</f>
        <v>0</v>
      </c>
      <c r="AA7" s="461">
        <f>+'Борса и балансиране'!O7*-1</f>
        <v>0</v>
      </c>
      <c r="AB7" s="461">
        <f t="shared" si="16"/>
        <v>1455</v>
      </c>
      <c r="AC7" s="464">
        <f t="shared" si="17"/>
        <v>62897.05</v>
      </c>
      <c r="AD7" s="465">
        <f t="shared" si="0"/>
        <v>0</v>
      </c>
      <c r="AE7" s="394">
        <f t="shared" si="30"/>
        <v>45386</v>
      </c>
      <c r="AF7" s="466">
        <f t="shared" si="18"/>
        <v>62897.05</v>
      </c>
      <c r="AG7" s="466">
        <f t="shared" si="1"/>
        <v>84487.702510000003</v>
      </c>
      <c r="AH7" s="467">
        <f t="shared" si="2"/>
        <v>21590.65251</v>
      </c>
      <c r="AI7" s="463">
        <f>+Плевен!S7+(Общо!C7+Общо!D7+Общо!E7+Общо!F7+Общо!G7+Общо!S7+Общо!L7+Общо!Y7)*Цени!$E$56</f>
        <v>3775.2570150000001</v>
      </c>
      <c r="AJ7" s="463">
        <v>4715</v>
      </c>
      <c r="AK7" s="464">
        <f>+Общо!AK7</f>
        <v>2485</v>
      </c>
      <c r="AL7" s="468">
        <f>+(Цени!$E$35-Цени!$M$1)*Цени!E6</f>
        <v>0</v>
      </c>
      <c r="AM7" s="469">
        <f t="shared" si="19"/>
        <v>18165.909524999999</v>
      </c>
      <c r="AN7" s="470"/>
      <c r="AO7" s="394">
        <f t="shared" si="31"/>
        <v>45386</v>
      </c>
      <c r="AP7" s="471">
        <f t="shared" si="3"/>
        <v>58.839999999999996</v>
      </c>
      <c r="AQ7" s="471">
        <f t="shared" si="4"/>
        <v>51.234217785576654</v>
      </c>
      <c r="AR7" s="471">
        <f t="shared" si="5"/>
        <v>0</v>
      </c>
      <c r="AS7" s="471">
        <f t="shared" si="6"/>
        <v>38.968382092373211</v>
      </c>
      <c r="AT7" s="472">
        <f t="shared" si="7"/>
        <v>0</v>
      </c>
      <c r="AU7" s="470"/>
      <c r="AV7" s="473">
        <f t="shared" si="20"/>
        <v>66.41</v>
      </c>
      <c r="AW7" s="474">
        <f>+IFERROR(#REF!/#REF!,0)</f>
        <v>0</v>
      </c>
      <c r="AX7" s="474">
        <f t="shared" si="21"/>
        <v>0</v>
      </c>
      <c r="AY7" s="471">
        <f t="shared" si="22"/>
        <v>42.986736111111114</v>
      </c>
      <c r="AZ7" s="471">
        <f>+'Борса и балансиране'!M7</f>
        <v>0</v>
      </c>
      <c r="BA7" s="472">
        <f t="shared" si="10"/>
        <v>0</v>
      </c>
      <c r="BB7" s="470"/>
      <c r="BC7" s="475">
        <f>+Общо!AQ7</f>
        <v>58.84</v>
      </c>
      <c r="BD7" s="476">
        <f>+Общо!AR7</f>
        <v>43.228213058419243</v>
      </c>
      <c r="BE7" s="477">
        <f>+Общо!AS7</f>
        <v>50.851579999999998</v>
      </c>
      <c r="BF7" s="478">
        <f t="shared" si="23"/>
        <v>-7.6233669415807555</v>
      </c>
      <c r="BH7" s="475">
        <f t="shared" si="24"/>
        <v>43.228213058419243</v>
      </c>
      <c r="BI7" s="479">
        <f t="shared" si="12"/>
        <v>58.067149491408934</v>
      </c>
      <c r="BJ7" s="478">
        <f t="shared" si="25"/>
        <v>14.838936432989691</v>
      </c>
      <c r="BK7" s="488"/>
      <c r="BL7" s="394">
        <f t="shared" si="32"/>
        <v>45386</v>
      </c>
      <c r="BM7" s="481">
        <f>+Общо!BB7</f>
        <v>147998.64500000011</v>
      </c>
      <c r="BN7" s="476">
        <f>+Общо!BC7</f>
        <v>229.36627236379309</v>
      </c>
      <c r="BO7" s="482">
        <f>+Общо!BD7</f>
        <v>33945897.518542349</v>
      </c>
      <c r="BQ7" s="329">
        <f t="shared" si="33"/>
        <v>45386</v>
      </c>
      <c r="BR7" s="483">
        <f>+Общо!BG7</f>
        <v>6825122.2699999996</v>
      </c>
      <c r="BS7" s="483">
        <f>+Общо!BH7</f>
        <v>1913745.64</v>
      </c>
      <c r="BT7" s="483">
        <f>+Общо!BI7</f>
        <v>0</v>
      </c>
      <c r="BU7" s="483">
        <f>+Общо!BJ7</f>
        <v>397936.4200000001</v>
      </c>
      <c r="BV7" s="483">
        <f>+Общо!BK7</f>
        <v>2433275.39</v>
      </c>
      <c r="BW7" s="483">
        <f>+Общо!BL7</f>
        <v>0</v>
      </c>
      <c r="BX7" s="483">
        <f>+Общо!BM7</f>
        <v>179041.49</v>
      </c>
      <c r="BY7" s="483">
        <f>+Общо!BN7</f>
        <v>0</v>
      </c>
      <c r="BZ7" s="484">
        <f t="shared" ref="BZ7:BZ17" si="36">SUM(BR7:BY7)</f>
        <v>11749121.210000001</v>
      </c>
      <c r="CB7" s="329">
        <f t="shared" si="34"/>
        <v>45386</v>
      </c>
      <c r="CC7" s="485">
        <f>+Общо!BR7</f>
        <v>0</v>
      </c>
      <c r="CD7" s="485">
        <f>+Общо!BS7</f>
        <v>0</v>
      </c>
      <c r="CE7" s="485">
        <f>+Общо!BT7</f>
        <v>0</v>
      </c>
      <c r="CF7" s="485">
        <f>+Общо!BU7</f>
        <v>0</v>
      </c>
      <c r="CG7" s="485">
        <f>+Общо!BV7</f>
        <v>13717329.190000001</v>
      </c>
      <c r="CH7" s="485">
        <f>+Общо!BW7</f>
        <v>15249723.549999999</v>
      </c>
      <c r="CI7" s="485">
        <f>+Общо!BX7</f>
        <v>0</v>
      </c>
      <c r="CJ7" s="485">
        <f>+Общо!BY7</f>
        <v>3567553.1529600001</v>
      </c>
      <c r="CK7" s="484">
        <f t="shared" si="13"/>
        <v>32534605.892960001</v>
      </c>
      <c r="CM7" s="329">
        <f t="shared" si="35"/>
        <v>45386</v>
      </c>
      <c r="CN7" s="486">
        <f>+Общо!CC7</f>
        <v>6825122.2699999996</v>
      </c>
      <c r="CO7" s="486">
        <f>+Общо!CD7</f>
        <v>1913745.64</v>
      </c>
      <c r="CP7" s="486">
        <f>+Общо!CE7</f>
        <v>0</v>
      </c>
      <c r="CQ7" s="486">
        <f>+Общо!CF7</f>
        <v>397936.4200000001</v>
      </c>
      <c r="CR7" s="486">
        <f>+Общо!CG7</f>
        <v>16150604.580000002</v>
      </c>
      <c r="CS7" s="486">
        <f>+Общо!CH7</f>
        <v>15249723.549999999</v>
      </c>
      <c r="CT7" s="486">
        <f>+Общо!CI7</f>
        <v>179041.49</v>
      </c>
      <c r="CU7" s="486">
        <f>+Общо!CJ7</f>
        <v>3567553.1529600001</v>
      </c>
      <c r="CV7" s="487">
        <f t="shared" si="27"/>
        <v>44283727.102960005</v>
      </c>
      <c r="CX7" s="528">
        <v>45352</v>
      </c>
      <c r="CY7" s="529">
        <f>+'баланс 2024'!C7</f>
        <v>4921.5907516129027</v>
      </c>
      <c r="CZ7" s="530">
        <f>+'баланс 2024'!D7</f>
        <v>524.08892580645158</v>
      </c>
      <c r="DA7" s="531">
        <f>+'баланс 2024'!E7</f>
        <v>800</v>
      </c>
      <c r="DB7" s="532">
        <f>+'баланс 2024'!F7</f>
        <v>1099.895935483871</v>
      </c>
      <c r="DC7" s="529">
        <f>+'баланс 2024'!G7</f>
        <v>0</v>
      </c>
      <c r="DD7" s="533">
        <f>+'баланс 2024'!H7</f>
        <v>914.48196774193457</v>
      </c>
      <c r="DE7" s="531">
        <f>+'баланс 2024'!I7</f>
        <v>8044.5220322580635</v>
      </c>
    </row>
    <row r="8" spans="2:109" x14ac:dyDescent="0.25">
      <c r="B8" s="47">
        <f t="shared" si="28"/>
        <v>45387</v>
      </c>
      <c r="C8" s="458">
        <f>+Общо!C8+Общо!D8+Общо!E8+Общо!F8+Общо!L8+Общо!Y8+Общо!G8</f>
        <v>1390.1880000000001</v>
      </c>
      <c r="D8" s="459">
        <f>+(Общо!C8+Общо!D8+Общо!E8+Общо!F8+Общо!G8+Общо!L8)*Цени!$G$41+Общо!Y8*Цени!$G$41</f>
        <v>81798.661920000013</v>
      </c>
      <c r="E8" s="459">
        <f>+Перник!T19</f>
        <v>0</v>
      </c>
      <c r="F8" s="460">
        <f>+Общо!H8+Общо!I8+Общо!J8+Общо!K8+Общо!M8+Общо!N8+Общо!O8+Общо!P8+Общо!Q8+Общо!R8+Общо!S8+Общо!T8+Общо!U8+Общо!V8+Общо!W8</f>
        <v>68.234000000000009</v>
      </c>
      <c r="G8" s="461">
        <f>+Общо!H8*Цени!$G$44+Общо!I8*Цени!$G$44+Общо!J8*Цени!$G$44+Общо!K8*Цени!$G$44+Общо!M8*Цени!$G$44+Общо!N8*Цени!$G$44+Общо!O8*Цени!$G$44+Общо!P8*Цени!$G$44+Общо!Q8*Цени!$G$44+Общо!R8*Цени!$G$45+Общо!S8*Цени!$G$44+Общо!T8*Цени!$G$43+Общо!W8*ЕМИ!E8</f>
        <v>3550.5259599999995</v>
      </c>
      <c r="H8" s="461">
        <f>+'Борса и балансиране'!F8</f>
        <v>0</v>
      </c>
      <c r="I8" s="461">
        <f>+'Борса и балансиране'!H8</f>
        <v>0</v>
      </c>
      <c r="J8" s="461">
        <f>+'Борса и балансиране'!J8</f>
        <v>0</v>
      </c>
      <c r="K8" s="461">
        <f>+'Борса и балансиране'!N8</f>
        <v>0</v>
      </c>
      <c r="L8" s="461">
        <f>+Цени!L7</f>
        <v>0</v>
      </c>
      <c r="M8" s="461">
        <f>+Цени!N7</f>
        <v>0</v>
      </c>
      <c r="N8" s="462">
        <f t="shared" si="14"/>
        <v>1458.422</v>
      </c>
      <c r="O8" s="463">
        <f t="shared" si="15"/>
        <v>85349.187880000012</v>
      </c>
      <c r="Q8" s="47">
        <f t="shared" si="29"/>
        <v>45387</v>
      </c>
      <c r="R8" s="461">
        <f>+Цени!E7</f>
        <v>0</v>
      </c>
      <c r="S8" s="461">
        <f>+Цени!E7*Цени!$E$35</f>
        <v>0</v>
      </c>
      <c r="T8" s="461">
        <f>+Цени!F7+Цени!C7</f>
        <v>15</v>
      </c>
      <c r="U8" s="461">
        <f>+(Цени!F7)*Цени!$F$35+Цени!C7*Цени!$C$35</f>
        <v>996.15</v>
      </c>
      <c r="V8" s="461">
        <f>+Цени!D7</f>
        <v>0</v>
      </c>
      <c r="W8" s="461">
        <f>+Цени!D7*Цени!$D$35</f>
        <v>0</v>
      </c>
      <c r="X8" s="461">
        <f>+'Борса и балансиране'!C8</f>
        <v>1327</v>
      </c>
      <c r="Y8" s="461">
        <f>+'Борса и балансиране'!E8</f>
        <v>55358</v>
      </c>
      <c r="Z8" s="461">
        <f>+'Борса и балансиране'!K8*-1</f>
        <v>116.42200000000003</v>
      </c>
      <c r="AA8" s="461">
        <f>+'Борса и балансиране'!O8*-1</f>
        <v>5218.22</v>
      </c>
      <c r="AB8" s="461">
        <f t="shared" si="16"/>
        <v>1458.422</v>
      </c>
      <c r="AC8" s="464">
        <f t="shared" si="17"/>
        <v>61572.37</v>
      </c>
      <c r="AD8" s="465">
        <f t="shared" si="0"/>
        <v>0</v>
      </c>
      <c r="AE8" s="394">
        <f t="shared" si="30"/>
        <v>45387</v>
      </c>
      <c r="AF8" s="466">
        <f t="shared" si="18"/>
        <v>61572.37</v>
      </c>
      <c r="AG8" s="466">
        <f t="shared" si="1"/>
        <v>85349.187880000012</v>
      </c>
      <c r="AH8" s="467">
        <f t="shared" si="2"/>
        <v>23776.81788000001</v>
      </c>
      <c r="AI8" s="463">
        <f>+Плевен!S8+(Общо!C8+Общо!D8+Общо!E8+Общо!F8+Общо!G8+Общо!S8+Общо!L8+Общо!Y8)*Цени!$E$56</f>
        <v>3780.0307419999999</v>
      </c>
      <c r="AJ8" s="463">
        <v>4715</v>
      </c>
      <c r="AK8" s="464">
        <f>+Общо!AK8</f>
        <v>2485</v>
      </c>
      <c r="AL8" s="468">
        <f>+(Цени!$E$35-Цени!$M$1)*Цени!E7</f>
        <v>0</v>
      </c>
      <c r="AM8" s="469">
        <f t="shared" si="19"/>
        <v>20356.848622000009</v>
      </c>
      <c r="AN8" s="470"/>
      <c r="AO8" s="394">
        <f t="shared" si="31"/>
        <v>45387</v>
      </c>
      <c r="AP8" s="471">
        <f t="shared" si="3"/>
        <v>58.84</v>
      </c>
      <c r="AQ8" s="471">
        <f t="shared" si="4"/>
        <v>52.03455696573554</v>
      </c>
      <c r="AR8" s="471">
        <f t="shared" si="5"/>
        <v>0</v>
      </c>
      <c r="AS8" s="471">
        <f t="shared" si="6"/>
        <v>0</v>
      </c>
      <c r="AT8" s="472">
        <f t="shared" si="7"/>
        <v>0</v>
      </c>
      <c r="AU8" s="470"/>
      <c r="AV8" s="473">
        <f t="shared" si="20"/>
        <v>66.41</v>
      </c>
      <c r="AW8" s="474">
        <f>+IFERROR(#REF!/#REF!,0)</f>
        <v>0</v>
      </c>
      <c r="AX8" s="474">
        <f t="shared" si="21"/>
        <v>0</v>
      </c>
      <c r="AY8" s="471">
        <f t="shared" si="22"/>
        <v>41.716654107008289</v>
      </c>
      <c r="AZ8" s="471">
        <f>+'Борса и балансиране'!M8</f>
        <v>44.821579999999997</v>
      </c>
      <c r="BA8" s="472">
        <f t="shared" si="10"/>
        <v>0</v>
      </c>
      <c r="BB8" s="470"/>
      <c r="BC8" s="475">
        <f>+Общо!AQ8</f>
        <v>58.84</v>
      </c>
      <c r="BD8" s="476">
        <f>+Общо!AR8</f>
        <v>42.218486830286437</v>
      </c>
      <c r="BE8" s="477">
        <f>+Общо!AS8</f>
        <v>52.220661</v>
      </c>
      <c r="BF8" s="478">
        <f t="shared" si="23"/>
        <v>-10.002174169713562</v>
      </c>
      <c r="BH8" s="475">
        <f t="shared" si="24"/>
        <v>42.218486830286437</v>
      </c>
      <c r="BI8" s="479">
        <f t="shared" si="12"/>
        <v>58.521599290191737</v>
      </c>
      <c r="BJ8" s="478">
        <f t="shared" si="25"/>
        <v>16.3031124599053</v>
      </c>
      <c r="BL8" s="394">
        <f t="shared" si="32"/>
        <v>45387</v>
      </c>
      <c r="BM8" s="481">
        <f>+Общо!BB8</f>
        <v>147998.64500000011</v>
      </c>
      <c r="BN8" s="476">
        <f>+Общо!BC8</f>
        <v>229.36627236379309</v>
      </c>
      <c r="BO8" s="482">
        <f>+Общо!BD8</f>
        <v>33945897.518542349</v>
      </c>
      <c r="BQ8" s="329">
        <f t="shared" si="33"/>
        <v>45387</v>
      </c>
      <c r="BR8" s="483">
        <f>+Общо!BG8</f>
        <v>6825122.2699999996</v>
      </c>
      <c r="BS8" s="483">
        <f>+Общо!BH8</f>
        <v>1913745.64</v>
      </c>
      <c r="BT8" s="483">
        <f>+Общо!BI8</f>
        <v>0</v>
      </c>
      <c r="BU8" s="483">
        <f>+Общо!BJ8</f>
        <v>397936.4200000001</v>
      </c>
      <c r="BV8" s="483">
        <f>+Общо!BK8</f>
        <v>2433275.39</v>
      </c>
      <c r="BW8" s="483">
        <f>+Общо!BL8</f>
        <v>0</v>
      </c>
      <c r="BX8" s="483">
        <f>+Общо!BM8</f>
        <v>179041.49</v>
      </c>
      <c r="BY8" s="483">
        <f>+Общо!BN8</f>
        <v>0</v>
      </c>
      <c r="BZ8" s="484">
        <f>SUM(BR8:BY8)</f>
        <v>11749121.210000001</v>
      </c>
      <c r="CB8" s="329">
        <f t="shared" si="34"/>
        <v>45387</v>
      </c>
      <c r="CC8" s="485">
        <f>+Общо!BR8</f>
        <v>0</v>
      </c>
      <c r="CD8" s="485">
        <f>+Общо!BS8</f>
        <v>0</v>
      </c>
      <c r="CE8" s="485">
        <f>+Общо!BT8</f>
        <v>0</v>
      </c>
      <c r="CF8" s="485">
        <f>+Общо!BU8</f>
        <v>0</v>
      </c>
      <c r="CG8" s="485">
        <f>+Общо!BV8</f>
        <v>13717329.190000001</v>
      </c>
      <c r="CH8" s="485">
        <f>+Общо!BW8</f>
        <v>15249723.549999999</v>
      </c>
      <c r="CI8" s="485">
        <f>+Общо!BX8</f>
        <v>0</v>
      </c>
      <c r="CJ8" s="485">
        <f>+Общо!BY8</f>
        <v>3567553.1529600001</v>
      </c>
      <c r="CK8" s="484">
        <f t="shared" si="13"/>
        <v>32534605.892960001</v>
      </c>
      <c r="CM8" s="329">
        <f t="shared" si="35"/>
        <v>45387</v>
      </c>
      <c r="CN8" s="486">
        <f>+Общо!CC8</f>
        <v>6825122.2699999996</v>
      </c>
      <c r="CO8" s="486">
        <f>+Общо!CD8</f>
        <v>1913745.64</v>
      </c>
      <c r="CP8" s="486">
        <f>+Общо!CE8</f>
        <v>0</v>
      </c>
      <c r="CQ8" s="486">
        <f>+Общо!CF8</f>
        <v>397936.4200000001</v>
      </c>
      <c r="CR8" s="486">
        <f>+Общо!CG8</f>
        <v>16150604.580000002</v>
      </c>
      <c r="CS8" s="486">
        <f>+Общо!CH8</f>
        <v>15249723.549999999</v>
      </c>
      <c r="CT8" s="486">
        <f>+Общо!CI8</f>
        <v>179041.49</v>
      </c>
      <c r="CU8" s="486">
        <f>+Общо!CJ8</f>
        <v>3567553.1529600001</v>
      </c>
      <c r="CV8" s="487">
        <f t="shared" si="27"/>
        <v>44283727.102960005</v>
      </c>
      <c r="CX8" s="528">
        <v>45383</v>
      </c>
      <c r="CY8" s="529">
        <f>+'баланс 2024'!C8</f>
        <v>5805.6430333333392</v>
      </c>
      <c r="CZ8" s="530">
        <f>+'баланс 2024'!D8</f>
        <v>620.25663333333409</v>
      </c>
      <c r="DA8" s="531">
        <f>+'баланс 2024'!E8</f>
        <v>0</v>
      </c>
      <c r="DB8" s="532">
        <f>+'баланс 2024'!F8</f>
        <v>0</v>
      </c>
      <c r="DC8" s="529">
        <f>+'баланс 2024'!G8</f>
        <v>0</v>
      </c>
      <c r="DD8" s="533">
        <f>+'баланс 2024'!H8</f>
        <v>460.83766666665906</v>
      </c>
      <c r="DE8" s="531">
        <f>+'баланс 2024'!I8</f>
        <v>6736.7373333333326</v>
      </c>
    </row>
    <row r="9" spans="2:109" x14ac:dyDescent="0.25">
      <c r="B9" s="47">
        <f t="shared" si="28"/>
        <v>45388</v>
      </c>
      <c r="C9" s="458">
        <f>+Общо!C9+Общо!D9+Общо!E9+Общо!F9+Общо!L9+Общо!Y9+Общо!G9</f>
        <v>1437.6180000000002</v>
      </c>
      <c r="D9" s="459">
        <f>+(Общо!C9+Общо!D9+Общо!E9+Общо!F9+Общо!G9+Общо!L9)*Цени!$G$41+Общо!Y9*Цени!$G$41</f>
        <v>84589.443120000011</v>
      </c>
      <c r="E9" s="459">
        <f>+Перник!T20</f>
        <v>0</v>
      </c>
      <c r="F9" s="460">
        <f>+Общо!H9+Общо!I9+Общо!J9+Общо!K9+Общо!M9+Общо!N9+Общо!O9+Общо!P9+Общо!Q9+Общо!R9+Общо!S9+Общо!T9+Общо!U9+Общо!V9+Общо!W9</f>
        <v>67.69</v>
      </c>
      <c r="G9" s="461">
        <f>+Общо!H9*Цени!$G$44+Общо!I9*Цени!$G$44+Общо!J9*Цени!$G$44+Общо!K9*Цени!$G$44+Общо!M9*Цени!$G$44+Общо!N9*Цени!$G$44+Общо!O9*Цени!$G$44+Общо!P9*Цени!$G$44+Общо!Q9*Цени!$G$44+Общо!R9*Цени!$G$45+Общо!S9*Цени!$G$44+Общо!T9*Цени!$G$43+Общо!W9*ЕМИ!E9</f>
        <v>3433.8975</v>
      </c>
      <c r="H9" s="461">
        <f>+'Борса и балансиране'!F9</f>
        <v>0</v>
      </c>
      <c r="I9" s="461">
        <f>+'Борса и балансиране'!H9</f>
        <v>0</v>
      </c>
      <c r="J9" s="461">
        <f>+'Борса и балансиране'!J9</f>
        <v>0</v>
      </c>
      <c r="K9" s="461">
        <f>+'Борса и балансиране'!N9</f>
        <v>0</v>
      </c>
      <c r="L9" s="461">
        <f>+Цени!L8</f>
        <v>0</v>
      </c>
      <c r="M9" s="461">
        <f>+Цени!N8</f>
        <v>0</v>
      </c>
      <c r="N9" s="462">
        <f t="shared" si="14"/>
        <v>1505.3080000000002</v>
      </c>
      <c r="O9" s="463">
        <f t="shared" si="15"/>
        <v>88023.340620000017</v>
      </c>
      <c r="Q9" s="47">
        <f t="shared" si="29"/>
        <v>45388</v>
      </c>
      <c r="R9" s="461">
        <f>+Цени!E8</f>
        <v>0</v>
      </c>
      <c r="S9" s="461">
        <f>+Цени!E8*Цени!$E$35</f>
        <v>0</v>
      </c>
      <c r="T9" s="461">
        <f>+Цени!F8+Цени!C8</f>
        <v>15</v>
      </c>
      <c r="U9" s="461">
        <f>+(Цени!F8)*Цени!$F$35+Цени!C8*Цени!$C$35</f>
        <v>996.15</v>
      </c>
      <c r="V9" s="461">
        <f>+Цени!D8</f>
        <v>0</v>
      </c>
      <c r="W9" s="461">
        <f>+Цени!D8*Цени!$D$35</f>
        <v>0</v>
      </c>
      <c r="X9" s="461">
        <f>+'Борса и балансиране'!C9</f>
        <v>1435</v>
      </c>
      <c r="Y9" s="461">
        <f>+'Борса и балансиране'!E9</f>
        <v>57240.5</v>
      </c>
      <c r="Z9" s="461">
        <f>+'Борса и балансиране'!K9*-1</f>
        <v>55.307999999999993</v>
      </c>
      <c r="AA9" s="461">
        <f>+'Борса и балансиране'!O9*-1</f>
        <v>2371.34</v>
      </c>
      <c r="AB9" s="461">
        <f t="shared" si="16"/>
        <v>1505.308</v>
      </c>
      <c r="AC9" s="464">
        <f t="shared" si="17"/>
        <v>60607.990000000005</v>
      </c>
      <c r="AD9" s="465">
        <f t="shared" si="0"/>
        <v>0</v>
      </c>
      <c r="AE9" s="394">
        <f t="shared" si="30"/>
        <v>45388</v>
      </c>
      <c r="AF9" s="466">
        <f t="shared" ref="AF9" si="37">+AC9</f>
        <v>60607.990000000005</v>
      </c>
      <c r="AG9" s="466">
        <f t="shared" si="1"/>
        <v>88023.340620000017</v>
      </c>
      <c r="AH9" s="467">
        <f t="shared" si="2"/>
        <v>27415.350620000012</v>
      </c>
      <c r="AI9" s="463">
        <f>+Плевен!S9+(Общо!C9+Общо!D9+Общо!E9+Общо!F9+Общо!G9+Общо!S9+Общо!L9+Общо!Y9)*Цени!$E$56</f>
        <v>3732.6605369999997</v>
      </c>
      <c r="AJ9" s="463">
        <v>4715</v>
      </c>
      <c r="AK9" s="464">
        <f>+Общо!AK9</f>
        <v>2485</v>
      </c>
      <c r="AL9" s="468">
        <f>+(Цени!$E$35-Цени!$M$1)*Цени!E8</f>
        <v>0</v>
      </c>
      <c r="AM9" s="469">
        <f t="shared" si="19"/>
        <v>23948.011157000012</v>
      </c>
      <c r="AO9" s="394">
        <f t="shared" si="31"/>
        <v>45388</v>
      </c>
      <c r="AP9" s="471">
        <f t="shared" si="3"/>
        <v>58.84</v>
      </c>
      <c r="AQ9" s="471">
        <f t="shared" si="4"/>
        <v>50.729760673659328</v>
      </c>
      <c r="AR9" s="471">
        <f t="shared" si="5"/>
        <v>0</v>
      </c>
      <c r="AS9" s="471">
        <f t="shared" si="6"/>
        <v>0</v>
      </c>
      <c r="AT9" s="472">
        <f t="shared" si="7"/>
        <v>0</v>
      </c>
      <c r="AV9" s="473">
        <f t="shared" si="20"/>
        <v>66.41</v>
      </c>
      <c r="AW9" s="474">
        <f>+IFERROR(#REF!/#REF!,0)</f>
        <v>0</v>
      </c>
      <c r="AX9" s="474">
        <f t="shared" si="21"/>
        <v>0</v>
      </c>
      <c r="AY9" s="471">
        <f t="shared" si="22"/>
        <v>39.888850174216024</v>
      </c>
      <c r="AZ9" s="471">
        <f>+'Борса и балансиране'!M9</f>
        <v>42.875129999999999</v>
      </c>
      <c r="BA9" s="472">
        <f t="shared" si="10"/>
        <v>0</v>
      </c>
      <c r="BC9" s="475">
        <f>+Общо!AQ9</f>
        <v>58.84</v>
      </c>
      <c r="BD9" s="476">
        <f>+Общо!AR9</f>
        <v>40.262849861955168</v>
      </c>
      <c r="BE9" s="477">
        <f>+Общо!AS9</f>
        <v>52.562931249999998</v>
      </c>
      <c r="BF9" s="478">
        <f t="shared" si="23"/>
        <v>-12.300081388044831</v>
      </c>
      <c r="BH9" s="475">
        <f t="shared" si="24"/>
        <v>40.262849861955168</v>
      </c>
      <c r="BI9" s="479">
        <f t="shared" si="12"/>
        <v>58.475302476303852</v>
      </c>
      <c r="BJ9" s="478">
        <f t="shared" si="25"/>
        <v>18.212452614348685</v>
      </c>
      <c r="BL9" s="394">
        <f t="shared" si="32"/>
        <v>45388</v>
      </c>
      <c r="BM9" s="481">
        <f>+Общо!BB9</f>
        <v>147998.64500000011</v>
      </c>
      <c r="BN9" s="476">
        <f>+Общо!BC9</f>
        <v>229.36627236379309</v>
      </c>
      <c r="BO9" s="482">
        <f>+Общо!BD9</f>
        <v>33945897.518542349</v>
      </c>
      <c r="BQ9" s="329">
        <f t="shared" si="33"/>
        <v>45388</v>
      </c>
      <c r="BR9" s="483">
        <f>+Общо!BG9</f>
        <v>6825122.2699999996</v>
      </c>
      <c r="BS9" s="483">
        <f>+Общо!BH9</f>
        <v>1913745.64</v>
      </c>
      <c r="BT9" s="483">
        <f>+Общо!BI9</f>
        <v>0</v>
      </c>
      <c r="BU9" s="483">
        <f>+Общо!BJ9</f>
        <v>397936.4200000001</v>
      </c>
      <c r="BV9" s="483">
        <f>+Общо!BK9</f>
        <v>2433275.39</v>
      </c>
      <c r="BW9" s="483">
        <f>+Общо!BL9</f>
        <v>0</v>
      </c>
      <c r="BX9" s="483">
        <f>+Общо!BM9</f>
        <v>179041.49</v>
      </c>
      <c r="BY9" s="483">
        <f>+Общо!BN9</f>
        <v>0</v>
      </c>
      <c r="BZ9" s="484">
        <f>SUM(BR9:BY9)</f>
        <v>11749121.210000001</v>
      </c>
      <c r="CB9" s="329">
        <f t="shared" si="34"/>
        <v>45388</v>
      </c>
      <c r="CC9" s="485">
        <f>+Общо!BR9</f>
        <v>0</v>
      </c>
      <c r="CD9" s="485">
        <f>+Общо!BS9</f>
        <v>0</v>
      </c>
      <c r="CE9" s="485">
        <f>+Общо!BT9</f>
        <v>0</v>
      </c>
      <c r="CF9" s="485">
        <f>+Общо!BU9</f>
        <v>0</v>
      </c>
      <c r="CG9" s="485">
        <f>+Общо!BV9</f>
        <v>13717329.190000001</v>
      </c>
      <c r="CH9" s="485">
        <f>+Общо!BW9</f>
        <v>15249723.549999999</v>
      </c>
      <c r="CI9" s="485">
        <f>+Общо!BX9</f>
        <v>0</v>
      </c>
      <c r="CJ9" s="485">
        <f>+Общо!BY9</f>
        <v>3567553.1529600001</v>
      </c>
      <c r="CK9" s="484">
        <f t="shared" si="13"/>
        <v>32534605.892960001</v>
      </c>
      <c r="CM9" s="329">
        <f t="shared" si="35"/>
        <v>45388</v>
      </c>
      <c r="CN9" s="486">
        <f>+Общо!CC9</f>
        <v>6825122.2699999996</v>
      </c>
      <c r="CO9" s="486">
        <f>+Общо!CD9</f>
        <v>1913745.64</v>
      </c>
      <c r="CP9" s="486">
        <f>+Общо!CE9</f>
        <v>0</v>
      </c>
      <c r="CQ9" s="486">
        <f>+Общо!CF9</f>
        <v>397936.4200000001</v>
      </c>
      <c r="CR9" s="486">
        <f>+Общо!CG9</f>
        <v>16150604.580000002</v>
      </c>
      <c r="CS9" s="486">
        <f>+Общо!CH9</f>
        <v>15249723.549999999</v>
      </c>
      <c r="CT9" s="486">
        <f>+Общо!CI9</f>
        <v>179041.49</v>
      </c>
      <c r="CU9" s="486">
        <f>+Общо!CJ9</f>
        <v>3567553.1529600001</v>
      </c>
      <c r="CV9" s="487">
        <f t="shared" si="27"/>
        <v>44283727.102960005</v>
      </c>
      <c r="CX9" s="528">
        <v>45413</v>
      </c>
      <c r="CY9" s="529">
        <f>+'баланс 2024'!C9</f>
        <v>4282.9677419354875</v>
      </c>
      <c r="CZ9" s="530">
        <f>+'баланс 2024'!D9</f>
        <v>451.87096774193583</v>
      </c>
      <c r="DA9" s="531">
        <f>+'баланс 2024'!E9</f>
        <v>0</v>
      </c>
      <c r="DB9" s="532">
        <f>+'баланс 2024'!F9</f>
        <v>0</v>
      </c>
      <c r="DC9" s="529">
        <f>+'баланс 2024'!G9</f>
        <v>0</v>
      </c>
      <c r="DD9" s="533">
        <f>+'баланс 2024'!H9</f>
        <v>1011.2893225806411</v>
      </c>
      <c r="DE9" s="531">
        <f>+'баланс 2024'!I9</f>
        <v>5596.1280322580642</v>
      </c>
    </row>
    <row r="10" spans="2:109" x14ac:dyDescent="0.25">
      <c r="B10" s="47">
        <f t="shared" si="28"/>
        <v>45389</v>
      </c>
      <c r="C10" s="458">
        <f>+Общо!C10+Общо!D10+Общо!E10+Общо!F10+Общо!L10+Общо!Y10+Общо!G10</f>
        <v>1425.096</v>
      </c>
      <c r="D10" s="459">
        <f>+(Общо!C10+Общо!D10+Общо!E10+Общо!F10+Общо!G10+Общо!L10)*Цени!$G$41+Общо!Y10*Цени!$G$41</f>
        <v>83852.648639999999</v>
      </c>
      <c r="E10" s="459">
        <f>+Перник!T21</f>
        <v>0</v>
      </c>
      <c r="F10" s="460">
        <f>+Общо!H10+Общо!I10+Общо!J10+Общо!K10+Общо!M10+Общо!N10+Общо!O10+Общо!P10+Общо!Q10+Общо!R10+Общо!S10+Общо!T10+Общо!U10+Общо!V10+Общо!W10</f>
        <v>44.878</v>
      </c>
      <c r="G10" s="461">
        <f>+Общо!H10*Цени!$G$44+Общо!I10*Цени!$G$44+Общо!J10*Цени!$G$44+Общо!K10*Цени!$G$44+Общо!M10*Цени!$G$44+Общо!N10*Цени!$G$44+Общо!O10*Цени!$G$44+Общо!P10*Цени!$G$44+Общо!Q10*Цени!$G$44+Общо!R10*Цени!$G$45+Общо!S10*Цени!$G$44+Общо!T10*Цени!$G$43+Общо!W10*ЕМИ!E10</f>
        <v>2341.9886999999999</v>
      </c>
      <c r="H10" s="461">
        <f>+'Борса и балансиране'!F10</f>
        <v>0</v>
      </c>
      <c r="I10" s="461">
        <f>+'Борса и балансиране'!H10</f>
        <v>0</v>
      </c>
      <c r="J10" s="461">
        <f>+'Борса и балансиране'!J10</f>
        <v>0</v>
      </c>
      <c r="K10" s="461">
        <f>+'Борса и балансиране'!N10</f>
        <v>0</v>
      </c>
      <c r="L10" s="461">
        <f>+Цени!L9</f>
        <v>0</v>
      </c>
      <c r="M10" s="461">
        <f>+Цени!N9</f>
        <v>0</v>
      </c>
      <c r="N10" s="462">
        <f t="shared" si="14"/>
        <v>1469.9739999999999</v>
      </c>
      <c r="O10" s="463">
        <f t="shared" si="15"/>
        <v>86194.637340000001</v>
      </c>
      <c r="Q10" s="47">
        <f t="shared" si="29"/>
        <v>45389</v>
      </c>
      <c r="R10" s="461">
        <f>+Цени!E9</f>
        <v>0</v>
      </c>
      <c r="S10" s="461">
        <f>+Цени!E9*Цени!$E$35</f>
        <v>0</v>
      </c>
      <c r="T10" s="461">
        <f>+Цени!F9+Цени!C9</f>
        <v>15</v>
      </c>
      <c r="U10" s="461">
        <f>+(Цени!F9)*Цени!$F$35+Цени!C9*Цени!$C$35</f>
        <v>996.15</v>
      </c>
      <c r="V10" s="461">
        <f>+Цени!D9</f>
        <v>0</v>
      </c>
      <c r="W10" s="461">
        <f>+Цени!D9*Цени!$D$35</f>
        <v>0</v>
      </c>
      <c r="X10" s="461">
        <f>+'Борса и балансиране'!C10</f>
        <v>1400</v>
      </c>
      <c r="Y10" s="461">
        <f>+'Борса и балансиране'!E10</f>
        <v>55775</v>
      </c>
      <c r="Z10" s="461">
        <f>+'Борса и балансиране'!K10*-1</f>
        <v>54.973999999999933</v>
      </c>
      <c r="AA10" s="461">
        <f>+'Борса и балансиране'!O10*-1</f>
        <v>2360.15</v>
      </c>
      <c r="AB10" s="461">
        <f t="shared" si="16"/>
        <v>1469.9739999999999</v>
      </c>
      <c r="AC10" s="464">
        <f t="shared" si="17"/>
        <v>59131.3</v>
      </c>
      <c r="AD10" s="465">
        <f t="shared" si="0"/>
        <v>0</v>
      </c>
      <c r="AE10" s="394">
        <f t="shared" si="30"/>
        <v>45389</v>
      </c>
      <c r="AF10" s="466">
        <f t="shared" ref="AF10:AF29" si="38">+AC10</f>
        <v>59131.3</v>
      </c>
      <c r="AG10" s="466">
        <f t="shared" si="1"/>
        <v>86194.637340000001</v>
      </c>
      <c r="AH10" s="467">
        <f t="shared" si="2"/>
        <v>27063.337339999998</v>
      </c>
      <c r="AI10" s="463">
        <f>+Плевен!S10+(Общо!C10+Общо!D10+Общо!E10+Общо!F10+Общо!G10+Общо!S10+Общо!L10+Общо!Y10)*Цени!$E$56</f>
        <v>3732.8905639999998</v>
      </c>
      <c r="AJ10" s="463">
        <v>4715</v>
      </c>
      <c r="AK10" s="464">
        <f>+Общо!AK10</f>
        <v>2485</v>
      </c>
      <c r="AL10" s="468">
        <f>+(Цени!$E$35-Цени!$M$1)*Цени!E9</f>
        <v>0</v>
      </c>
      <c r="AM10" s="469">
        <f t="shared" si="19"/>
        <v>23596.227903999999</v>
      </c>
      <c r="AO10" s="394">
        <f t="shared" si="31"/>
        <v>45389</v>
      </c>
      <c r="AP10" s="471">
        <f t="shared" si="3"/>
        <v>58.839999999999996</v>
      </c>
      <c r="AQ10" s="471">
        <f t="shared" si="4"/>
        <v>52.185674495298365</v>
      </c>
      <c r="AR10" s="471">
        <f t="shared" si="5"/>
        <v>0</v>
      </c>
      <c r="AS10" s="471">
        <f t="shared" si="6"/>
        <v>0</v>
      </c>
      <c r="AT10" s="472">
        <f t="shared" si="7"/>
        <v>0</v>
      </c>
      <c r="AV10" s="473">
        <f t="shared" si="20"/>
        <v>66.41</v>
      </c>
      <c r="AW10" s="474">
        <f>+IFERROR(#REF!/#REF!,0)</f>
        <v>0</v>
      </c>
      <c r="AX10" s="474">
        <f t="shared" si="21"/>
        <v>0</v>
      </c>
      <c r="AY10" s="471">
        <f t="shared" si="22"/>
        <v>39.839285714285715</v>
      </c>
      <c r="AZ10" s="471">
        <f>+'Борса и балансиране'!M10</f>
        <v>42.932070000000003</v>
      </c>
      <c r="BA10" s="472">
        <f t="shared" si="10"/>
        <v>0</v>
      </c>
      <c r="BC10" s="475">
        <f>+Общо!AQ10</f>
        <v>58.84</v>
      </c>
      <c r="BD10" s="476">
        <f>+Общо!AR10</f>
        <v>40.226085631446544</v>
      </c>
      <c r="BE10" s="477">
        <f>+Общо!AS10</f>
        <v>52.562931249999998</v>
      </c>
      <c r="BF10" s="478">
        <f t="shared" si="23"/>
        <v>-12.336845618553454</v>
      </c>
      <c r="BH10" s="475">
        <f t="shared" si="24"/>
        <v>40.226085631446544</v>
      </c>
      <c r="BI10" s="479">
        <f t="shared" si="12"/>
        <v>58.636844828547993</v>
      </c>
      <c r="BJ10" s="478">
        <f t="shared" si="25"/>
        <v>18.410759197101449</v>
      </c>
      <c r="BL10" s="394">
        <f t="shared" si="32"/>
        <v>45389</v>
      </c>
      <c r="BM10" s="481">
        <f>+Общо!BB10</f>
        <v>147998.64500000011</v>
      </c>
      <c r="BN10" s="476">
        <f>+Общо!BC10</f>
        <v>229.36627236379309</v>
      </c>
      <c r="BO10" s="482">
        <f>+Общо!BD10</f>
        <v>33945897.518542349</v>
      </c>
      <c r="BQ10" s="329">
        <f t="shared" si="33"/>
        <v>45389</v>
      </c>
      <c r="BR10" s="483">
        <f>+Общо!BG10</f>
        <v>6825122.2699999996</v>
      </c>
      <c r="BS10" s="483">
        <f>+Общо!BH10</f>
        <v>1913745.64</v>
      </c>
      <c r="BT10" s="483">
        <f>+Общо!BI10</f>
        <v>1291527.2399999998</v>
      </c>
      <c r="BU10" s="483">
        <f>+Общо!BJ10</f>
        <v>397936.4200000001</v>
      </c>
      <c r="BV10" s="483">
        <f>+Общо!BK10</f>
        <v>2433275.39</v>
      </c>
      <c r="BW10" s="483">
        <f>+Общо!BL10</f>
        <v>2389248.8800000004</v>
      </c>
      <c r="BX10" s="483">
        <f>+Общо!BM10</f>
        <v>79326</v>
      </c>
      <c r="BY10" s="483">
        <f>+Общо!BN10</f>
        <v>0</v>
      </c>
      <c r="BZ10" s="484">
        <f>SUM(BR10:BY10)</f>
        <v>15330181.840000002</v>
      </c>
      <c r="CB10" s="329">
        <f t="shared" si="34"/>
        <v>45389</v>
      </c>
      <c r="CC10" s="485">
        <f>+Общо!BR10</f>
        <v>0</v>
      </c>
      <c r="CD10" s="485">
        <f>+Общо!BS10</f>
        <v>0</v>
      </c>
      <c r="CE10" s="485">
        <f>+Общо!BT10</f>
        <v>0</v>
      </c>
      <c r="CF10" s="485">
        <f>+Общо!BU10</f>
        <v>0</v>
      </c>
      <c r="CG10" s="485">
        <f>+Общо!BV10</f>
        <v>13717329.190000001</v>
      </c>
      <c r="CH10" s="485">
        <f>+Общо!BW10</f>
        <v>15249723.549999999</v>
      </c>
      <c r="CI10" s="485">
        <f>+Общо!BX10</f>
        <v>0</v>
      </c>
      <c r="CJ10" s="485">
        <f>+Общо!BY10</f>
        <v>3567553.1529600001</v>
      </c>
      <c r="CK10" s="484">
        <f t="shared" si="13"/>
        <v>32534605.892960001</v>
      </c>
      <c r="CM10" s="329">
        <f t="shared" si="35"/>
        <v>45389</v>
      </c>
      <c r="CN10" s="486">
        <f>+Общо!CC10</f>
        <v>6825122.2699999996</v>
      </c>
      <c r="CO10" s="486">
        <f>+Общо!CD10</f>
        <v>1913745.64</v>
      </c>
      <c r="CP10" s="486">
        <f>+Общо!CE10</f>
        <v>1291527.2399999998</v>
      </c>
      <c r="CQ10" s="486">
        <f>+Общо!CF10</f>
        <v>397936.4200000001</v>
      </c>
      <c r="CR10" s="486">
        <f>+Общо!CG10</f>
        <v>16150604.580000002</v>
      </c>
      <c r="CS10" s="486">
        <f>+Общо!CH10</f>
        <v>17638972.43</v>
      </c>
      <c r="CT10" s="486">
        <f>+Общо!CI10</f>
        <v>79326</v>
      </c>
      <c r="CU10" s="486">
        <f>+Общо!CJ10</f>
        <v>3567553.1529600001</v>
      </c>
      <c r="CV10" s="487">
        <f t="shared" si="27"/>
        <v>47864787.732960001</v>
      </c>
      <c r="CX10" s="528">
        <v>45444</v>
      </c>
      <c r="CY10" s="529">
        <f>+'баланс 2024'!C10</f>
        <v>4116.4533333333375</v>
      </c>
      <c r="CZ10" s="530">
        <f>+'баланс 2024'!D10</f>
        <v>437.01333333333372</v>
      </c>
      <c r="DA10" s="531">
        <f>+'баланс 2024'!E10</f>
        <v>0</v>
      </c>
      <c r="DB10" s="532">
        <f>+'баланс 2024'!F10</f>
        <v>0</v>
      </c>
      <c r="DC10" s="529">
        <f>+'баланс 2024'!G10</f>
        <v>0</v>
      </c>
      <c r="DD10" s="533">
        <f>+'баланс 2024'!H10</f>
        <v>1015.8906666666626</v>
      </c>
      <c r="DE10" s="531">
        <f>+'баланс 2024'!I10</f>
        <v>5419.3573333333334</v>
      </c>
    </row>
    <row r="11" spans="2:109" x14ac:dyDescent="0.25">
      <c r="B11" s="47">
        <f t="shared" si="28"/>
        <v>45390</v>
      </c>
      <c r="C11" s="458">
        <f>+Общо!C11+Общо!D11+Общо!E11+Общо!F11+Общо!L11+Общо!Y11+Общо!G11</f>
        <v>1321.6960000000001</v>
      </c>
      <c r="D11" s="459">
        <f>+(Общо!C11+Общо!D11+Общо!E11+Общо!F11+Общо!G11+Общо!L11)*Цени!$G$41+Общо!Y11*Цени!$G$41</f>
        <v>77768.592640000003</v>
      </c>
      <c r="E11" s="459">
        <f>+Перник!T22</f>
        <v>0</v>
      </c>
      <c r="F11" s="460">
        <f>+Общо!H11+Общо!I11+Общо!J11+Общо!K11+Общо!M11+Общо!N11+Общо!O11+Общо!P11+Общо!Q11+Общо!R11+Общо!S11+Общо!T11+Общо!U11+Общо!V11+Общо!W11</f>
        <v>74.191000000000003</v>
      </c>
      <c r="G11" s="461">
        <f>+Общо!H11*Цени!$G$44+Общо!I11*Цени!$G$44+Общо!J11*Цени!$G$44+Общо!K11*Цени!$G$44+Общо!M11*Цени!$G$44+Общо!N11*Цени!$G$44+Общо!O11*Цени!$G$44+Общо!P11*Цени!$G$44+Общо!Q11*Цени!$G$44+Общо!R11*Цени!$G$45+Общо!S11*Цени!$G$44+Общо!T11*Цени!$G$43+Общо!W11*ЕМИ!E11</f>
        <v>3869.7050699999991</v>
      </c>
      <c r="H11" s="461">
        <f>+'Борса и балансиране'!F11</f>
        <v>0</v>
      </c>
      <c r="I11" s="461">
        <f>+'Борса и балансиране'!H11</f>
        <v>0</v>
      </c>
      <c r="J11" s="461">
        <f>+'Борса и балансиране'!J11</f>
        <v>0</v>
      </c>
      <c r="K11" s="461">
        <f>+'Борса и балансиране'!N11</f>
        <v>0</v>
      </c>
      <c r="L11" s="461">
        <f>+Цени!L10</f>
        <v>0</v>
      </c>
      <c r="M11" s="461">
        <f>+Цени!N10</f>
        <v>0</v>
      </c>
      <c r="N11" s="462">
        <f t="shared" si="14"/>
        <v>1395.8870000000002</v>
      </c>
      <c r="O11" s="463">
        <f t="shared" si="15"/>
        <v>81638.297709999999</v>
      </c>
      <c r="Q11" s="47">
        <f t="shared" si="29"/>
        <v>45390</v>
      </c>
      <c r="R11" s="461">
        <f>+Цени!E10</f>
        <v>0</v>
      </c>
      <c r="S11" s="461">
        <f>+Цени!E10*Цени!$E$35</f>
        <v>0</v>
      </c>
      <c r="T11" s="461">
        <f>+Цени!F10+Цени!C10</f>
        <v>15</v>
      </c>
      <c r="U11" s="461">
        <f>+(Цени!F10)*Цени!$F$35+Цени!C10*Цени!$C$35</f>
        <v>996.15</v>
      </c>
      <c r="V11" s="461">
        <f>+Цени!D10</f>
        <v>0</v>
      </c>
      <c r="W11" s="461">
        <f>+Цени!D10*Цени!$D$35</f>
        <v>0</v>
      </c>
      <c r="X11" s="461">
        <f>+'Борса и балансиране'!C11</f>
        <v>1300</v>
      </c>
      <c r="Y11" s="461">
        <f>+'Борса и балансиране'!E11</f>
        <v>53350</v>
      </c>
      <c r="Z11" s="461">
        <f>+'Борса и балансиране'!K11*-1</f>
        <v>80.887000000000171</v>
      </c>
      <c r="AA11" s="461">
        <f>+'Борса и балансиране'!O11*-1</f>
        <v>3570.5</v>
      </c>
      <c r="AB11" s="461">
        <f t="shared" si="16"/>
        <v>1395.8870000000002</v>
      </c>
      <c r="AC11" s="464">
        <f t="shared" si="17"/>
        <v>57916.65</v>
      </c>
      <c r="AD11" s="465">
        <f t="shared" si="0"/>
        <v>0</v>
      </c>
      <c r="AE11" s="394">
        <f t="shared" si="30"/>
        <v>45390</v>
      </c>
      <c r="AF11" s="466">
        <f t="shared" si="38"/>
        <v>57916.65</v>
      </c>
      <c r="AG11" s="466">
        <f t="shared" si="1"/>
        <v>81638.297709999999</v>
      </c>
      <c r="AH11" s="467">
        <f t="shared" si="2"/>
        <v>23721.647709999997</v>
      </c>
      <c r="AI11" s="463">
        <f>+Плевен!S11+(Общо!C11+Общо!D11+Общо!E11+Общо!F11+Общо!G11+Общо!S11+Общо!L11+Общо!Y11)*Цени!$E$56</f>
        <v>3799.5364640000003</v>
      </c>
      <c r="AJ11" s="463">
        <v>4715</v>
      </c>
      <c r="AK11" s="464">
        <f>+Общо!AK11</f>
        <v>2485</v>
      </c>
      <c r="AL11" s="468">
        <f>+(Цени!$E$35-Цени!$M$1)*Цени!E10</f>
        <v>0</v>
      </c>
      <c r="AM11" s="469">
        <f t="shared" si="19"/>
        <v>20321.184173999998</v>
      </c>
      <c r="AO11" s="394">
        <f t="shared" si="31"/>
        <v>45390</v>
      </c>
      <c r="AP11" s="471">
        <f t="shared" si="3"/>
        <v>58.839999999999996</v>
      </c>
      <c r="AQ11" s="471">
        <f t="shared" si="4"/>
        <v>52.158685959213365</v>
      </c>
      <c r="AR11" s="471">
        <f t="shared" si="5"/>
        <v>0</v>
      </c>
      <c r="AS11" s="471">
        <f t="shared" si="6"/>
        <v>0</v>
      </c>
      <c r="AT11" s="472">
        <f t="shared" si="7"/>
        <v>0</v>
      </c>
      <c r="AV11" s="473">
        <f t="shared" si="20"/>
        <v>66.41</v>
      </c>
      <c r="AW11" s="474">
        <f>+IFERROR(#REF!/#REF!,0)</f>
        <v>0</v>
      </c>
      <c r="AX11" s="474">
        <f t="shared" si="21"/>
        <v>0</v>
      </c>
      <c r="AY11" s="471">
        <f t="shared" si="22"/>
        <v>41.03846153846154</v>
      </c>
      <c r="AZ11" s="471">
        <f>+'Борса и балансиране'!M11</f>
        <v>44.141829999999999</v>
      </c>
      <c r="BA11" s="472">
        <f t="shared" si="10"/>
        <v>0</v>
      </c>
      <c r="BC11" s="475">
        <f>+Общо!AQ11</f>
        <v>58.84</v>
      </c>
      <c r="BD11" s="476">
        <f>+Общо!AR11</f>
        <v>41.490930139760593</v>
      </c>
      <c r="BE11" s="477">
        <f>+Общо!AS11</f>
        <v>52.562931249999998</v>
      </c>
      <c r="BF11" s="478">
        <f t="shared" si="23"/>
        <v>-11.072001110239405</v>
      </c>
      <c r="BH11" s="475">
        <f t="shared" si="24"/>
        <v>41.490930139760593</v>
      </c>
      <c r="BI11" s="479">
        <f t="shared" si="12"/>
        <v>58.484890044824539</v>
      </c>
      <c r="BJ11" s="478">
        <f t="shared" si="25"/>
        <v>16.993959905063946</v>
      </c>
      <c r="BL11" s="394">
        <f t="shared" si="32"/>
        <v>45390</v>
      </c>
      <c r="BM11" s="481">
        <f>+Общо!BB11</f>
        <v>147998.64500000011</v>
      </c>
      <c r="BN11" s="476">
        <f>+Общо!BC11</f>
        <v>229.36627236379309</v>
      </c>
      <c r="BO11" s="482">
        <f>+Общо!BD11</f>
        <v>33945897.518542349</v>
      </c>
      <c r="BQ11" s="329">
        <f t="shared" si="33"/>
        <v>45390</v>
      </c>
      <c r="BR11" s="483">
        <f>+Общо!BG11</f>
        <v>5378456.4199999999</v>
      </c>
      <c r="BS11" s="483">
        <f>+Общо!BH11</f>
        <v>1913745.64</v>
      </c>
      <c r="BT11" s="483">
        <f>+Общо!BI11</f>
        <v>1291527.2399999998</v>
      </c>
      <c r="BU11" s="483">
        <f>+Общо!BJ11</f>
        <v>397936.4200000001</v>
      </c>
      <c r="BV11" s="483">
        <f>+Общо!BK11</f>
        <v>2433275.39</v>
      </c>
      <c r="BW11" s="483">
        <f>+Общо!BL11</f>
        <v>2389248.8800000004</v>
      </c>
      <c r="BX11" s="483">
        <f>+Общо!BM11</f>
        <v>80621.75</v>
      </c>
      <c r="BY11" s="483">
        <f>+Общо!BN11</f>
        <v>0</v>
      </c>
      <c r="BZ11" s="484">
        <f t="shared" si="36"/>
        <v>13884811.74</v>
      </c>
      <c r="CB11" s="329">
        <f t="shared" si="34"/>
        <v>45390</v>
      </c>
      <c r="CC11" s="485">
        <f>+Общо!BR11</f>
        <v>6786248.2699999996</v>
      </c>
      <c r="CD11" s="485">
        <f>+Общо!BS11</f>
        <v>0</v>
      </c>
      <c r="CE11" s="485">
        <f>+Общо!BT11</f>
        <v>0</v>
      </c>
      <c r="CF11" s="485">
        <f>+Общо!BU11</f>
        <v>0</v>
      </c>
      <c r="CG11" s="485">
        <f>+Общо!BV11</f>
        <v>13717329.190000001</v>
      </c>
      <c r="CH11" s="485">
        <f>+Общо!BW11</f>
        <v>15249723.549999999</v>
      </c>
      <c r="CI11" s="485">
        <f>+Общо!BX11</f>
        <v>0</v>
      </c>
      <c r="CJ11" s="485">
        <f>+Общо!BY11</f>
        <v>3567553.1529600001</v>
      </c>
      <c r="CK11" s="484">
        <f t="shared" si="13"/>
        <v>39320854.16296</v>
      </c>
      <c r="CM11" s="329">
        <f t="shared" si="35"/>
        <v>45390</v>
      </c>
      <c r="CN11" s="486">
        <f>+Общо!CC11</f>
        <v>12164704.689999999</v>
      </c>
      <c r="CO11" s="486">
        <f>+Общо!CD11</f>
        <v>1913745.64</v>
      </c>
      <c r="CP11" s="486">
        <f>+Общо!CE11</f>
        <v>1291527.2399999998</v>
      </c>
      <c r="CQ11" s="486">
        <f>+Общо!CF11</f>
        <v>397936.4200000001</v>
      </c>
      <c r="CR11" s="486">
        <f>+Общо!CG11</f>
        <v>16150604.580000002</v>
      </c>
      <c r="CS11" s="486">
        <f>+Общо!CH11</f>
        <v>17638972.43</v>
      </c>
      <c r="CT11" s="486">
        <f>+Общо!CI11</f>
        <v>80621.75</v>
      </c>
      <c r="CU11" s="486">
        <f>+Общо!CJ11</f>
        <v>3567553.1529600001</v>
      </c>
      <c r="CV11" s="487">
        <f t="shared" si="27"/>
        <v>53205665.902960002</v>
      </c>
      <c r="CX11" s="528">
        <v>45474</v>
      </c>
      <c r="CY11" s="529">
        <f>+'баланс 2024'!C11</f>
        <v>4121.9741935483898</v>
      </c>
      <c r="CZ11" s="530">
        <f>+'баланс 2024'!D11</f>
        <v>438.28387096774236</v>
      </c>
      <c r="DA11" s="531">
        <f>+'баланс 2024'!E11</f>
        <v>2400</v>
      </c>
      <c r="DB11" s="532">
        <f>+'баланс 2024'!F11</f>
        <v>0</v>
      </c>
      <c r="DC11" s="529">
        <f>+'баланс 2024'!G11</f>
        <v>0</v>
      </c>
      <c r="DD11" s="533">
        <f>+'баланс 2024'!H11</f>
        <v>2311.2972903225782</v>
      </c>
      <c r="DE11" s="531">
        <f>+'баланс 2024'!I11</f>
        <v>5421.5553548387097</v>
      </c>
    </row>
    <row r="12" spans="2:109" x14ac:dyDescent="0.25">
      <c r="B12" s="47">
        <f t="shared" si="28"/>
        <v>45391</v>
      </c>
      <c r="C12" s="458">
        <f>+Общо!C12+Общо!D12+Общо!E12+Общо!F12+Общо!L12+Общо!Y12+Общо!G12</f>
        <v>1336.046</v>
      </c>
      <c r="D12" s="459">
        <f>+(Общо!C12+Общо!D12+Общо!E12+Общо!F12+Общо!G12+Общо!L12)*Цени!$G$41+Общо!Y12*Цени!$G$41</f>
        <v>78612.946640000009</v>
      </c>
      <c r="E12" s="459">
        <f>+Перник!T23</f>
        <v>0</v>
      </c>
      <c r="F12" s="460">
        <f>+Общо!H12+Общо!I12+Общо!J12+Общо!K12+Общо!M12+Общо!N12+Общо!O12+Общо!P12+Общо!Q12+Общо!R12+Общо!S12+Общо!T12+Общо!U12+Общо!V12+Общо!W12</f>
        <v>65.384</v>
      </c>
      <c r="G12" s="461">
        <f>+Общо!H12*Цени!$G$44+Общо!I12*Цени!$G$44+Общо!J12*Цени!$G$44+Общо!K12*Цени!$G$44+Общо!M12*Цени!$G$44+Общо!N12*Цени!$G$44+Общо!O12*Цени!$G$44+Общо!P12*Цени!$G$44+Общо!Q12*Цени!$G$44+Общо!R12*Цени!$G$45+Общо!S12*Цени!$G$44+Общо!T12*Цени!$G$43+Общо!W12*ЕМИ!E12</f>
        <v>3402.3181999999997</v>
      </c>
      <c r="H12" s="461">
        <f>+'Борса и балансиране'!F12</f>
        <v>0</v>
      </c>
      <c r="I12" s="461">
        <f>+'Борса и балансиране'!H12</f>
        <v>0</v>
      </c>
      <c r="J12" s="461">
        <f>+'Борса и балансиране'!J12</f>
        <v>0</v>
      </c>
      <c r="K12" s="461">
        <f>+'Борса и балансиране'!N12</f>
        <v>0</v>
      </c>
      <c r="L12" s="461">
        <f>+Цени!L11</f>
        <v>0</v>
      </c>
      <c r="M12" s="461">
        <f>+Цени!N11</f>
        <v>0</v>
      </c>
      <c r="N12" s="462">
        <f t="shared" si="14"/>
        <v>1401.43</v>
      </c>
      <c r="O12" s="463">
        <f t="shared" si="15"/>
        <v>82015.264840000003</v>
      </c>
      <c r="Q12" s="47">
        <f t="shared" si="29"/>
        <v>45391</v>
      </c>
      <c r="R12" s="461">
        <f>+Цени!E11</f>
        <v>0</v>
      </c>
      <c r="S12" s="461">
        <f>+Цени!E11*Цени!$E$35</f>
        <v>0</v>
      </c>
      <c r="T12" s="461">
        <f>+Цени!F11+Цени!C11</f>
        <v>15</v>
      </c>
      <c r="U12" s="461">
        <f>+(Цени!F11)*Цени!$F$35+Цени!C11*Цени!$C$35</f>
        <v>996.15</v>
      </c>
      <c r="V12" s="461">
        <f>+Цени!D11</f>
        <v>0</v>
      </c>
      <c r="W12" s="461">
        <f>+Цени!D11*Цени!$D$35</f>
        <v>0</v>
      </c>
      <c r="X12" s="461">
        <f>+'Борса и балансиране'!C12</f>
        <v>1380</v>
      </c>
      <c r="Y12" s="461">
        <f>+'Борса и балансиране'!E12</f>
        <v>57801</v>
      </c>
      <c r="Z12" s="461">
        <f>+'Борса и балансиране'!K12*-1</f>
        <v>6.4300000000000637</v>
      </c>
      <c r="AA12" s="461">
        <f>+'Борса и балансиране'!O12*-1</f>
        <v>288.63</v>
      </c>
      <c r="AB12" s="461">
        <f t="shared" si="16"/>
        <v>1401.43</v>
      </c>
      <c r="AC12" s="464">
        <f t="shared" si="17"/>
        <v>59085.78</v>
      </c>
      <c r="AD12" s="465">
        <f t="shared" si="0"/>
        <v>0</v>
      </c>
      <c r="AE12" s="394">
        <f t="shared" si="30"/>
        <v>45391</v>
      </c>
      <c r="AF12" s="466">
        <f t="shared" si="38"/>
        <v>59085.78</v>
      </c>
      <c r="AG12" s="466">
        <f t="shared" si="1"/>
        <v>82015.264840000003</v>
      </c>
      <c r="AH12" s="467">
        <f t="shared" si="2"/>
        <v>22929.484840000005</v>
      </c>
      <c r="AI12" s="463">
        <f>+Плевен!S12+(Общо!C12+Общо!D12+Общо!E12+Общо!F12+Общо!G12+Общо!S12+Общо!L12+Общо!Y12)*Цени!$E$56</f>
        <v>3837.6078390000002</v>
      </c>
      <c r="AJ12" s="463">
        <v>4715</v>
      </c>
      <c r="AK12" s="464">
        <f>+Общо!AK12</f>
        <v>2485</v>
      </c>
      <c r="AL12" s="468">
        <f>+(Цени!$E$35-Цени!$M$1)*Цени!E11</f>
        <v>0</v>
      </c>
      <c r="AM12" s="469">
        <f t="shared" si="19"/>
        <v>19567.092679000005</v>
      </c>
      <c r="AN12" s="480"/>
      <c r="AO12" s="394">
        <f t="shared" si="31"/>
        <v>45391</v>
      </c>
      <c r="AP12" s="471">
        <f t="shared" si="3"/>
        <v>58.84</v>
      </c>
      <c r="AQ12" s="471">
        <f t="shared" si="4"/>
        <v>52.035944573595984</v>
      </c>
      <c r="AR12" s="471">
        <f t="shared" si="5"/>
        <v>0</v>
      </c>
      <c r="AS12" s="471">
        <f t="shared" si="6"/>
        <v>0</v>
      </c>
      <c r="AT12" s="472">
        <f t="shared" si="7"/>
        <v>0</v>
      </c>
      <c r="AV12" s="473">
        <f t="shared" si="20"/>
        <v>66.41</v>
      </c>
      <c r="AW12" s="474">
        <f>+IFERROR(#REF!/#REF!,0)</f>
        <v>0</v>
      </c>
      <c r="AX12" s="474">
        <f t="shared" si="21"/>
        <v>0</v>
      </c>
      <c r="AY12" s="471">
        <f t="shared" si="22"/>
        <v>41.884782608695652</v>
      </c>
      <c r="AZ12" s="471">
        <f>+'Борса и балансиране'!M12</f>
        <v>44.888449999999999</v>
      </c>
      <c r="BA12" s="472">
        <f t="shared" si="10"/>
        <v>0</v>
      </c>
      <c r="BC12" s="475">
        <f>+Общо!AQ12</f>
        <v>58.84</v>
      </c>
      <c r="BD12" s="476">
        <f>+Общо!AR12</f>
        <v>42.161064055999937</v>
      </c>
      <c r="BE12" s="477">
        <f>+Общо!AS12</f>
        <v>54.518761249999997</v>
      </c>
      <c r="BF12" s="478">
        <f t="shared" si="23"/>
        <v>-12.35769719400006</v>
      </c>
      <c r="BH12" s="475">
        <f t="shared" si="24"/>
        <v>42.161064055999937</v>
      </c>
      <c r="BI12" s="479">
        <f t="shared" si="12"/>
        <v>58.52255541839407</v>
      </c>
      <c r="BJ12" s="478">
        <f t="shared" si="25"/>
        <v>16.361491362394133</v>
      </c>
      <c r="BL12" s="394">
        <f t="shared" si="32"/>
        <v>45391</v>
      </c>
      <c r="BM12" s="481">
        <f>+Общо!BB12</f>
        <v>147998.64500000011</v>
      </c>
      <c r="BN12" s="476">
        <f>+Общо!BC12</f>
        <v>229.36627236379309</v>
      </c>
      <c r="BO12" s="482">
        <f>+Общо!BD12</f>
        <v>33945897.518542349</v>
      </c>
      <c r="BQ12" s="329">
        <f t="shared" si="33"/>
        <v>45391</v>
      </c>
      <c r="BR12" s="483">
        <f>+Общо!BG12</f>
        <v>5378456.4199999999</v>
      </c>
      <c r="BS12" s="483">
        <f>+Общо!BH12</f>
        <v>1913745.64</v>
      </c>
      <c r="BT12" s="483">
        <f>+Общо!BI12</f>
        <v>1073722.6599999999</v>
      </c>
      <c r="BU12" s="483">
        <f>+Общо!BJ12</f>
        <v>397936.4200000001</v>
      </c>
      <c r="BV12" s="483">
        <f>+Общо!BK12</f>
        <v>2433275.39</v>
      </c>
      <c r="BW12" s="483">
        <f>+Общо!BL12</f>
        <v>2389248.8800000004</v>
      </c>
      <c r="BX12" s="483">
        <f>+Общо!BM12</f>
        <v>359024.79</v>
      </c>
      <c r="BY12" s="483">
        <f>+Общо!BN12</f>
        <v>0</v>
      </c>
      <c r="BZ12" s="484">
        <f t="shared" si="36"/>
        <v>13945410.200000001</v>
      </c>
      <c r="CB12" s="329">
        <f t="shared" si="34"/>
        <v>45391</v>
      </c>
      <c r="CC12" s="485">
        <f>+Общо!BR12</f>
        <v>5705824.5700000003</v>
      </c>
      <c r="CD12" s="485">
        <f>+Общо!BS12</f>
        <v>0</v>
      </c>
      <c r="CE12" s="485">
        <f>+Общо!BT12</f>
        <v>0</v>
      </c>
      <c r="CF12" s="485">
        <f>+Общо!BU12</f>
        <v>0</v>
      </c>
      <c r="CG12" s="485">
        <f>+Общо!BV12</f>
        <v>13480795.16</v>
      </c>
      <c r="CH12" s="485">
        <f>+Общо!BW12</f>
        <v>15249723.549999999</v>
      </c>
      <c r="CI12" s="485">
        <f>+Общо!BX12</f>
        <v>0</v>
      </c>
      <c r="CJ12" s="485">
        <f>+Общо!BY12</f>
        <v>3567553.1529600001</v>
      </c>
      <c r="CK12" s="484">
        <f t="shared" si="13"/>
        <v>38003896.432960004</v>
      </c>
      <c r="CM12" s="329">
        <f t="shared" si="35"/>
        <v>45391</v>
      </c>
      <c r="CN12" s="486">
        <f>+Общо!CC12</f>
        <v>11084280.99</v>
      </c>
      <c r="CO12" s="486">
        <f>+Общо!CD12</f>
        <v>1913745.64</v>
      </c>
      <c r="CP12" s="486">
        <f>+Общо!CE12</f>
        <v>1073722.6599999999</v>
      </c>
      <c r="CQ12" s="486">
        <f>+Общо!CF12</f>
        <v>397936.4200000001</v>
      </c>
      <c r="CR12" s="486">
        <f>+Общо!CG12</f>
        <v>15914070.550000001</v>
      </c>
      <c r="CS12" s="486">
        <f>+Общо!CH12</f>
        <v>17638972.43</v>
      </c>
      <c r="CT12" s="486">
        <f>+Общо!CI12</f>
        <v>359024.79</v>
      </c>
      <c r="CU12" s="486">
        <f>+Общо!CJ12</f>
        <v>3567553.1529600001</v>
      </c>
      <c r="CV12" s="487">
        <f t="shared" si="27"/>
        <v>51949306.632959999</v>
      </c>
      <c r="CX12" s="528">
        <v>45505</v>
      </c>
      <c r="CY12" s="529">
        <f>+'баланс 2024'!C12</f>
        <v>3998.4967741935511</v>
      </c>
      <c r="CZ12" s="530">
        <f>+'баланс 2024'!D12</f>
        <v>444.27741935483903</v>
      </c>
      <c r="DA12" s="531">
        <f>+'баланс 2024'!E12</f>
        <v>2400</v>
      </c>
      <c r="DB12" s="532">
        <f>+'баланс 2024'!F12</f>
        <v>0</v>
      </c>
      <c r="DC12" s="529">
        <f>+'баланс 2024'!G12</f>
        <v>0</v>
      </c>
      <c r="DD12" s="533">
        <f>+'баланс 2024'!H12</f>
        <v>1708.0758064516103</v>
      </c>
      <c r="DE12" s="531">
        <f>+'баланс 2024'!I12</f>
        <v>5400.85</v>
      </c>
    </row>
    <row r="13" spans="2:109" x14ac:dyDescent="0.25">
      <c r="B13" s="47">
        <f t="shared" si="28"/>
        <v>45392</v>
      </c>
      <c r="C13" s="458">
        <f>+Общо!C13+Общо!D13+Общо!E13+Общо!F13+Общо!L13+Общо!Y13+Общо!G13</f>
        <v>1321.1420000000001</v>
      </c>
      <c r="D13" s="459">
        <f>+(Общо!C13+Общо!D13+Общо!E13+Общо!F13+Общо!G13+Общо!L13)*Цени!$G$41+Общо!Y13*Цени!$G$41</f>
        <v>77735.995280000003</v>
      </c>
      <c r="E13" s="459">
        <f>+Перник!T24</f>
        <v>0</v>
      </c>
      <c r="F13" s="460">
        <f>+Общо!H13+Общо!I13+Общо!J13+Общо!K13+Общо!M13+Общо!N13+Общо!O13+Общо!P13+Общо!Q13+Общо!R13+Общо!S13+Общо!T13+Общо!U13+Общо!V13+Общо!W13</f>
        <v>71.362000000000009</v>
      </c>
      <c r="G13" s="461">
        <f>+Общо!H13*Цени!$G$44+Общо!I13*Цени!$G$44+Общо!J13*Цени!$G$44+Общо!K13*Цени!$G$44+Общо!M13*Цени!$G$44+Общо!N13*Цени!$G$44+Общо!O13*Цени!$G$44+Общо!P13*Цени!$G$44+Общо!Q13*Цени!$G$44+Общо!R13*Цени!$G$45+Общо!S13*Цени!$G$44+Общо!T13*Цени!$G$43+Общо!W13*ЕМИ!E13</f>
        <v>3702.4190400000002</v>
      </c>
      <c r="H13" s="461">
        <f>+'Борса и балансиране'!F13</f>
        <v>0</v>
      </c>
      <c r="I13" s="461">
        <f>+'Борса и балансиране'!H13</f>
        <v>0</v>
      </c>
      <c r="J13" s="461">
        <f>+'Борса и балансиране'!J13</f>
        <v>0</v>
      </c>
      <c r="K13" s="461">
        <f>+'Борса и балансиране'!N13</f>
        <v>0</v>
      </c>
      <c r="L13" s="461">
        <f>+Цени!L12</f>
        <v>0</v>
      </c>
      <c r="M13" s="461">
        <f>+Цени!N12</f>
        <v>0</v>
      </c>
      <c r="N13" s="462">
        <f t="shared" si="14"/>
        <v>1392.5040000000001</v>
      </c>
      <c r="O13" s="463">
        <f t="shared" si="15"/>
        <v>81438.414319999996</v>
      </c>
      <c r="Q13" s="47">
        <f t="shared" si="29"/>
        <v>45392</v>
      </c>
      <c r="R13" s="461">
        <f>+Цени!E12</f>
        <v>0</v>
      </c>
      <c r="S13" s="461">
        <f>+Цени!E12*Цени!$E$35</f>
        <v>0</v>
      </c>
      <c r="T13" s="461">
        <f>+Цени!F12+Цени!C12</f>
        <v>15</v>
      </c>
      <c r="U13" s="461">
        <f>+(Цени!F12)*Цени!$F$35+Цени!C12*Цени!$C$35</f>
        <v>996.15</v>
      </c>
      <c r="V13" s="461">
        <f>+Цени!D12</f>
        <v>0</v>
      </c>
      <c r="W13" s="461">
        <f>+Цени!D12*Цени!$D$35</f>
        <v>0</v>
      </c>
      <c r="X13" s="461">
        <f>+'Борса и балансиране'!C13</f>
        <v>1300</v>
      </c>
      <c r="Y13" s="461">
        <f>+'Борса и балансиране'!E13</f>
        <v>54600</v>
      </c>
      <c r="Z13" s="461">
        <f>+'Борса и балансиране'!K13*-1</f>
        <v>77.504000000000133</v>
      </c>
      <c r="AA13" s="461">
        <f>+'Борса и балансиране'!O13*-1</f>
        <v>3565.18</v>
      </c>
      <c r="AB13" s="461">
        <f t="shared" si="16"/>
        <v>1392.5040000000001</v>
      </c>
      <c r="AC13" s="464">
        <f t="shared" si="17"/>
        <v>59161.33</v>
      </c>
      <c r="AD13" s="465">
        <f t="shared" si="0"/>
        <v>0</v>
      </c>
      <c r="AE13" s="394">
        <f t="shared" si="30"/>
        <v>45392</v>
      </c>
      <c r="AF13" s="466">
        <f t="shared" si="38"/>
        <v>59161.33</v>
      </c>
      <c r="AG13" s="466">
        <f t="shared" si="1"/>
        <v>81438.414319999996</v>
      </c>
      <c r="AH13" s="467">
        <f t="shared" si="2"/>
        <v>22277.084319999994</v>
      </c>
      <c r="AI13" s="463">
        <f>+Плевен!S13+(Общо!C13+Общо!D13+Общо!E13+Общо!F13+Общо!G13+Общо!S13+Общо!L13+Общо!Y13)*Цени!$E$56</f>
        <v>3739.3034029999999</v>
      </c>
      <c r="AJ13" s="463">
        <v>4716</v>
      </c>
      <c r="AK13" s="464">
        <f>+Общо!AK13</f>
        <v>2485</v>
      </c>
      <c r="AL13" s="468">
        <f>+(Цени!$E$35-Цени!$M$1)*Цени!E12</f>
        <v>0</v>
      </c>
      <c r="AM13" s="469">
        <f t="shared" si="19"/>
        <v>18815.387722999993</v>
      </c>
      <c r="AN13" s="480"/>
      <c r="AO13" s="394">
        <f t="shared" si="31"/>
        <v>45392</v>
      </c>
      <c r="AP13" s="471">
        <f t="shared" si="3"/>
        <v>58.839999999999996</v>
      </c>
      <c r="AQ13" s="471">
        <f t="shared" si="4"/>
        <v>51.882220789776071</v>
      </c>
      <c r="AR13" s="471">
        <f t="shared" si="5"/>
        <v>0</v>
      </c>
      <c r="AS13" s="471">
        <f t="shared" si="6"/>
        <v>0</v>
      </c>
      <c r="AT13" s="472">
        <f t="shared" si="7"/>
        <v>0</v>
      </c>
      <c r="AV13" s="473">
        <f t="shared" si="20"/>
        <v>66.41</v>
      </c>
      <c r="AW13" s="474">
        <f>+IFERROR(#REF!/#REF!,0)</f>
        <v>0</v>
      </c>
      <c r="AX13" s="474">
        <f t="shared" si="21"/>
        <v>0</v>
      </c>
      <c r="AY13" s="471">
        <f t="shared" si="22"/>
        <v>42</v>
      </c>
      <c r="AZ13" s="471">
        <f>+'Борса и балансиране'!M13</f>
        <v>46</v>
      </c>
      <c r="BA13" s="472">
        <f t="shared" si="10"/>
        <v>0</v>
      </c>
      <c r="BC13" s="475">
        <f>+Общо!AQ13</f>
        <v>58.84</v>
      </c>
      <c r="BD13" s="476">
        <f>+Общо!AR13</f>
        <v>42.485572752394248</v>
      </c>
      <c r="BE13" s="477">
        <f>+Общо!AS13</f>
        <v>54.078699499999999</v>
      </c>
      <c r="BF13" s="478">
        <f t="shared" si="23"/>
        <v>-11.593126747605751</v>
      </c>
      <c r="BH13" s="475">
        <f t="shared" si="24"/>
        <v>42.485572752394248</v>
      </c>
      <c r="BI13" s="479">
        <f t="shared" si="12"/>
        <v>58.48343295243675</v>
      </c>
      <c r="BJ13" s="478">
        <f t="shared" si="25"/>
        <v>15.997860200042503</v>
      </c>
      <c r="BL13" s="394">
        <f t="shared" si="32"/>
        <v>45392</v>
      </c>
      <c r="BM13" s="481">
        <f>+Общо!BB13</f>
        <v>147998.64500000011</v>
      </c>
      <c r="BN13" s="476">
        <f>+Общо!BC13</f>
        <v>229.36627236379309</v>
      </c>
      <c r="BO13" s="482">
        <f>+Общо!BD13</f>
        <v>33945897.518542349</v>
      </c>
      <c r="BQ13" s="329">
        <f t="shared" si="33"/>
        <v>45392</v>
      </c>
      <c r="BR13" s="483">
        <f>+Общо!BG13</f>
        <v>5378456.4199999999</v>
      </c>
      <c r="BS13" s="483">
        <f>+Общо!BH13</f>
        <v>1592109.0899999999</v>
      </c>
      <c r="BT13" s="483">
        <f>+Общо!BI13</f>
        <v>1073722.6599999999</v>
      </c>
      <c r="BU13" s="483">
        <f>+Общо!BJ13</f>
        <v>397936.4200000001</v>
      </c>
      <c r="BV13" s="483">
        <f>+Общо!BK13</f>
        <v>2433275.39</v>
      </c>
      <c r="BW13" s="483">
        <f>+Общо!BL13</f>
        <v>2389248.8800000004</v>
      </c>
      <c r="BX13" s="483">
        <f>+Общо!BM13</f>
        <v>281996.39</v>
      </c>
      <c r="BY13" s="483">
        <f>+Общо!BN13</f>
        <v>0</v>
      </c>
      <c r="BZ13" s="484">
        <f t="shared" si="36"/>
        <v>13546745.250000002</v>
      </c>
      <c r="CB13" s="329">
        <f t="shared" si="34"/>
        <v>45392</v>
      </c>
      <c r="CC13" s="485">
        <f>+Общо!BR13</f>
        <v>5705824.5700000003</v>
      </c>
      <c r="CD13" s="485">
        <f>+Общо!BS13</f>
        <v>0</v>
      </c>
      <c r="CE13" s="485">
        <f>+Общо!BT13</f>
        <v>0</v>
      </c>
      <c r="CF13" s="485">
        <f>+Общо!BU13</f>
        <v>0</v>
      </c>
      <c r="CG13" s="485">
        <f>+Общо!BV13</f>
        <v>13622612.260000002</v>
      </c>
      <c r="CH13" s="485">
        <f>+Общо!BW13</f>
        <v>15200428.019999998</v>
      </c>
      <c r="CI13" s="485">
        <f>+Общо!BX13</f>
        <v>0</v>
      </c>
      <c r="CJ13" s="485">
        <f>+Общо!BY13</f>
        <v>3567553.1529600001</v>
      </c>
      <c r="CK13" s="484">
        <f t="shared" si="13"/>
        <v>38096418.002960004</v>
      </c>
      <c r="CM13" s="329">
        <f t="shared" si="35"/>
        <v>45392</v>
      </c>
      <c r="CN13" s="486">
        <f>+Общо!CC13</f>
        <v>11084280.99</v>
      </c>
      <c r="CO13" s="486">
        <f>+Общо!CD13</f>
        <v>1592109.0899999999</v>
      </c>
      <c r="CP13" s="486">
        <f>+Общо!CE13</f>
        <v>1073722.6599999999</v>
      </c>
      <c r="CQ13" s="486">
        <f>+Общо!CF13</f>
        <v>397936.4200000001</v>
      </c>
      <c r="CR13" s="486">
        <f>+Общо!CG13</f>
        <v>16055887.650000002</v>
      </c>
      <c r="CS13" s="486">
        <f>+Общо!CH13</f>
        <v>17589676.899999999</v>
      </c>
      <c r="CT13" s="486">
        <f>+Общо!CI13</f>
        <v>281996.39</v>
      </c>
      <c r="CU13" s="486">
        <f>+Общо!CJ13</f>
        <v>3567553.1529600001</v>
      </c>
      <c r="CV13" s="487">
        <f t="shared" si="27"/>
        <v>51643163.252960004</v>
      </c>
      <c r="CX13" s="528">
        <v>45536</v>
      </c>
      <c r="CY13" s="529">
        <f>+'баланс 2024'!C13</f>
        <v>4248.3633333333391</v>
      </c>
      <c r="CZ13" s="530">
        <f>+'баланс 2024'!D13</f>
        <v>451.67000000000064</v>
      </c>
      <c r="DA13" s="531">
        <f>+'баланс 2024'!E13</f>
        <v>2400</v>
      </c>
      <c r="DB13" s="532">
        <f>+'баланс 2024'!F13</f>
        <v>0</v>
      </c>
      <c r="DC13" s="529">
        <f>+'баланс 2024'!G13</f>
        <v>0</v>
      </c>
      <c r="DD13" s="533">
        <f>+'баланс 2024'!H13</f>
        <v>1115.8299999999927</v>
      </c>
      <c r="DE13" s="531">
        <f>+'баланс 2024'!I13</f>
        <v>5665.8633333333328</v>
      </c>
    </row>
    <row r="14" spans="2:109" x14ac:dyDescent="0.25">
      <c r="B14" s="47">
        <f t="shared" si="28"/>
        <v>45393</v>
      </c>
      <c r="C14" s="458">
        <f>+Общо!C14+Общо!D14+Общо!E14+Общо!F14+Общо!L14+Общо!Y14+Общо!G14</f>
        <v>1319.4869999999999</v>
      </c>
      <c r="D14" s="459">
        <f>+(Общо!C14+Общо!D14+Общо!E14+Общо!F14+Общо!G14+Общо!L14)*Цени!$G$41+Общо!Y14*Цени!$G$41</f>
        <v>77638.615079999989</v>
      </c>
      <c r="E14" s="459">
        <f>+Перник!T25</f>
        <v>0</v>
      </c>
      <c r="F14" s="460">
        <f>+Общо!H14+Общо!I14+Общо!J14+Общо!K14+Общо!M14+Общо!N14+Общо!O14+Общо!P14+Общо!Q14+Общо!R14+Общо!S14+Общо!T14+Общо!U14+Общо!V14+Общо!W14</f>
        <v>74.212999999999994</v>
      </c>
      <c r="G14" s="461">
        <f>+Общо!H14*Цени!$G$44+Общо!I14*Цени!$G$44+Общо!J14*Цени!$G$44+Общо!K14*Цени!$G$44+Общо!M14*Цени!$G$44+Общо!N14*Цени!$G$44+Общо!O14*Цени!$G$44+Общо!P14*Цени!$G$44+Общо!Q14*Цени!$G$44+Общо!R14*Цени!$G$45+Общо!S14*Цени!$G$44+Общо!T14*Цени!$G$43+Общо!W14*ЕМИ!E14</f>
        <v>3830.3562500000003</v>
      </c>
      <c r="H14" s="461">
        <f>+'Борса и балансиране'!F14</f>
        <v>0</v>
      </c>
      <c r="I14" s="461">
        <f>+'Борса и балансиране'!H14</f>
        <v>0</v>
      </c>
      <c r="J14" s="461">
        <f>+'Борса и балансиране'!J14</f>
        <v>0</v>
      </c>
      <c r="K14" s="461">
        <f>+'Борса и балансиране'!N14</f>
        <v>0</v>
      </c>
      <c r="L14" s="461">
        <f>+Цени!L13</f>
        <v>0</v>
      </c>
      <c r="M14" s="461">
        <f>+Цени!N13</f>
        <v>0</v>
      </c>
      <c r="N14" s="462">
        <f t="shared" si="14"/>
        <v>1393.6999999999998</v>
      </c>
      <c r="O14" s="463">
        <f t="shared" si="15"/>
        <v>81468.971329999986</v>
      </c>
      <c r="Q14" s="47">
        <f t="shared" si="29"/>
        <v>45393</v>
      </c>
      <c r="R14" s="461">
        <f>+Цени!E13</f>
        <v>0</v>
      </c>
      <c r="S14" s="461">
        <f>+Цени!E13*Цени!$E$35</f>
        <v>0</v>
      </c>
      <c r="T14" s="461">
        <f>+Цени!F13+Цени!C13</f>
        <v>15</v>
      </c>
      <c r="U14" s="461">
        <f>+(Цени!F13)*Цени!$F$35+Цени!C13*Цени!$C$35</f>
        <v>996.15</v>
      </c>
      <c r="V14" s="461">
        <f>+Цени!D13</f>
        <v>0</v>
      </c>
      <c r="W14" s="461">
        <f>+Цени!D13*Цени!$D$35</f>
        <v>0</v>
      </c>
      <c r="X14" s="461">
        <f>+'Борса и балансиране'!C14</f>
        <v>1350</v>
      </c>
      <c r="Y14" s="461">
        <f>+'Борса и балансиране'!E14</f>
        <v>58050</v>
      </c>
      <c r="Z14" s="461">
        <f>+'Борса и балансиране'!K14*-1</f>
        <v>28.699999999999818</v>
      </c>
      <c r="AA14" s="461">
        <f>+'Борса и балансиране'!O14*-1</f>
        <v>1334.05</v>
      </c>
      <c r="AB14" s="461">
        <f t="shared" si="16"/>
        <v>1393.6999999999998</v>
      </c>
      <c r="AC14" s="464">
        <f t="shared" si="17"/>
        <v>60380.200000000004</v>
      </c>
      <c r="AD14" s="465">
        <f t="shared" si="0"/>
        <v>0</v>
      </c>
      <c r="AE14" s="394">
        <f t="shared" si="30"/>
        <v>45393</v>
      </c>
      <c r="AF14" s="466">
        <f t="shared" si="38"/>
        <v>60380.200000000004</v>
      </c>
      <c r="AG14" s="466">
        <f t="shared" si="1"/>
        <v>81468.971329999986</v>
      </c>
      <c r="AH14" s="467">
        <f t="shared" si="2"/>
        <v>21088.771329999981</v>
      </c>
      <c r="AI14" s="463">
        <f>+Плевен!S14+(Общо!C14+Общо!D14+Общо!E14+Общо!F14+Общо!G14+Общо!S14+Общо!L14+Общо!Y14)*Цени!$E$56</f>
        <v>3748.1526954999999</v>
      </c>
      <c r="AJ14" s="463">
        <v>4717</v>
      </c>
      <c r="AK14" s="464">
        <f>+Общо!AK14</f>
        <v>2485</v>
      </c>
      <c r="AL14" s="468">
        <f>+(Цени!$E$35-Цени!$M$1)*Цени!E13</f>
        <v>0</v>
      </c>
      <c r="AM14" s="469">
        <f t="shared" si="19"/>
        <v>17634.924025499982</v>
      </c>
      <c r="AO14" s="394">
        <f t="shared" si="31"/>
        <v>45393</v>
      </c>
      <c r="AP14" s="471">
        <f t="shared" si="3"/>
        <v>58.839999999999996</v>
      </c>
      <c r="AQ14" s="471">
        <f t="shared" si="4"/>
        <v>51.613009176289879</v>
      </c>
      <c r="AR14" s="471">
        <f t="shared" si="5"/>
        <v>0</v>
      </c>
      <c r="AS14" s="471">
        <f t="shared" si="6"/>
        <v>0</v>
      </c>
      <c r="AT14" s="472">
        <f t="shared" si="7"/>
        <v>0</v>
      </c>
      <c r="AV14" s="473">
        <f t="shared" si="20"/>
        <v>66.41</v>
      </c>
      <c r="AW14" s="474">
        <f>+IFERROR(#REF!/#REF!,0)</f>
        <v>0</v>
      </c>
      <c r="AX14" s="474">
        <f t="shared" si="21"/>
        <v>0</v>
      </c>
      <c r="AY14" s="471">
        <f t="shared" si="22"/>
        <v>43</v>
      </c>
      <c r="AZ14" s="471">
        <f>+'Борса и балансиране'!M14</f>
        <v>46.482660000000003</v>
      </c>
      <c r="BA14" s="472">
        <f t="shared" si="10"/>
        <v>0</v>
      </c>
      <c r="BC14" s="475">
        <f>+Общо!AQ14</f>
        <v>58.84</v>
      </c>
      <c r="BD14" s="476">
        <f>+Общо!AR14</f>
        <v>43.323670804333794</v>
      </c>
      <c r="BE14" s="477">
        <f>+Общо!AS14</f>
        <v>54.029803749999999</v>
      </c>
      <c r="BF14" s="478">
        <f t="shared" si="23"/>
        <v>-10.706132945666205</v>
      </c>
      <c r="BH14" s="475">
        <f t="shared" si="24"/>
        <v>43.323670804333794</v>
      </c>
      <c r="BI14" s="479">
        <f t="shared" si="12"/>
        <v>58.455170646480589</v>
      </c>
      <c r="BJ14" s="478">
        <f t="shared" si="25"/>
        <v>15.131499842146795</v>
      </c>
      <c r="BL14" s="394">
        <f t="shared" si="32"/>
        <v>45393</v>
      </c>
      <c r="BM14" s="481">
        <f>+Общо!BB14</f>
        <v>147998.64500000011</v>
      </c>
      <c r="BN14" s="476">
        <f>+Общо!BC14</f>
        <v>229.36627236379309</v>
      </c>
      <c r="BO14" s="482">
        <f>+Общо!BD14</f>
        <v>33945897.518542349</v>
      </c>
      <c r="BQ14" s="329">
        <f t="shared" si="33"/>
        <v>45393</v>
      </c>
      <c r="BR14" s="483">
        <f>+Общо!BG14</f>
        <v>5378456.4199999999</v>
      </c>
      <c r="BS14" s="483">
        <f>+Общо!BH14</f>
        <v>1592109.0899999999</v>
      </c>
      <c r="BT14" s="483">
        <f>+Общо!BI14</f>
        <v>1073722.6599999999</v>
      </c>
      <c r="BU14" s="483">
        <f>+Общо!BJ14</f>
        <v>397936.4200000001</v>
      </c>
      <c r="BV14" s="483">
        <f>+Общо!BK14</f>
        <v>2433275.39</v>
      </c>
      <c r="BW14" s="483">
        <f>+Общо!BL14</f>
        <v>2389248.8800000004</v>
      </c>
      <c r="BX14" s="483">
        <f>+Общо!BM14</f>
        <v>281996.39</v>
      </c>
      <c r="BY14" s="483">
        <f>+Общо!BN14</f>
        <v>0</v>
      </c>
      <c r="BZ14" s="484">
        <f>SUM(BR14:BY14)</f>
        <v>13546745.250000002</v>
      </c>
      <c r="CB14" s="329">
        <f t="shared" si="34"/>
        <v>45393</v>
      </c>
      <c r="CC14" s="485">
        <f>+Общо!BR14</f>
        <v>5705824.5700000003</v>
      </c>
      <c r="CD14" s="485">
        <f>+Общо!BS14</f>
        <v>0</v>
      </c>
      <c r="CE14" s="485">
        <f>+Общо!BT14</f>
        <v>0</v>
      </c>
      <c r="CF14" s="485">
        <f>+Общо!BU14</f>
        <v>0</v>
      </c>
      <c r="CG14" s="485">
        <f>+Общо!BV14</f>
        <v>13622612.260000002</v>
      </c>
      <c r="CH14" s="485">
        <f>+Общо!BW14</f>
        <v>15200428.019999998</v>
      </c>
      <c r="CI14" s="485">
        <f>+Общо!BX14</f>
        <v>0</v>
      </c>
      <c r="CJ14" s="485">
        <f>+Общо!BY14</f>
        <v>3567553.1529600001</v>
      </c>
      <c r="CK14" s="484">
        <f t="shared" si="13"/>
        <v>38096418.002960004</v>
      </c>
      <c r="CM14" s="329">
        <f t="shared" si="35"/>
        <v>45393</v>
      </c>
      <c r="CN14" s="486">
        <f>+Общо!CC14</f>
        <v>11084280.99</v>
      </c>
      <c r="CO14" s="486">
        <f>+Общо!CD14</f>
        <v>1592109.0899999999</v>
      </c>
      <c r="CP14" s="486">
        <f>+Общо!CE14</f>
        <v>1073722.6599999999</v>
      </c>
      <c r="CQ14" s="486">
        <f>+Общо!CF14</f>
        <v>397936.4200000001</v>
      </c>
      <c r="CR14" s="486">
        <f>+Общо!CG14</f>
        <v>16055887.650000002</v>
      </c>
      <c r="CS14" s="486">
        <f>+Общо!CH14</f>
        <v>17589676.899999999</v>
      </c>
      <c r="CT14" s="486">
        <f>+Общо!CI14</f>
        <v>281996.39</v>
      </c>
      <c r="CU14" s="486">
        <f>+Общо!CJ14</f>
        <v>3567553.1529600001</v>
      </c>
      <c r="CV14" s="487">
        <f t="shared" si="27"/>
        <v>51643163.252960004</v>
      </c>
      <c r="CX14" s="528">
        <v>45566</v>
      </c>
      <c r="CY14" s="529">
        <f>+'баланс 2024'!C14</f>
        <v>3721.3451612903254</v>
      </c>
      <c r="CZ14" s="530">
        <f>+'баланс 2024'!D14</f>
        <v>391.97741935483907</v>
      </c>
      <c r="DA14" s="531">
        <f>+'баланс 2024'!E14</f>
        <v>0</v>
      </c>
      <c r="DB14" s="532">
        <f>+'баланс 2024'!F14</f>
        <v>0</v>
      </c>
      <c r="DC14" s="529">
        <f>+'баланс 2024'!G14</f>
        <v>0</v>
      </c>
      <c r="DD14" s="533">
        <f>+'баланс 2024'!H14</f>
        <v>2682.2488064516092</v>
      </c>
      <c r="DE14" s="531">
        <f>+'баланс 2024'!I14</f>
        <v>4845.5713870967738</v>
      </c>
    </row>
    <row r="15" spans="2:109" x14ac:dyDescent="0.25">
      <c r="B15" s="47">
        <f t="shared" si="28"/>
        <v>45394</v>
      </c>
      <c r="C15" s="458">
        <f>+Общо!C15+Общо!D15+Общо!E15+Общо!F15+Общо!L15+Общо!Y15+Общо!G15</f>
        <v>932.7529999999997</v>
      </c>
      <c r="D15" s="459">
        <f>+(Общо!C15+Общо!D15+Общо!E15+Общо!F15+Общо!G15+Общо!L15)*Цени!$G$41+Общо!Y15*Цени!$G$41</f>
        <v>54883.186519999988</v>
      </c>
      <c r="E15" s="459">
        <f>+Перник!T26</f>
        <v>0</v>
      </c>
      <c r="F15" s="460">
        <f>+Общо!H15+Общо!I15+Общо!J15+Общо!K15+Общо!M15+Общо!N15+Общо!O15+Общо!P15+Общо!Q15+Общо!R15+Общо!S15+Общо!T15+Общо!U15+Общо!V15+Общо!W15</f>
        <v>113.01599999999999</v>
      </c>
      <c r="G15" s="461">
        <f>+Общо!H15*Цени!$G$44+Общо!I15*Цени!$G$44+Общо!J15*Цени!$G$44+Общо!K15*Цени!$G$44+Общо!M15*Цени!$G$44+Общо!N15*Цени!$G$44+Общо!O15*Цени!$G$44+Общо!P15*Цени!$G$44+Общо!Q15*Цени!$G$44+Общо!R15*Цени!$G$45+Общо!S15*Цени!$G$44+Общо!T15*Цени!$G$43+Общо!W15*ЕМИ!E15</f>
        <v>5592.9195399999999</v>
      </c>
      <c r="H15" s="461">
        <f>+'Борса и балансиране'!F15</f>
        <v>150</v>
      </c>
      <c r="I15" s="461">
        <f>+'Борса и балансиране'!H15</f>
        <v>7339.5</v>
      </c>
      <c r="J15" s="461">
        <f>+'Борса и балансиране'!J15</f>
        <v>0</v>
      </c>
      <c r="K15" s="461">
        <f>+'Борса и балансиране'!N15</f>
        <v>0</v>
      </c>
      <c r="L15" s="461">
        <f>+Цени!L14</f>
        <v>0</v>
      </c>
      <c r="M15" s="461">
        <f>+Цени!N14</f>
        <v>0</v>
      </c>
      <c r="N15" s="462">
        <f t="shared" si="14"/>
        <v>1195.7689999999998</v>
      </c>
      <c r="O15" s="463">
        <f t="shared" si="15"/>
        <v>67815.606059999991</v>
      </c>
      <c r="Q15" s="47">
        <f t="shared" si="29"/>
        <v>45394</v>
      </c>
      <c r="R15" s="461">
        <f>+Цени!E14</f>
        <v>0</v>
      </c>
      <c r="S15" s="461">
        <f>+Цени!E14*Цени!$E$35</f>
        <v>0</v>
      </c>
      <c r="T15" s="461">
        <f>+Цени!F14+Цени!C14</f>
        <v>15</v>
      </c>
      <c r="U15" s="461">
        <f>+(Цени!F14)*Цени!$F$35+Цени!C14*Цени!$C$35</f>
        <v>996.15</v>
      </c>
      <c r="V15" s="461">
        <f>+Цени!D14</f>
        <v>0</v>
      </c>
      <c r="W15" s="461">
        <f>+Цени!D14*Цени!$D$35</f>
        <v>0</v>
      </c>
      <c r="X15" s="461">
        <f>+'Борса и балансиране'!C15</f>
        <v>1180</v>
      </c>
      <c r="Y15" s="461">
        <f>+'Борса и балансиране'!E15</f>
        <v>52810</v>
      </c>
      <c r="Z15" s="461">
        <f>+'Борса и балансиране'!K15*-1</f>
        <v>0.76899999999977808</v>
      </c>
      <c r="AA15" s="461">
        <f>+'Борса и балансиране'!O15*-1</f>
        <v>36.880000000000003</v>
      </c>
      <c r="AB15" s="461">
        <f t="shared" si="16"/>
        <v>1195.7689999999998</v>
      </c>
      <c r="AC15" s="464">
        <f t="shared" si="17"/>
        <v>53843.03</v>
      </c>
      <c r="AD15" s="465">
        <f t="shared" si="0"/>
        <v>0</v>
      </c>
      <c r="AE15" s="394">
        <f t="shared" si="30"/>
        <v>45394</v>
      </c>
      <c r="AF15" s="466">
        <f t="shared" si="38"/>
        <v>53843.03</v>
      </c>
      <c r="AG15" s="466">
        <f t="shared" si="1"/>
        <v>67815.606059999991</v>
      </c>
      <c r="AH15" s="467">
        <f t="shared" si="2"/>
        <v>13972.576059999992</v>
      </c>
      <c r="AI15" s="463">
        <f>+Плевен!S15+(Общо!C15+Общо!D15+Общо!E15+Общо!F15+Общо!G15+Общо!S15+Общо!L15+Общо!Y15)*Цени!$E$56</f>
        <v>2975.8877644999998</v>
      </c>
      <c r="AJ15" s="463">
        <v>4718</v>
      </c>
      <c r="AK15" s="464">
        <f>+Общо!AK15</f>
        <v>2485</v>
      </c>
      <c r="AL15" s="468">
        <f>+(Цени!$E$35-Цени!$M$1)*Цени!E14</f>
        <v>0</v>
      </c>
      <c r="AM15" s="469">
        <f t="shared" si="19"/>
        <v>9745.4638244999915</v>
      </c>
      <c r="AO15" s="394">
        <f t="shared" si="31"/>
        <v>45394</v>
      </c>
      <c r="AP15" s="471">
        <f t="shared" si="3"/>
        <v>58.84</v>
      </c>
      <c r="AQ15" s="471">
        <f t="shared" si="4"/>
        <v>49.487856055779716</v>
      </c>
      <c r="AR15" s="471">
        <f t="shared" si="5"/>
        <v>48.93</v>
      </c>
      <c r="AS15" s="471">
        <f t="shared" si="6"/>
        <v>0</v>
      </c>
      <c r="AT15" s="472">
        <f t="shared" si="7"/>
        <v>0</v>
      </c>
      <c r="AV15" s="473">
        <f t="shared" si="20"/>
        <v>66.41</v>
      </c>
      <c r="AW15" s="474">
        <f>+IFERROR(#REF!/#REF!,0)</f>
        <v>0</v>
      </c>
      <c r="AX15" s="474">
        <f t="shared" si="21"/>
        <v>0</v>
      </c>
      <c r="AY15" s="471">
        <f t="shared" si="22"/>
        <v>44.754237288135592</v>
      </c>
      <c r="AZ15" s="471">
        <f>+'Борса и балансиране'!M15</f>
        <v>47.962820000000001</v>
      </c>
      <c r="BA15" s="472">
        <f t="shared" si="10"/>
        <v>0</v>
      </c>
      <c r="BC15" s="475">
        <f>+Общо!AQ15</f>
        <v>58.84</v>
      </c>
      <c r="BD15" s="476">
        <f>+Общо!AR15</f>
        <v>45.027952723310278</v>
      </c>
      <c r="BE15" s="477">
        <f>+Общо!AS15</f>
        <v>57.110236</v>
      </c>
      <c r="BF15" s="478">
        <f t="shared" si="23"/>
        <v>-12.082283276689722</v>
      </c>
      <c r="BH15" s="475">
        <f t="shared" si="24"/>
        <v>45.027952723310278</v>
      </c>
      <c r="BI15" s="479">
        <f t="shared" si="12"/>
        <v>56.712965514242299</v>
      </c>
      <c r="BJ15" s="478">
        <f t="shared" si="25"/>
        <v>11.685012790932021</v>
      </c>
      <c r="BL15" s="394">
        <f t="shared" si="32"/>
        <v>45394</v>
      </c>
      <c r="BM15" s="481">
        <f>+Общо!BB15</f>
        <v>147998.64500000011</v>
      </c>
      <c r="BN15" s="476">
        <f>+Общо!BC15</f>
        <v>229.36627236379309</v>
      </c>
      <c r="BO15" s="482">
        <f>+Общо!BD15</f>
        <v>33945897.518542349</v>
      </c>
      <c r="BQ15" s="329">
        <f t="shared" si="33"/>
        <v>45394</v>
      </c>
      <c r="BR15" s="483">
        <f>+Общо!BG15</f>
        <v>5378456.4199999999</v>
      </c>
      <c r="BS15" s="483">
        <f>+Общо!BH15</f>
        <v>1592109.0899999999</v>
      </c>
      <c r="BT15" s="483">
        <f>+Общо!BI15</f>
        <v>1073722.6599999999</v>
      </c>
      <c r="BU15" s="483">
        <f>+Общо!BJ15</f>
        <v>397936.4200000001</v>
      </c>
      <c r="BV15" s="483">
        <f>+Общо!BK15</f>
        <v>2433275.39</v>
      </c>
      <c r="BW15" s="483">
        <f>+Общо!BL15</f>
        <v>2389248.8800000004</v>
      </c>
      <c r="BX15" s="483">
        <f>+Общо!BM15</f>
        <v>177825.42772299997</v>
      </c>
      <c r="BY15" s="483">
        <f>+Общо!BN15</f>
        <v>0</v>
      </c>
      <c r="BZ15" s="484">
        <f t="shared" si="36"/>
        <v>13442574.287723001</v>
      </c>
      <c r="CB15" s="329">
        <f t="shared" si="34"/>
        <v>45394</v>
      </c>
      <c r="CC15" s="485">
        <f>+Общо!BR15</f>
        <v>5705824.5700000003</v>
      </c>
      <c r="CD15" s="485">
        <f>+Общо!BS15</f>
        <v>0</v>
      </c>
      <c r="CE15" s="485">
        <f>+Общо!BT15</f>
        <v>0</v>
      </c>
      <c r="CF15" s="485">
        <f>+Общо!BU15</f>
        <v>0</v>
      </c>
      <c r="CG15" s="485">
        <f>+Общо!BV15</f>
        <v>13622612.260000002</v>
      </c>
      <c r="CH15" s="485">
        <f>+Общо!BW15</f>
        <v>15200428.019999998</v>
      </c>
      <c r="CI15" s="485">
        <f>+Общо!BX15</f>
        <v>0</v>
      </c>
      <c r="CJ15" s="485">
        <f>+Общо!BY15</f>
        <v>3567553.1529600001</v>
      </c>
      <c r="CK15" s="484">
        <f t="shared" si="13"/>
        <v>38096418.002960004</v>
      </c>
      <c r="CM15" s="329">
        <f t="shared" si="35"/>
        <v>45394</v>
      </c>
      <c r="CN15" s="486">
        <f>+Общо!CC15</f>
        <v>11084280.99</v>
      </c>
      <c r="CO15" s="486">
        <f>+Общо!CD15</f>
        <v>1592109.0899999999</v>
      </c>
      <c r="CP15" s="486">
        <f>+Общо!CE15</f>
        <v>1073722.6599999999</v>
      </c>
      <c r="CQ15" s="486">
        <f>+Общо!CF15</f>
        <v>397936.4200000001</v>
      </c>
      <c r="CR15" s="486">
        <f>+Общо!CG15</f>
        <v>16055887.650000002</v>
      </c>
      <c r="CS15" s="486">
        <f>+Общо!CH15</f>
        <v>17589676.899999999</v>
      </c>
      <c r="CT15" s="486">
        <f>+Общо!CI15</f>
        <v>177825.42772299997</v>
      </c>
      <c r="CU15" s="486">
        <f>+Общо!CJ15</f>
        <v>3567553.1529600001</v>
      </c>
      <c r="CV15" s="487">
        <f t="shared" si="27"/>
        <v>51538992.290683001</v>
      </c>
      <c r="CX15" s="528">
        <v>45597</v>
      </c>
      <c r="CY15" s="529">
        <f>+'баланс 2024'!C15</f>
        <v>5846.9763666666677</v>
      </c>
      <c r="CZ15" s="530">
        <f>+'баланс 2024'!D15</f>
        <v>608.92330000000015</v>
      </c>
      <c r="DA15" s="531">
        <f>+'баланс 2024'!E15</f>
        <v>0</v>
      </c>
      <c r="DB15" s="532">
        <f>+'баланс 2024'!F15</f>
        <v>0</v>
      </c>
      <c r="DC15" s="529">
        <f>+'баланс 2024'!G15</f>
        <v>0</v>
      </c>
      <c r="DD15" s="533">
        <f>+'баланс 2024'!H15</f>
        <v>1749.6769999999997</v>
      </c>
      <c r="DE15" s="531">
        <f>+'баланс 2024'!I15</f>
        <v>7955.5766666666677</v>
      </c>
    </row>
    <row r="16" spans="2:109" ht="15.75" thickBot="1" x14ac:dyDescent="0.3">
      <c r="B16" s="47">
        <f t="shared" si="28"/>
        <v>45395</v>
      </c>
      <c r="C16" s="458">
        <f>+Общо!C16+Общо!D16+Общо!E16+Общо!F16+Общо!L16+Общо!Y16+Общо!G16</f>
        <v>243.441</v>
      </c>
      <c r="D16" s="459">
        <f>+(Общо!C16+Общо!D16+Общо!E16+Общо!F16+Общо!G16+Общо!L16)*Цени!$G$41+Общо!Y16*Цени!$G$41</f>
        <v>14324.068440000001</v>
      </c>
      <c r="E16" s="459">
        <f>+Перник!T27</f>
        <v>0</v>
      </c>
      <c r="F16" s="460">
        <f>+Общо!H16+Общо!I16+Общо!J16+Общо!K16+Общо!M16+Общо!N16+Общо!O16+Общо!P16+Общо!Q16+Общо!R16+Общо!S16+Общо!T16+Общо!U16+Общо!V16+Общо!W16</f>
        <v>34.683</v>
      </c>
      <c r="G16" s="461">
        <f>+Общо!H16*Цени!$G$44+Общо!I16*Цени!$G$44+Общо!J16*Цени!$G$44+Общо!K16*Цени!$G$44+Общо!M16*Цени!$G$44+Общо!N16*Цени!$G$44+Общо!O16*Цени!$G$44+Общо!P16*Цени!$G$44+Общо!Q16*Цени!$G$44+Общо!R16*Цени!$G$45+Общо!S16*Цени!$G$44+Общо!T16*Цени!$G$43+Общо!W16*ЕМИ!E16</f>
        <v>1779.49443</v>
      </c>
      <c r="H16" s="461">
        <f>+'Борса и балансиране'!F16</f>
        <v>0</v>
      </c>
      <c r="I16" s="461">
        <f>+'Борса и балансиране'!H16</f>
        <v>0</v>
      </c>
      <c r="J16" s="461">
        <f>+'Борса и балансиране'!J16</f>
        <v>0</v>
      </c>
      <c r="K16" s="461">
        <f>+'Борса и балансиране'!N16</f>
        <v>0</v>
      </c>
      <c r="L16" s="461">
        <f>+Цени!L15</f>
        <v>0</v>
      </c>
      <c r="M16" s="461">
        <f>+Цени!N15</f>
        <v>0</v>
      </c>
      <c r="N16" s="462">
        <f t="shared" si="14"/>
        <v>278.12400000000002</v>
      </c>
      <c r="O16" s="463">
        <f t="shared" si="15"/>
        <v>16103.562870000002</v>
      </c>
      <c r="Q16" s="47">
        <f t="shared" si="29"/>
        <v>45395</v>
      </c>
      <c r="R16" s="461">
        <f>+Цени!E15</f>
        <v>0</v>
      </c>
      <c r="S16" s="461">
        <f>+Цени!E15*Цени!$E$35</f>
        <v>0</v>
      </c>
      <c r="T16" s="461">
        <f>+Цени!F15+Цени!C15</f>
        <v>15</v>
      </c>
      <c r="U16" s="461">
        <f>+(Цени!F15)*Цени!$F$35+Цени!C15*Цени!$C$35</f>
        <v>996.15</v>
      </c>
      <c r="V16" s="461">
        <f>+Цени!D15</f>
        <v>0</v>
      </c>
      <c r="W16" s="461">
        <f>+Цени!D15*Цени!$D$35</f>
        <v>0</v>
      </c>
      <c r="X16" s="461">
        <f>+'Борса и балансиране'!C16</f>
        <v>230</v>
      </c>
      <c r="Y16" s="461">
        <f>+'Борса и балансиране'!E16</f>
        <v>9990</v>
      </c>
      <c r="Z16" s="461">
        <f>+'Борса и балансиране'!K16*-1</f>
        <v>33.123999999999967</v>
      </c>
      <c r="AA16" s="461">
        <f>+'Борса и балансиране'!O16*-1</f>
        <v>1565.2</v>
      </c>
      <c r="AB16" s="461">
        <f t="shared" si="16"/>
        <v>278.12399999999997</v>
      </c>
      <c r="AC16" s="464">
        <f t="shared" si="17"/>
        <v>12551.35</v>
      </c>
      <c r="AD16" s="465">
        <f t="shared" si="0"/>
        <v>0</v>
      </c>
      <c r="AE16" s="394">
        <f t="shared" si="30"/>
        <v>45395</v>
      </c>
      <c r="AF16" s="466">
        <f t="shared" si="38"/>
        <v>12551.35</v>
      </c>
      <c r="AG16" s="466">
        <f t="shared" si="1"/>
        <v>16103.562870000002</v>
      </c>
      <c r="AH16" s="467">
        <f t="shared" si="2"/>
        <v>3552.2128700000012</v>
      </c>
      <c r="AI16" s="463">
        <f>+Плевен!S16+(Общо!C16+Общо!D16+Общо!E16+Общо!F16+Общо!G16+Общо!S16+Общо!L16+Общо!Y16)*Цени!$E$56</f>
        <v>1651.0834565</v>
      </c>
      <c r="AJ16" s="463">
        <v>4719</v>
      </c>
      <c r="AK16" s="464">
        <f>+Общо!AK16</f>
        <v>2485</v>
      </c>
      <c r="AL16" s="468">
        <f>+(Цени!$E$35-Цени!$M$1)*Цени!E15</f>
        <v>0</v>
      </c>
      <c r="AM16" s="469">
        <f t="shared" si="19"/>
        <v>-2000.7036734999983</v>
      </c>
      <c r="AO16" s="394">
        <f t="shared" si="31"/>
        <v>45395</v>
      </c>
      <c r="AP16" s="471">
        <f t="shared" si="3"/>
        <v>58.84</v>
      </c>
      <c r="AQ16" s="471">
        <f t="shared" si="4"/>
        <v>51.307396418994898</v>
      </c>
      <c r="AR16" s="471">
        <f t="shared" si="5"/>
        <v>0</v>
      </c>
      <c r="AS16" s="471">
        <f t="shared" si="6"/>
        <v>0</v>
      </c>
      <c r="AT16" s="472">
        <f t="shared" si="7"/>
        <v>0</v>
      </c>
      <c r="AV16" s="473">
        <f t="shared" si="20"/>
        <v>66.41</v>
      </c>
      <c r="AW16" s="474">
        <f>+IFERROR(#REF!/#REF!,0)</f>
        <v>0</v>
      </c>
      <c r="AX16" s="474">
        <f t="shared" si="21"/>
        <v>0</v>
      </c>
      <c r="AY16" s="471">
        <f t="shared" si="22"/>
        <v>43.434782608695649</v>
      </c>
      <c r="AZ16" s="471">
        <f>+'Борса и балансиране'!M16</f>
        <v>47.25282</v>
      </c>
      <c r="BA16" s="472">
        <f t="shared" si="10"/>
        <v>0</v>
      </c>
      <c r="BC16" s="475">
        <f>+Общо!AQ16</f>
        <v>58.84</v>
      </c>
      <c r="BD16" s="476">
        <f>+Общо!AR16</f>
        <v>45.128611698379146</v>
      </c>
      <c r="BE16" s="477">
        <f>+Общо!AS16</f>
        <v>58.577108499999994</v>
      </c>
      <c r="BF16" s="478">
        <f t="shared" si="23"/>
        <v>-13.448496801620848</v>
      </c>
      <c r="BH16" s="475">
        <f t="shared" si="24"/>
        <v>45.128611698379146</v>
      </c>
      <c r="BI16" s="479">
        <f t="shared" si="12"/>
        <v>57.900658950683869</v>
      </c>
      <c r="BJ16" s="478">
        <f t="shared" si="25"/>
        <v>12.772047252304723</v>
      </c>
      <c r="BL16" s="394">
        <f t="shared" si="32"/>
        <v>45395</v>
      </c>
      <c r="BM16" s="481">
        <f>+Общо!BB16</f>
        <v>147998.64500000011</v>
      </c>
      <c r="BN16" s="476">
        <f>+Общо!BC16</f>
        <v>229.36627236379309</v>
      </c>
      <c r="BO16" s="482">
        <f>+Общо!BD16</f>
        <v>33945897.518542349</v>
      </c>
      <c r="BQ16" s="329">
        <f t="shared" si="33"/>
        <v>45395</v>
      </c>
      <c r="BR16" s="483">
        <f>+Общо!BG16</f>
        <v>5378456.4199999999</v>
      </c>
      <c r="BS16" s="483">
        <f>+Общо!BH16</f>
        <v>1592109.0899999999</v>
      </c>
      <c r="BT16" s="483">
        <f>+Общо!BI16</f>
        <v>1073722.6599999999</v>
      </c>
      <c r="BU16" s="483">
        <f>+Общо!BJ16</f>
        <v>397936.4200000001</v>
      </c>
      <c r="BV16" s="483">
        <f>+Общо!BK16</f>
        <v>2433275.39</v>
      </c>
      <c r="BW16" s="483">
        <f>+Общо!BL16</f>
        <v>2389248.8800000004</v>
      </c>
      <c r="BX16" s="483">
        <f>+Общо!BM16</f>
        <v>177825.42772299997</v>
      </c>
      <c r="BY16" s="483">
        <f>+Общо!BN16</f>
        <v>0</v>
      </c>
      <c r="BZ16" s="484">
        <f t="shared" si="36"/>
        <v>13442574.287723001</v>
      </c>
      <c r="CB16" s="329">
        <f t="shared" si="34"/>
        <v>45395</v>
      </c>
      <c r="CC16" s="485">
        <f>+Общо!BR16</f>
        <v>5705824.5700000003</v>
      </c>
      <c r="CD16" s="485">
        <f>+Общо!BS16</f>
        <v>0</v>
      </c>
      <c r="CE16" s="485">
        <f>+Общо!BT16</f>
        <v>0</v>
      </c>
      <c r="CF16" s="485">
        <f>+Общо!BU16</f>
        <v>0</v>
      </c>
      <c r="CG16" s="485">
        <f>+Общо!BV16</f>
        <v>13622612.260000002</v>
      </c>
      <c r="CH16" s="485">
        <f>+Общо!BW16</f>
        <v>15200428.019999998</v>
      </c>
      <c r="CI16" s="485">
        <f>+Общо!BX16</f>
        <v>0</v>
      </c>
      <c r="CJ16" s="485">
        <f>+Общо!BY16</f>
        <v>3567553.1529600001</v>
      </c>
      <c r="CK16" s="484">
        <f t="shared" si="13"/>
        <v>38096418.002960004</v>
      </c>
      <c r="CM16" s="329">
        <f t="shared" si="35"/>
        <v>45395</v>
      </c>
      <c r="CN16" s="486">
        <f>+Общо!CC16</f>
        <v>11084280.99</v>
      </c>
      <c r="CO16" s="486">
        <f>+Общо!CD16</f>
        <v>1592109.0899999999</v>
      </c>
      <c r="CP16" s="486">
        <f>+Общо!CE16</f>
        <v>1073722.6599999999</v>
      </c>
      <c r="CQ16" s="486">
        <f>+Общо!CF16</f>
        <v>397936.4200000001</v>
      </c>
      <c r="CR16" s="486">
        <f>+Общо!CG16</f>
        <v>16055887.650000002</v>
      </c>
      <c r="CS16" s="486">
        <f>+Общо!CH16</f>
        <v>17589676.899999999</v>
      </c>
      <c r="CT16" s="486">
        <f>+Общо!CI16</f>
        <v>177825.42772299997</v>
      </c>
      <c r="CU16" s="486">
        <f>+Общо!CJ16</f>
        <v>3567553.1529600001</v>
      </c>
      <c r="CV16" s="487">
        <f t="shared" si="27"/>
        <v>51538992.290683001</v>
      </c>
      <c r="CX16" s="534">
        <v>45627</v>
      </c>
      <c r="CY16" s="535">
        <f>+'баланс 2024'!C16</f>
        <v>6729.8580645161319</v>
      </c>
      <c r="CZ16" s="536">
        <f>+'баланс 2024'!D16</f>
        <v>708.33548387096801</v>
      </c>
      <c r="DA16" s="537">
        <f>+'баланс 2024'!E16</f>
        <v>0</v>
      </c>
      <c r="DB16" s="538">
        <f>+'баланс 2024'!F16</f>
        <v>0</v>
      </c>
      <c r="DC16" s="535">
        <f>+'баланс 2024'!G16</f>
        <v>0</v>
      </c>
      <c r="DD16" s="539">
        <f>+'баланс 2024'!H16</f>
        <v>1483.7611612903183</v>
      </c>
      <c r="DE16" s="537">
        <f>+'баланс 2024'!I16</f>
        <v>8671.9547096774186</v>
      </c>
    </row>
    <row r="17" spans="2:102" x14ac:dyDescent="0.25">
      <c r="B17" s="47">
        <f t="shared" si="28"/>
        <v>45396</v>
      </c>
      <c r="C17" s="458">
        <f>+Общо!C17+Общо!D17+Общо!E17+Общо!F17+Общо!L17+Общо!Y17+Общо!G17</f>
        <v>239.50499999999994</v>
      </c>
      <c r="D17" s="459">
        <f>+(Общо!C17+Общо!D17+Общо!E17+Общо!F17+Общо!G17+Общо!L17)*Цени!$G$41+Общо!Y17*Цени!$G$41</f>
        <v>14092.474199999997</v>
      </c>
      <c r="E17" s="459">
        <f>+Перник!T28</f>
        <v>0</v>
      </c>
      <c r="F17" s="460">
        <f>+Общо!H17+Общо!I17+Общо!J17+Общо!K17+Общо!M17+Общо!N17+Общо!O17+Общо!P17+Общо!Q17+Общо!R17+Общо!S17+Общо!T17+Общо!U17+Общо!V17+Общо!W17</f>
        <v>17.881</v>
      </c>
      <c r="G17" s="461">
        <f>+Общо!H17*Цени!$G$44+Общо!I17*Цени!$G$44+Общо!J17*Цени!$G$44+Общо!K17*Цени!$G$44+Общо!M17*Цени!$G$44+Общо!N17*Цени!$G$44+Общо!O17*Цени!$G$44+Общо!P17*Цени!$G$44+Общо!Q17*Цени!$G$44+Общо!R17*Цени!$G$45+Общо!S17*Цени!$G$44+Общо!T17*Цени!$G$43+Общо!W17*ЕМИ!E17</f>
        <v>886.24529000000007</v>
      </c>
      <c r="H17" s="461">
        <f>+'Борса и балансиране'!F17</f>
        <v>0</v>
      </c>
      <c r="I17" s="461">
        <f>+'Борса и балансиране'!H17</f>
        <v>0</v>
      </c>
      <c r="J17" s="461">
        <f>+'Борса и балансиране'!J17</f>
        <v>0</v>
      </c>
      <c r="K17" s="461">
        <f>+'Борса и балансиране'!N17</f>
        <v>0</v>
      </c>
      <c r="L17" s="461">
        <f>+Цени!L16</f>
        <v>0</v>
      </c>
      <c r="M17" s="461">
        <f>+Цени!N16</f>
        <v>0</v>
      </c>
      <c r="N17" s="462">
        <f t="shared" si="14"/>
        <v>257.38599999999997</v>
      </c>
      <c r="O17" s="463">
        <f t="shared" si="15"/>
        <v>14978.719489999998</v>
      </c>
      <c r="Q17" s="47">
        <f t="shared" si="29"/>
        <v>45396</v>
      </c>
      <c r="R17" s="461">
        <f>+Цени!E16</f>
        <v>0</v>
      </c>
      <c r="S17" s="461">
        <f>+Цени!E16*Цени!$E$35</f>
        <v>0</v>
      </c>
      <c r="T17" s="461">
        <f>+Цени!F16+Цени!C16</f>
        <v>15</v>
      </c>
      <c r="U17" s="461">
        <f>+(Цени!F16)*Цени!$F$35+Цени!C16*Цени!$C$35</f>
        <v>996.15</v>
      </c>
      <c r="V17" s="461">
        <f>+Цени!D16</f>
        <v>0</v>
      </c>
      <c r="W17" s="461">
        <f>+Цени!D16*Цени!$D$35</f>
        <v>0</v>
      </c>
      <c r="X17" s="461">
        <f>+'Борса и балансиране'!C17</f>
        <v>210</v>
      </c>
      <c r="Y17" s="461">
        <f>+'Борса и балансиране'!E17</f>
        <v>9125</v>
      </c>
      <c r="Z17" s="461">
        <f>+'Борса и балансиране'!K17*-1</f>
        <v>32.385999999999967</v>
      </c>
      <c r="AA17" s="461">
        <f>+'Борса и балансиране'!O17*-1</f>
        <v>1524.62</v>
      </c>
      <c r="AB17" s="461">
        <f t="shared" si="16"/>
        <v>257.38599999999997</v>
      </c>
      <c r="AC17" s="464">
        <f t="shared" si="17"/>
        <v>11645.77</v>
      </c>
      <c r="AD17" s="465">
        <f t="shared" si="0"/>
        <v>0</v>
      </c>
      <c r="AE17" s="394">
        <f t="shared" si="30"/>
        <v>45396</v>
      </c>
      <c r="AF17" s="466">
        <f t="shared" si="38"/>
        <v>11645.77</v>
      </c>
      <c r="AG17" s="466">
        <f t="shared" si="1"/>
        <v>14978.719489999998</v>
      </c>
      <c r="AH17" s="467">
        <f t="shared" si="2"/>
        <v>3332.9494899999972</v>
      </c>
      <c r="AI17" s="463">
        <f>+Плевен!S17+(Общо!C17+Общо!D17+Общо!E17+Общо!F17+Общо!G17+Общо!S17+Общо!L17+Общо!Y17)*Цени!$E$56</f>
        <v>1655.5764325</v>
      </c>
      <c r="AJ17" s="463">
        <v>4720</v>
      </c>
      <c r="AK17" s="464">
        <f>+Общо!AK17</f>
        <v>2485</v>
      </c>
      <c r="AL17" s="468">
        <f>+(Цени!$E$35-Цени!$M$1)*Цени!E16</f>
        <v>0</v>
      </c>
      <c r="AM17" s="469">
        <f t="shared" si="19"/>
        <v>-2216.4740775000027</v>
      </c>
      <c r="AO17" s="394">
        <f t="shared" si="31"/>
        <v>45396</v>
      </c>
      <c r="AP17" s="471">
        <f t="shared" si="3"/>
        <v>58.84</v>
      </c>
      <c r="AQ17" s="471">
        <f t="shared" si="4"/>
        <v>49.563519378110847</v>
      </c>
      <c r="AR17" s="471">
        <f t="shared" si="5"/>
        <v>0</v>
      </c>
      <c r="AS17" s="471">
        <f t="shared" si="6"/>
        <v>0</v>
      </c>
      <c r="AT17" s="472">
        <f t="shared" si="7"/>
        <v>0</v>
      </c>
      <c r="AV17" s="473">
        <f t="shared" si="20"/>
        <v>66.41</v>
      </c>
      <c r="AW17" s="474">
        <f>+IFERROR(#REF!/#REF!,0)</f>
        <v>0</v>
      </c>
      <c r="AX17" s="474">
        <f t="shared" si="21"/>
        <v>0</v>
      </c>
      <c r="AY17" s="471">
        <f t="shared" si="22"/>
        <v>43.452380952380949</v>
      </c>
      <c r="AZ17" s="471">
        <f>+'Борса и балансиране'!M17</f>
        <v>47.07649</v>
      </c>
      <c r="BA17" s="472">
        <f t="shared" si="10"/>
        <v>0</v>
      </c>
      <c r="BC17" s="475">
        <f>+Общо!AQ17</f>
        <v>58.84</v>
      </c>
      <c r="BD17" s="476">
        <f>+Общо!AR17</f>
        <v>45.246322643811247</v>
      </c>
      <c r="BE17" s="477">
        <f>+Общо!AS17</f>
        <v>59.017170249999999</v>
      </c>
      <c r="BF17" s="489">
        <f>31.375*1.95583</f>
        <v>61.364166249999997</v>
      </c>
      <c r="BH17" s="475">
        <f t="shared" si="24"/>
        <v>45.246322643811247</v>
      </c>
      <c r="BI17" s="479">
        <f t="shared" si="12"/>
        <v>58.195548670090837</v>
      </c>
      <c r="BJ17" s="478">
        <f t="shared" si="25"/>
        <v>12.94922602627959</v>
      </c>
      <c r="BL17" s="394">
        <f t="shared" si="32"/>
        <v>45396</v>
      </c>
      <c r="BM17" s="481">
        <f>+Общо!BB17</f>
        <v>147998.64500000011</v>
      </c>
      <c r="BN17" s="476">
        <f>+Общо!BC17</f>
        <v>229.36627236379309</v>
      </c>
      <c r="BO17" s="482">
        <f>+Общо!BD17</f>
        <v>33945897.518542349</v>
      </c>
      <c r="BQ17" s="329">
        <f t="shared" si="33"/>
        <v>45396</v>
      </c>
      <c r="BR17" s="483">
        <f>+Общо!BG17</f>
        <v>5378456.4199999999</v>
      </c>
      <c r="BS17" s="483">
        <f>+Общо!BH17</f>
        <v>1592109.0899999999</v>
      </c>
      <c r="BT17" s="483">
        <f>+Общо!BI17</f>
        <v>1073722.6599999999</v>
      </c>
      <c r="BU17" s="483">
        <f>+Общо!BJ17</f>
        <v>397936.4200000001</v>
      </c>
      <c r="BV17" s="483">
        <f>+Общо!BK17</f>
        <v>2433275.39</v>
      </c>
      <c r="BW17" s="483">
        <f>+Общо!BL17</f>
        <v>2389248.8800000004</v>
      </c>
      <c r="BX17" s="483">
        <f>+Общо!BM17</f>
        <v>78190.152418999991</v>
      </c>
      <c r="BY17" s="483">
        <f>+Общо!BN17</f>
        <v>0</v>
      </c>
      <c r="BZ17" s="484">
        <f t="shared" si="36"/>
        <v>13342939.012419002</v>
      </c>
      <c r="CB17" s="329">
        <f t="shared" si="34"/>
        <v>45396</v>
      </c>
      <c r="CC17" s="485">
        <f>+Общо!BR17</f>
        <v>5705824.5700000003</v>
      </c>
      <c r="CD17" s="485">
        <f>+Общо!BS17</f>
        <v>0</v>
      </c>
      <c r="CE17" s="485">
        <f>+Общо!BT17</f>
        <v>0</v>
      </c>
      <c r="CF17" s="485">
        <f>+Общо!BU17</f>
        <v>0</v>
      </c>
      <c r="CG17" s="485">
        <f>+Общо!BV17</f>
        <v>13622612.260000002</v>
      </c>
      <c r="CH17" s="485">
        <f>+Общо!BW17</f>
        <v>15200428.019999998</v>
      </c>
      <c r="CI17" s="485">
        <f>+Общо!BX17</f>
        <v>0</v>
      </c>
      <c r="CJ17" s="485">
        <f>+Общо!BY17</f>
        <v>3567553.1529600001</v>
      </c>
      <c r="CK17" s="484">
        <f t="shared" si="13"/>
        <v>38096418.002960004</v>
      </c>
      <c r="CM17" s="329">
        <f t="shared" si="35"/>
        <v>45396</v>
      </c>
      <c r="CN17" s="486">
        <f>+Общо!CC17</f>
        <v>11084280.99</v>
      </c>
      <c r="CO17" s="486">
        <f>+Общо!CD17</f>
        <v>1592109.0899999999</v>
      </c>
      <c r="CP17" s="486">
        <f>+Общо!CE17</f>
        <v>1073722.6599999999</v>
      </c>
      <c r="CQ17" s="486">
        <f>+Общо!CF17</f>
        <v>397936.4200000001</v>
      </c>
      <c r="CR17" s="486">
        <f>+Общо!CG17</f>
        <v>16055887.650000002</v>
      </c>
      <c r="CS17" s="486">
        <f>+Общо!CH17</f>
        <v>17589676.899999999</v>
      </c>
      <c r="CT17" s="486">
        <f>+Общо!CI17</f>
        <v>78190.152418999991</v>
      </c>
      <c r="CU17" s="486">
        <f>+Общо!CJ17</f>
        <v>3567553.1529600001</v>
      </c>
      <c r="CV17" s="487">
        <f t="shared" si="27"/>
        <v>51439357.015379004</v>
      </c>
      <c r="CX17" s="540" t="s">
        <v>264</v>
      </c>
    </row>
    <row r="18" spans="2:102" x14ac:dyDescent="0.25">
      <c r="B18" s="47">
        <f t="shared" si="28"/>
        <v>45397</v>
      </c>
      <c r="C18" s="458">
        <f>+Общо!C18+Общо!D18+Общо!E18+Общо!F18+Общо!L18+Общо!Y18+Общо!G18</f>
        <v>219.14500000000001</v>
      </c>
      <c r="D18" s="459">
        <f>+(Общо!C18+Общо!D18+Общо!E18+Общо!F18+Общо!G18+Общо!L18)*Цени!$G$41+Общо!Y18*Цени!$G$41</f>
        <v>12894.491800000002</v>
      </c>
      <c r="E18" s="459">
        <f>+Перник!T29</f>
        <v>0</v>
      </c>
      <c r="F18" s="460">
        <f>+Общо!H18+Общо!I18+Общо!J18+Общо!K18+Общо!M18+Общо!N18+Общо!O18+Общо!P18+Общо!Q18+Общо!R18+Общо!S18+Общо!T18+Общо!U18+Общо!V18+Общо!W18</f>
        <v>84.473000000000013</v>
      </c>
      <c r="G18" s="461">
        <f>+Общо!H18*Цени!$G$44+Общо!I18*Цени!$G$44+Общо!J18*Цени!$G$44+Общо!K18*Цени!$G$44+Общо!M18*Цени!$G$44+Общо!N18*Цени!$G$44+Общо!O18*Цени!$G$44+Общо!P18*Цени!$G$44+Общо!Q18*Цени!$G$44+Общо!R18*Цени!$G$45+Общо!S18*Цени!$G$44+Общо!T18*Цени!$G$43+Общо!W18*ЕМИ!E18</f>
        <v>4054.1439700000001</v>
      </c>
      <c r="H18" s="461">
        <f>+'Борса и балансиране'!F18</f>
        <v>0</v>
      </c>
      <c r="I18" s="461">
        <f>+'Борса и балансиране'!H18</f>
        <v>0</v>
      </c>
      <c r="J18" s="461">
        <f>+'Борса и балансиране'!J18</f>
        <v>0</v>
      </c>
      <c r="K18" s="461">
        <f>+'Борса и балансиране'!N18</f>
        <v>0</v>
      </c>
      <c r="L18" s="461">
        <f>+Цени!L17</f>
        <v>0</v>
      </c>
      <c r="M18" s="461">
        <f>+Цени!N17</f>
        <v>0</v>
      </c>
      <c r="N18" s="462">
        <f t="shared" si="14"/>
        <v>303.61800000000005</v>
      </c>
      <c r="O18" s="463">
        <f t="shared" si="15"/>
        <v>16948.635770000001</v>
      </c>
      <c r="Q18" s="47">
        <f t="shared" si="29"/>
        <v>45397</v>
      </c>
      <c r="R18" s="461">
        <f>+Цени!E17</f>
        <v>0</v>
      </c>
      <c r="S18" s="461">
        <f>+Цени!E17*Цени!$E$35</f>
        <v>0</v>
      </c>
      <c r="T18" s="461">
        <f>+Цени!F17+Цени!C17</f>
        <v>15</v>
      </c>
      <c r="U18" s="461">
        <f>+(Цени!F17)*Цени!$F$35+Цени!C17*Цени!$C$35</f>
        <v>996.15</v>
      </c>
      <c r="V18" s="461">
        <f>+Цени!D17</f>
        <v>0</v>
      </c>
      <c r="W18" s="461">
        <f>+Цени!D17*Цени!$D$35</f>
        <v>0</v>
      </c>
      <c r="X18" s="461">
        <f>+'Борса и балансиране'!C18</f>
        <v>280</v>
      </c>
      <c r="Y18" s="461">
        <f>+'Борса и балансиране'!E18</f>
        <v>12320</v>
      </c>
      <c r="Z18" s="461">
        <f>+'Борса и балансиране'!K18*-1</f>
        <v>8.617999999999995</v>
      </c>
      <c r="AA18" s="461">
        <f>+'Борса и балансиране'!O18*-1</f>
        <v>408.24</v>
      </c>
      <c r="AB18" s="461">
        <f t="shared" si="16"/>
        <v>303.61799999999999</v>
      </c>
      <c r="AC18" s="464">
        <f t="shared" si="17"/>
        <v>13724.39</v>
      </c>
      <c r="AD18" s="465">
        <f t="shared" si="0"/>
        <v>0</v>
      </c>
      <c r="AE18" s="394">
        <f t="shared" si="30"/>
        <v>45397</v>
      </c>
      <c r="AF18" s="466">
        <f t="shared" si="38"/>
        <v>13724.39</v>
      </c>
      <c r="AG18" s="466">
        <f t="shared" si="1"/>
        <v>16948.635770000001</v>
      </c>
      <c r="AH18" s="467">
        <f t="shared" si="2"/>
        <v>3224.2457700000014</v>
      </c>
      <c r="AI18" s="463">
        <f>+Плевен!S18+(Общо!C18+Общо!D18+Общо!E18+Общо!F18+Общо!G18+Общо!S18+Общо!L18+Общо!Y18)*Цени!$E$56</f>
        <v>1639.0204924999998</v>
      </c>
      <c r="AJ18" s="463">
        <v>4721</v>
      </c>
      <c r="AK18" s="464">
        <f>+Общо!AK18</f>
        <v>2485</v>
      </c>
      <c r="AL18" s="468">
        <f>+(Цени!$E$35-Цени!$M$1)*Цени!E17</f>
        <v>0</v>
      </c>
      <c r="AM18" s="469">
        <f t="shared" si="19"/>
        <v>-2342.7337374999988</v>
      </c>
      <c r="AO18" s="394">
        <f t="shared" si="31"/>
        <v>45397</v>
      </c>
      <c r="AP18" s="471">
        <f t="shared" si="3"/>
        <v>58.84</v>
      </c>
      <c r="AQ18" s="471">
        <f t="shared" si="4"/>
        <v>47.993370307672265</v>
      </c>
      <c r="AR18" s="471">
        <f t="shared" si="5"/>
        <v>0</v>
      </c>
      <c r="AS18" s="471">
        <f t="shared" si="6"/>
        <v>0</v>
      </c>
      <c r="AT18" s="472">
        <f t="shared" si="7"/>
        <v>0</v>
      </c>
      <c r="AV18" s="473">
        <f t="shared" si="20"/>
        <v>66.41</v>
      </c>
      <c r="AW18" s="474">
        <f>+IFERROR(#REF!/#REF!,0)</f>
        <v>0</v>
      </c>
      <c r="AX18" s="474">
        <f t="shared" si="21"/>
        <v>0</v>
      </c>
      <c r="AY18" s="471">
        <f t="shared" si="22"/>
        <v>44</v>
      </c>
      <c r="AZ18" s="471">
        <f>+'Борса и балансиране'!M18</f>
        <v>47.370950000000001</v>
      </c>
      <c r="BA18" s="472">
        <f t="shared" si="10"/>
        <v>0</v>
      </c>
      <c r="BC18" s="475">
        <f>+Общо!AQ18</f>
        <v>58.84</v>
      </c>
      <c r="BD18" s="476">
        <f>+Общо!AR18</f>
        <v>45.202820649632102</v>
      </c>
      <c r="BE18" s="477">
        <f>+Общо!AS18</f>
        <v>59.017170249999999</v>
      </c>
      <c r="BF18" s="478">
        <f t="shared" si="23"/>
        <v>-13.814349600367898</v>
      </c>
      <c r="BH18" s="475">
        <f t="shared" si="24"/>
        <v>45.202820649632102</v>
      </c>
      <c r="BI18" s="479">
        <f t="shared" si="12"/>
        <v>55.822236395734109</v>
      </c>
      <c r="BJ18" s="478">
        <f t="shared" si="25"/>
        <v>10.619415746102007</v>
      </c>
      <c r="BL18" s="394">
        <f t="shared" si="32"/>
        <v>45397</v>
      </c>
      <c r="BM18" s="481">
        <f>+Общо!BB18</f>
        <v>147998.64500000011</v>
      </c>
      <c r="BN18" s="476">
        <f>+Общо!BC18</f>
        <v>229.36627236379309</v>
      </c>
      <c r="BO18" s="482">
        <f>+Общо!BD18</f>
        <v>33945897.518542349</v>
      </c>
      <c r="BQ18" s="329">
        <f t="shared" si="33"/>
        <v>45397</v>
      </c>
      <c r="BR18" s="483">
        <f>+Общо!BG18</f>
        <v>5378456.4199999999</v>
      </c>
      <c r="BS18" s="483">
        <f>+Общо!BH18</f>
        <v>1592109.0899999999</v>
      </c>
      <c r="BT18" s="483">
        <f>+Общо!BI18</f>
        <v>1073722.6599999999</v>
      </c>
      <c r="BU18" s="483">
        <f>+Общо!BJ18</f>
        <v>397936.4200000001</v>
      </c>
      <c r="BV18" s="483">
        <f>+Общо!BK18</f>
        <v>2433275.39</v>
      </c>
      <c r="BW18" s="483">
        <f>+Общо!BL18</f>
        <v>2389248.8800000004</v>
      </c>
      <c r="BX18" s="483">
        <f>+Общо!BM18</f>
        <v>57725.73</v>
      </c>
      <c r="BY18" s="483">
        <f>+Общо!BN18</f>
        <v>0</v>
      </c>
      <c r="BZ18" s="484">
        <f>SUM(BR18:BY18)</f>
        <v>13322474.590000002</v>
      </c>
      <c r="CB18" s="329">
        <f t="shared" si="34"/>
        <v>45397</v>
      </c>
      <c r="CC18" s="485">
        <f>+Общо!BR18</f>
        <v>5705824.5700000003</v>
      </c>
      <c r="CD18" s="485">
        <f>+Общо!BS18</f>
        <v>0</v>
      </c>
      <c r="CE18" s="485">
        <f>+Общо!BT18</f>
        <v>0</v>
      </c>
      <c r="CF18" s="485">
        <f>+Общо!BU18</f>
        <v>0</v>
      </c>
      <c r="CG18" s="485">
        <f>+Общо!BV18</f>
        <v>13622612.260000002</v>
      </c>
      <c r="CH18" s="485">
        <f>+Общо!BW18</f>
        <v>15200428.019999998</v>
      </c>
      <c r="CI18" s="485">
        <f>+Общо!BX18</f>
        <v>0</v>
      </c>
      <c r="CJ18" s="485">
        <f>+Общо!BY18</f>
        <v>3567553.1529600001</v>
      </c>
      <c r="CK18" s="484">
        <f>SUM(CC18:CJ18)</f>
        <v>38096418.002960004</v>
      </c>
      <c r="CM18" s="329">
        <f t="shared" si="35"/>
        <v>45397</v>
      </c>
      <c r="CN18" s="486">
        <f>+Общо!CC18</f>
        <v>11084280.99</v>
      </c>
      <c r="CO18" s="486">
        <f>+Общо!CD18</f>
        <v>1592109.0899999999</v>
      </c>
      <c r="CP18" s="486">
        <f>+Общо!CE18</f>
        <v>1073722.6599999999</v>
      </c>
      <c r="CQ18" s="486">
        <f>+Общо!CF18</f>
        <v>397936.4200000001</v>
      </c>
      <c r="CR18" s="486">
        <f>+Общо!CG18</f>
        <v>16055887.650000002</v>
      </c>
      <c r="CS18" s="486">
        <f>+Общо!CH18</f>
        <v>17589676.899999999</v>
      </c>
      <c r="CT18" s="486">
        <f>+Общо!CI18</f>
        <v>57725.73</v>
      </c>
      <c r="CU18" s="486">
        <f>+Общо!CJ18</f>
        <v>3567553.1529600001</v>
      </c>
      <c r="CV18" s="487">
        <f>SUM(CN18:CU18)</f>
        <v>51418892.59296</v>
      </c>
    </row>
    <row r="19" spans="2:102" x14ac:dyDescent="0.25">
      <c r="B19" s="47">
        <f t="shared" si="28"/>
        <v>45398</v>
      </c>
      <c r="C19" s="458">
        <f>+Общо!C19+Общо!D19+Общо!E19+Общо!F19+Общо!L19+Общо!Y19+Общо!G19</f>
        <v>0</v>
      </c>
      <c r="D19" s="459">
        <f>+(Общо!C19+Общо!D19+Общо!E19+Общо!F19+Общо!G19+Общо!L19)*Цени!$G$41+Общо!Y19*Цени!$G$41</f>
        <v>0</v>
      </c>
      <c r="E19" s="459">
        <f>+Перник!T30</f>
        <v>0</v>
      </c>
      <c r="F19" s="460">
        <f>+Общо!H19+Общо!I19+Общо!J19+Общо!K19+Общо!M19+Общо!N19+Общо!O19+Общо!P19+Общо!Q19+Общо!R19+Общо!S19+Общо!T19+Общо!U19+Общо!V19+Общо!W19</f>
        <v>0</v>
      </c>
      <c r="G19" s="461">
        <f>+Общо!H19*Цени!$G$44+Общо!I19*Цени!$G$44+Общо!J19*Цени!$G$44+Общо!K19*Цени!$G$44+Общо!M19*Цени!$G$44+Общо!N19*Цени!$G$44+Общо!O19*Цени!$G$44+Общо!P19*Цени!$G$44+Общо!Q19*Цени!$G$44+Общо!R19*Цени!$G$45+Общо!S19*Цени!$G$44+Общо!T19*Цени!$G$43+Общо!W19*ЕМИ!E19</f>
        <v>0</v>
      </c>
      <c r="H19" s="461">
        <f>+'Борса и балансиране'!F19</f>
        <v>0</v>
      </c>
      <c r="I19" s="461">
        <f>+'Борса и балансиране'!H19</f>
        <v>0</v>
      </c>
      <c r="J19" s="461">
        <f>+'Борса и балансиране'!J19</f>
        <v>0</v>
      </c>
      <c r="K19" s="461">
        <f>+'Борса и балансиране'!N19</f>
        <v>0</v>
      </c>
      <c r="L19" s="461">
        <f>+Цени!L18</f>
        <v>0</v>
      </c>
      <c r="M19" s="461">
        <f>+Цени!N18</f>
        <v>0</v>
      </c>
      <c r="N19" s="462">
        <f t="shared" si="14"/>
        <v>0</v>
      </c>
      <c r="O19" s="463">
        <f t="shared" si="15"/>
        <v>0</v>
      </c>
      <c r="Q19" s="47">
        <f t="shared" si="29"/>
        <v>45398</v>
      </c>
      <c r="R19" s="461">
        <f>+Цени!E18</f>
        <v>0</v>
      </c>
      <c r="S19" s="461">
        <f>+Цени!E18*Цени!$E$35</f>
        <v>0</v>
      </c>
      <c r="T19" s="461">
        <f>+Цени!F18+Цени!C18</f>
        <v>0</v>
      </c>
      <c r="U19" s="461">
        <f>+(Цени!F18)*Цени!$F$35+Цени!C18*Цени!$C$35</f>
        <v>0</v>
      </c>
      <c r="V19" s="461">
        <f>+Цени!D18</f>
        <v>0</v>
      </c>
      <c r="W19" s="461">
        <f>+Цени!D18*Цени!$D$35</f>
        <v>0</v>
      </c>
      <c r="X19" s="461">
        <f>+'Борса и балансиране'!C19</f>
        <v>0</v>
      </c>
      <c r="Y19" s="461">
        <f>+'Борса и балансиране'!E19</f>
        <v>0</v>
      </c>
      <c r="Z19" s="461">
        <f>+'Борса и балансиране'!K19*-1</f>
        <v>0</v>
      </c>
      <c r="AA19" s="461">
        <f>+'Борса и балансиране'!O19*-1</f>
        <v>0</v>
      </c>
      <c r="AB19" s="461">
        <f t="shared" si="16"/>
        <v>0</v>
      </c>
      <c r="AC19" s="464">
        <f t="shared" si="17"/>
        <v>0</v>
      </c>
      <c r="AD19" s="465">
        <f t="shared" si="0"/>
        <v>0</v>
      </c>
      <c r="AE19" s="394">
        <f t="shared" si="30"/>
        <v>45398</v>
      </c>
      <c r="AF19" s="466">
        <f t="shared" si="38"/>
        <v>0</v>
      </c>
      <c r="AG19" s="466">
        <f t="shared" si="1"/>
        <v>0</v>
      </c>
      <c r="AH19" s="467">
        <f t="shared" si="2"/>
        <v>0</v>
      </c>
      <c r="AI19" s="463">
        <v>0</v>
      </c>
      <c r="AJ19" s="463">
        <v>0</v>
      </c>
      <c r="AK19" s="464">
        <f>+Общо!AK19</f>
        <v>0</v>
      </c>
      <c r="AL19" s="468">
        <f>+(Цени!$E$35-Цени!$M$1)*Цени!E18</f>
        <v>0</v>
      </c>
      <c r="AM19" s="469">
        <f t="shared" si="19"/>
        <v>0</v>
      </c>
      <c r="AO19" s="394">
        <f t="shared" si="31"/>
        <v>45398</v>
      </c>
      <c r="AP19" s="471">
        <f t="shared" si="3"/>
        <v>0</v>
      </c>
      <c r="AQ19" s="471">
        <f t="shared" si="4"/>
        <v>0</v>
      </c>
      <c r="AR19" s="471">
        <f t="shared" si="5"/>
        <v>0</v>
      </c>
      <c r="AS19" s="471">
        <f t="shared" si="6"/>
        <v>0</v>
      </c>
      <c r="AT19" s="472">
        <f t="shared" si="7"/>
        <v>0</v>
      </c>
      <c r="AV19" s="473">
        <f t="shared" si="20"/>
        <v>0</v>
      </c>
      <c r="AW19" s="474">
        <f>+IFERROR(#REF!/#REF!,0)</f>
        <v>0</v>
      </c>
      <c r="AX19" s="474">
        <f t="shared" si="21"/>
        <v>0</v>
      </c>
      <c r="AY19" s="471">
        <f t="shared" si="22"/>
        <v>0</v>
      </c>
      <c r="AZ19" s="471">
        <f>+'Борса и балансиране'!M19</f>
        <v>0</v>
      </c>
      <c r="BA19" s="472">
        <f t="shared" si="10"/>
        <v>0</v>
      </c>
      <c r="BC19" s="475">
        <f>+Общо!AQ19</f>
        <v>58.84</v>
      </c>
      <c r="BD19" s="476">
        <f>+Общо!AR19</f>
        <v>0</v>
      </c>
      <c r="BE19" s="477">
        <f>+Общо!AS19</f>
        <v>0</v>
      </c>
      <c r="BF19" s="478">
        <f t="shared" si="23"/>
        <v>0</v>
      </c>
      <c r="BH19" s="475">
        <f t="shared" si="24"/>
        <v>0</v>
      </c>
      <c r="BI19" s="479">
        <f t="shared" si="12"/>
        <v>0</v>
      </c>
      <c r="BJ19" s="478">
        <f t="shared" si="25"/>
        <v>0</v>
      </c>
      <c r="BL19" s="394">
        <f t="shared" si="32"/>
        <v>45398</v>
      </c>
      <c r="BM19" s="481">
        <f>+Общо!BB19</f>
        <v>0</v>
      </c>
      <c r="BN19" s="476">
        <f>+Общо!BC19</f>
        <v>0</v>
      </c>
      <c r="BO19" s="482">
        <f>+Общо!BD19</f>
        <v>0</v>
      </c>
      <c r="BQ19" s="329">
        <f t="shared" si="33"/>
        <v>45398</v>
      </c>
      <c r="BR19" s="483">
        <f>+Общо!BG19</f>
        <v>0</v>
      </c>
      <c r="BS19" s="483">
        <f>+Общо!BH19</f>
        <v>0</v>
      </c>
      <c r="BT19" s="483">
        <f>+Общо!BI19</f>
        <v>0</v>
      </c>
      <c r="BU19" s="483">
        <f>+Общо!BJ19</f>
        <v>0</v>
      </c>
      <c r="BV19" s="483">
        <f>+Общо!BK19</f>
        <v>0</v>
      </c>
      <c r="BW19" s="483">
        <f>+Общо!BL19</f>
        <v>0</v>
      </c>
      <c r="BX19" s="483">
        <f>+Общо!BM19</f>
        <v>0</v>
      </c>
      <c r="BY19" s="483">
        <f>+Общо!BN19</f>
        <v>0</v>
      </c>
      <c r="BZ19" s="484">
        <f t="shared" ref="BZ19:BZ28" si="39">SUM(BR19:BY19)</f>
        <v>0</v>
      </c>
      <c r="CB19" s="329">
        <f t="shared" si="34"/>
        <v>45398</v>
      </c>
      <c r="CC19" s="485">
        <f>+Общо!BR19</f>
        <v>0</v>
      </c>
      <c r="CD19" s="485">
        <f>+Общо!BS19</f>
        <v>0</v>
      </c>
      <c r="CE19" s="485">
        <f>+Общо!BT19</f>
        <v>0</v>
      </c>
      <c r="CF19" s="485">
        <f>+Общо!BU19</f>
        <v>0</v>
      </c>
      <c r="CG19" s="485">
        <f>+Общо!BV19</f>
        <v>0</v>
      </c>
      <c r="CH19" s="485">
        <f>+Общо!BW19</f>
        <v>0</v>
      </c>
      <c r="CI19" s="485">
        <f>+Общо!BX19</f>
        <v>0</v>
      </c>
      <c r="CJ19" s="485">
        <f>+Общо!BY19</f>
        <v>0</v>
      </c>
      <c r="CK19" s="484">
        <f t="shared" ref="CK19:CK29" si="40">SUM(CC19:CJ19)</f>
        <v>0</v>
      </c>
      <c r="CM19" s="329">
        <f t="shared" si="35"/>
        <v>45398</v>
      </c>
      <c r="CN19" s="486">
        <f>+Общо!CC19</f>
        <v>0</v>
      </c>
      <c r="CO19" s="486">
        <f>+Общо!CD19</f>
        <v>0</v>
      </c>
      <c r="CP19" s="486">
        <f>+Общо!CE19</f>
        <v>0</v>
      </c>
      <c r="CQ19" s="486">
        <f>+Общо!CF19</f>
        <v>0</v>
      </c>
      <c r="CR19" s="486">
        <f>+Общо!CG19</f>
        <v>0</v>
      </c>
      <c r="CS19" s="486">
        <f>+Общо!CH19</f>
        <v>0</v>
      </c>
      <c r="CT19" s="486">
        <f>+Общо!CI19</f>
        <v>0</v>
      </c>
      <c r="CU19" s="486">
        <f>+Общо!CJ19</f>
        <v>0</v>
      </c>
      <c r="CV19" s="487">
        <f t="shared" ref="CV19:CV28" si="41">SUM(CN19:CU19)</f>
        <v>0</v>
      </c>
    </row>
    <row r="20" spans="2:102" x14ac:dyDescent="0.25">
      <c r="B20" s="47">
        <f t="shared" si="28"/>
        <v>45399</v>
      </c>
      <c r="C20" s="458">
        <f>+Общо!C20+Общо!D20+Общо!E20+Общо!F20+Общо!L20+Общо!Y20+Общо!G20</f>
        <v>0</v>
      </c>
      <c r="D20" s="459">
        <f>+(Общо!C20+Общо!D20+Общо!E20+Общо!F20+Общо!G20+Общо!L20)*Цени!$G$41+Общо!Y20*Цени!$G$41</f>
        <v>0</v>
      </c>
      <c r="E20" s="459">
        <f>+Перник!T31</f>
        <v>0</v>
      </c>
      <c r="F20" s="460">
        <f>+Общо!H20+Общо!I20+Общо!J20+Общо!K20+Общо!M20+Общо!N20+Общо!O20+Общо!P20+Общо!Q20+Общо!R20+Общо!S20+Общо!T20+Общо!U20+Общо!V20+Общо!W20</f>
        <v>0</v>
      </c>
      <c r="G20" s="461">
        <f>+Общо!H20*Цени!$G$44+Общо!I20*Цени!$G$44+Общо!J20*Цени!$G$44+Общо!K20*Цени!$G$44+Общо!M20*Цени!$G$44+Общо!N20*Цени!$G$44+Общо!O20*Цени!$G$44+Общо!P20*Цени!$G$44+Общо!Q20*Цени!$G$44+Общо!R20*Цени!$G$45+Общо!S20*Цени!$G$44+Общо!T20*Цени!$G$43+Общо!W20*ЕМИ!E20</f>
        <v>0</v>
      </c>
      <c r="H20" s="461">
        <f>+'Борса и балансиране'!F20</f>
        <v>0</v>
      </c>
      <c r="I20" s="461">
        <f>+'Борса и балансиране'!H20</f>
        <v>0</v>
      </c>
      <c r="J20" s="461">
        <f>+'Борса и балансиране'!J20</f>
        <v>0</v>
      </c>
      <c r="K20" s="461">
        <f>+'Борса и балансиране'!N20</f>
        <v>0</v>
      </c>
      <c r="L20" s="461">
        <f>+Цени!L19</f>
        <v>0</v>
      </c>
      <c r="M20" s="461">
        <f>+Цени!N19</f>
        <v>0</v>
      </c>
      <c r="N20" s="462">
        <f t="shared" si="14"/>
        <v>0</v>
      </c>
      <c r="O20" s="463">
        <f t="shared" si="15"/>
        <v>0</v>
      </c>
      <c r="Q20" s="47">
        <f t="shared" si="29"/>
        <v>45399</v>
      </c>
      <c r="R20" s="461">
        <f>+Цени!E19</f>
        <v>0</v>
      </c>
      <c r="S20" s="461">
        <f>+Цени!E19*Цени!$E$35</f>
        <v>0</v>
      </c>
      <c r="T20" s="461">
        <f>+Цени!F19+Цени!C19</f>
        <v>0</v>
      </c>
      <c r="U20" s="461">
        <f>+(Цени!F19)*Цени!$F$35+Цени!C19*Цени!$C$35</f>
        <v>0</v>
      </c>
      <c r="V20" s="461">
        <f>+Цени!D19</f>
        <v>0</v>
      </c>
      <c r="W20" s="461">
        <f>+Цени!D19*Цени!$D$35</f>
        <v>0</v>
      </c>
      <c r="X20" s="461">
        <f>+'Борса и балансиране'!C20</f>
        <v>0</v>
      </c>
      <c r="Y20" s="461">
        <f>+'Борса и балансиране'!E20</f>
        <v>0</v>
      </c>
      <c r="Z20" s="461">
        <f>+'Борса и балансиране'!K20*-1</f>
        <v>0</v>
      </c>
      <c r="AA20" s="461">
        <f>+'Борса и балансиране'!O20*-1</f>
        <v>0</v>
      </c>
      <c r="AB20" s="461">
        <f t="shared" si="16"/>
        <v>0</v>
      </c>
      <c r="AC20" s="464">
        <f t="shared" si="17"/>
        <v>0</v>
      </c>
      <c r="AD20" s="465">
        <f t="shared" si="0"/>
        <v>0</v>
      </c>
      <c r="AE20" s="394">
        <f t="shared" si="30"/>
        <v>45399</v>
      </c>
      <c r="AF20" s="466">
        <f t="shared" si="38"/>
        <v>0</v>
      </c>
      <c r="AG20" s="466">
        <f t="shared" si="1"/>
        <v>0</v>
      </c>
      <c r="AH20" s="467">
        <f t="shared" si="2"/>
        <v>0</v>
      </c>
      <c r="AI20" s="463">
        <v>0</v>
      </c>
      <c r="AJ20" s="463">
        <v>0</v>
      </c>
      <c r="AK20" s="464">
        <f>+Общо!AK20</f>
        <v>0</v>
      </c>
      <c r="AL20" s="468">
        <f>+(Цени!$E$35-Цени!$M$1)*Цени!E19</f>
        <v>0</v>
      </c>
      <c r="AM20" s="469">
        <f t="shared" si="19"/>
        <v>0</v>
      </c>
      <c r="AO20" s="394">
        <f t="shared" si="31"/>
        <v>45399</v>
      </c>
      <c r="AP20" s="471">
        <f t="shared" si="3"/>
        <v>0</v>
      </c>
      <c r="AQ20" s="471">
        <f t="shared" si="4"/>
        <v>0</v>
      </c>
      <c r="AR20" s="471">
        <f t="shared" si="5"/>
        <v>0</v>
      </c>
      <c r="AS20" s="471">
        <f t="shared" si="6"/>
        <v>0</v>
      </c>
      <c r="AT20" s="472">
        <f t="shared" si="7"/>
        <v>0</v>
      </c>
      <c r="AV20" s="473">
        <f t="shared" si="20"/>
        <v>0</v>
      </c>
      <c r="AW20" s="474">
        <f>+IFERROR(#REF!/#REF!,0)</f>
        <v>0</v>
      </c>
      <c r="AX20" s="474">
        <f t="shared" si="21"/>
        <v>0</v>
      </c>
      <c r="AY20" s="471">
        <f t="shared" si="22"/>
        <v>0</v>
      </c>
      <c r="AZ20" s="471">
        <f>+'Борса и балансиране'!M20</f>
        <v>0</v>
      </c>
      <c r="BA20" s="472">
        <f t="shared" si="10"/>
        <v>0</v>
      </c>
      <c r="BC20" s="475">
        <f>+Общо!AQ20</f>
        <v>58.84</v>
      </c>
      <c r="BD20" s="476">
        <f>+Общо!AR20</f>
        <v>0</v>
      </c>
      <c r="BE20" s="477">
        <f>+Общо!AS20</f>
        <v>0</v>
      </c>
      <c r="BF20" s="478">
        <f t="shared" si="23"/>
        <v>0</v>
      </c>
      <c r="BH20" s="475">
        <f t="shared" si="24"/>
        <v>0</v>
      </c>
      <c r="BI20" s="479">
        <f t="shared" si="12"/>
        <v>0</v>
      </c>
      <c r="BJ20" s="478">
        <f t="shared" si="25"/>
        <v>0</v>
      </c>
      <c r="BL20" s="394">
        <f t="shared" si="32"/>
        <v>45399</v>
      </c>
      <c r="BM20" s="481">
        <f>+Общо!BB20</f>
        <v>0</v>
      </c>
      <c r="BN20" s="476">
        <f>+Общо!BC20</f>
        <v>0</v>
      </c>
      <c r="BO20" s="482">
        <f>+Общо!BD20</f>
        <v>0</v>
      </c>
      <c r="BQ20" s="329">
        <f t="shared" si="33"/>
        <v>45399</v>
      </c>
      <c r="BR20" s="483">
        <f>+Общо!BG20</f>
        <v>0</v>
      </c>
      <c r="BS20" s="483">
        <f>+Общо!BH20</f>
        <v>0</v>
      </c>
      <c r="BT20" s="483">
        <f>+Общо!BI20</f>
        <v>0</v>
      </c>
      <c r="BU20" s="483">
        <f>+Общо!BJ20</f>
        <v>0</v>
      </c>
      <c r="BV20" s="483">
        <f>+Общо!BK20</f>
        <v>0</v>
      </c>
      <c r="BW20" s="483">
        <f>+Общо!BL20</f>
        <v>0</v>
      </c>
      <c r="BX20" s="483">
        <f>+Общо!BM20</f>
        <v>0</v>
      </c>
      <c r="BY20" s="483">
        <f>+Общо!BN20</f>
        <v>0</v>
      </c>
      <c r="BZ20" s="484">
        <f t="shared" si="39"/>
        <v>0</v>
      </c>
      <c r="CB20" s="329">
        <f t="shared" si="34"/>
        <v>45399</v>
      </c>
      <c r="CC20" s="485">
        <f>+Общо!BR20</f>
        <v>0</v>
      </c>
      <c r="CD20" s="485">
        <f>+Общо!BS20</f>
        <v>0</v>
      </c>
      <c r="CE20" s="485">
        <f>+Общо!BT20</f>
        <v>0</v>
      </c>
      <c r="CF20" s="485">
        <f>+Общо!BU20</f>
        <v>0</v>
      </c>
      <c r="CG20" s="485">
        <f>+Общо!BV20</f>
        <v>0</v>
      </c>
      <c r="CH20" s="485">
        <f>+Общо!BW20</f>
        <v>0</v>
      </c>
      <c r="CI20" s="485">
        <f>+Общо!BX20</f>
        <v>0</v>
      </c>
      <c r="CJ20" s="485">
        <f>+Общо!BY20</f>
        <v>0</v>
      </c>
      <c r="CK20" s="484">
        <f t="shared" si="40"/>
        <v>0</v>
      </c>
      <c r="CM20" s="329">
        <f t="shared" si="35"/>
        <v>45399</v>
      </c>
      <c r="CN20" s="486">
        <f>+Общо!CC20</f>
        <v>0</v>
      </c>
      <c r="CO20" s="486">
        <f>+Общо!CD20</f>
        <v>0</v>
      </c>
      <c r="CP20" s="486">
        <f>+Общо!CE20</f>
        <v>0</v>
      </c>
      <c r="CQ20" s="486">
        <f>+Общо!CF20</f>
        <v>0</v>
      </c>
      <c r="CR20" s="486">
        <f>+Общо!CG20</f>
        <v>0</v>
      </c>
      <c r="CS20" s="486">
        <f>+Общо!CH20</f>
        <v>0</v>
      </c>
      <c r="CT20" s="486">
        <f>+Общо!CI20</f>
        <v>0</v>
      </c>
      <c r="CU20" s="486">
        <f>+Общо!CJ20</f>
        <v>0</v>
      </c>
      <c r="CV20" s="487">
        <f t="shared" si="41"/>
        <v>0</v>
      </c>
    </row>
    <row r="21" spans="2:102" x14ac:dyDescent="0.25">
      <c r="B21" s="47">
        <f t="shared" si="28"/>
        <v>45400</v>
      </c>
      <c r="C21" s="458">
        <f>+Общо!C21+Общо!D21+Общо!E21+Общо!F21+Общо!L21+Общо!Y21+Общо!G21</f>
        <v>0</v>
      </c>
      <c r="D21" s="459">
        <f>+(Общо!C21+Общо!D21+Общо!E21+Общо!F21+Общо!G21+Общо!L21)*Цени!$G$41+Общо!Y21*Цени!$G$41</f>
        <v>0</v>
      </c>
      <c r="E21" s="459">
        <f>+Перник!T32</f>
        <v>0</v>
      </c>
      <c r="F21" s="460">
        <f>+Общо!H21+Общо!I21+Общо!J21+Общо!K21+Общо!M21+Общо!N21+Общо!O21+Общо!P21+Общо!Q21+Общо!R21+Общо!S21+Общо!T21+Общо!U21+Общо!V21+Общо!W21</f>
        <v>0</v>
      </c>
      <c r="G21" s="461">
        <f>+Общо!H21*Цени!$G$44+Общо!I21*Цени!$G$44+Общо!J21*Цени!$G$44+Общо!K21*Цени!$G$44+Общо!M21*Цени!$G$44+Общо!N21*Цени!$G$44+Общо!O21*Цени!$G$44+Общо!P21*Цени!$G$44+Общо!Q21*Цени!$G$44+Общо!R21*Цени!$G$45+Общо!S21*Цени!$G$44+Общо!T21*Цени!$G$43+Общо!W21*ЕМИ!E21</f>
        <v>0</v>
      </c>
      <c r="H21" s="461">
        <f>+'Борса и балансиране'!F21</f>
        <v>0</v>
      </c>
      <c r="I21" s="461">
        <f>+'Борса и балансиране'!H21</f>
        <v>0</v>
      </c>
      <c r="J21" s="461">
        <f>+'Борса и балансиране'!J21</f>
        <v>0</v>
      </c>
      <c r="K21" s="461">
        <f>+'Борса и балансиране'!N21</f>
        <v>0</v>
      </c>
      <c r="L21" s="461">
        <f>+Цени!L20</f>
        <v>0</v>
      </c>
      <c r="M21" s="461">
        <f>+Цени!N20</f>
        <v>0</v>
      </c>
      <c r="N21" s="462">
        <f t="shared" si="14"/>
        <v>0</v>
      </c>
      <c r="O21" s="463">
        <f t="shared" si="15"/>
        <v>0</v>
      </c>
      <c r="Q21" s="47">
        <f t="shared" si="29"/>
        <v>45400</v>
      </c>
      <c r="R21" s="461">
        <f>+Цени!E20</f>
        <v>0</v>
      </c>
      <c r="S21" s="461">
        <f>+Цени!E20*Цени!$E$35</f>
        <v>0</v>
      </c>
      <c r="T21" s="461">
        <f>+Цени!F20+Цени!C20</f>
        <v>0</v>
      </c>
      <c r="U21" s="461">
        <f>+(Цени!F20)*Цени!$F$35+Цени!C20*Цени!$C$35</f>
        <v>0</v>
      </c>
      <c r="V21" s="461">
        <f>+Цени!D20</f>
        <v>0</v>
      </c>
      <c r="W21" s="461">
        <f>+Цени!D20*Цени!$D$35</f>
        <v>0</v>
      </c>
      <c r="X21" s="461">
        <f>+'Борса и балансиране'!C21</f>
        <v>0</v>
      </c>
      <c r="Y21" s="461">
        <f>+'Борса и балансиране'!E21</f>
        <v>0</v>
      </c>
      <c r="Z21" s="461">
        <f>+'Борса и балансиране'!K21*-1</f>
        <v>0</v>
      </c>
      <c r="AA21" s="461">
        <f>+'Борса и балансиране'!O21*-1</f>
        <v>0</v>
      </c>
      <c r="AB21" s="461">
        <f t="shared" si="16"/>
        <v>0</v>
      </c>
      <c r="AC21" s="464">
        <f t="shared" si="17"/>
        <v>0</v>
      </c>
      <c r="AD21" s="465">
        <f t="shared" si="0"/>
        <v>0</v>
      </c>
      <c r="AE21" s="394">
        <f t="shared" si="30"/>
        <v>45400</v>
      </c>
      <c r="AF21" s="466">
        <f t="shared" si="38"/>
        <v>0</v>
      </c>
      <c r="AG21" s="466">
        <f t="shared" si="1"/>
        <v>0</v>
      </c>
      <c r="AH21" s="467">
        <f t="shared" si="2"/>
        <v>0</v>
      </c>
      <c r="AI21" s="463">
        <v>0</v>
      </c>
      <c r="AJ21" s="463">
        <v>0</v>
      </c>
      <c r="AK21" s="464">
        <f>+Общо!AK21</f>
        <v>0</v>
      </c>
      <c r="AL21" s="468">
        <f>+(Цени!$E$35-Цени!$M$1)*Цени!E20</f>
        <v>0</v>
      </c>
      <c r="AM21" s="469">
        <f t="shared" si="19"/>
        <v>0</v>
      </c>
      <c r="AO21" s="394">
        <f t="shared" si="31"/>
        <v>45400</v>
      </c>
      <c r="AP21" s="471">
        <f t="shared" si="3"/>
        <v>0</v>
      </c>
      <c r="AQ21" s="471">
        <f t="shared" si="4"/>
        <v>0</v>
      </c>
      <c r="AR21" s="471">
        <f t="shared" si="5"/>
        <v>0</v>
      </c>
      <c r="AS21" s="471">
        <f t="shared" si="6"/>
        <v>0</v>
      </c>
      <c r="AT21" s="472">
        <f t="shared" si="7"/>
        <v>0</v>
      </c>
      <c r="AV21" s="473">
        <f t="shared" si="20"/>
        <v>0</v>
      </c>
      <c r="AW21" s="474">
        <f>+IFERROR(#REF!/#REF!,0)</f>
        <v>0</v>
      </c>
      <c r="AX21" s="474">
        <f t="shared" si="21"/>
        <v>0</v>
      </c>
      <c r="AY21" s="471">
        <f t="shared" si="22"/>
        <v>0</v>
      </c>
      <c r="AZ21" s="471">
        <f>+'Борса и балансиране'!M21</f>
        <v>0</v>
      </c>
      <c r="BA21" s="472">
        <f t="shared" si="10"/>
        <v>0</v>
      </c>
      <c r="BC21" s="475">
        <f>+Общо!AQ21</f>
        <v>58.84</v>
      </c>
      <c r="BD21" s="476">
        <f>+Общо!AR21</f>
        <v>0</v>
      </c>
      <c r="BE21" s="477">
        <f>+Общо!AS21</f>
        <v>0</v>
      </c>
      <c r="BF21" s="478">
        <f t="shared" si="23"/>
        <v>0</v>
      </c>
      <c r="BH21" s="475">
        <f t="shared" si="24"/>
        <v>0</v>
      </c>
      <c r="BI21" s="479">
        <f t="shared" si="12"/>
        <v>0</v>
      </c>
      <c r="BJ21" s="478">
        <f t="shared" si="25"/>
        <v>0</v>
      </c>
      <c r="BL21" s="394">
        <f t="shared" si="32"/>
        <v>45400</v>
      </c>
      <c r="BM21" s="481">
        <f>+Общо!BB21</f>
        <v>0</v>
      </c>
      <c r="BN21" s="476">
        <f>+Общо!BC21</f>
        <v>0</v>
      </c>
      <c r="BO21" s="482">
        <f>+Общо!BD21</f>
        <v>0</v>
      </c>
      <c r="BQ21" s="329">
        <f t="shared" si="33"/>
        <v>45400</v>
      </c>
      <c r="BR21" s="483">
        <f>+Общо!BG21</f>
        <v>0</v>
      </c>
      <c r="BS21" s="483">
        <f>+Общо!BH21</f>
        <v>0</v>
      </c>
      <c r="BT21" s="483">
        <f>+Общо!BI21</f>
        <v>0</v>
      </c>
      <c r="BU21" s="483">
        <f>+Общо!BJ21</f>
        <v>0</v>
      </c>
      <c r="BV21" s="483">
        <f>+Общо!BK21</f>
        <v>0</v>
      </c>
      <c r="BW21" s="483">
        <f>+Общо!BL21</f>
        <v>0</v>
      </c>
      <c r="BX21" s="483">
        <f>+Общо!BM21</f>
        <v>0</v>
      </c>
      <c r="BY21" s="483">
        <f>+Общо!BN21</f>
        <v>0</v>
      </c>
      <c r="BZ21" s="484">
        <f t="shared" si="39"/>
        <v>0</v>
      </c>
      <c r="CB21" s="329">
        <f t="shared" si="34"/>
        <v>45400</v>
      </c>
      <c r="CC21" s="485">
        <f>+Общо!BR21</f>
        <v>0</v>
      </c>
      <c r="CD21" s="485">
        <f>+Общо!BS21</f>
        <v>0</v>
      </c>
      <c r="CE21" s="485">
        <f>+Общо!BT21</f>
        <v>0</v>
      </c>
      <c r="CF21" s="485">
        <f>+Общо!BU21</f>
        <v>0</v>
      </c>
      <c r="CG21" s="485">
        <f>+Общо!BV21</f>
        <v>0</v>
      </c>
      <c r="CH21" s="485">
        <f>+Общо!BW21</f>
        <v>0</v>
      </c>
      <c r="CI21" s="485">
        <f>+Общо!BX21</f>
        <v>0</v>
      </c>
      <c r="CJ21" s="485">
        <f>+Общо!BY21</f>
        <v>0</v>
      </c>
      <c r="CK21" s="484">
        <f t="shared" si="40"/>
        <v>0</v>
      </c>
      <c r="CM21" s="329">
        <f t="shared" si="35"/>
        <v>45400</v>
      </c>
      <c r="CN21" s="486">
        <f>+Общо!CC21</f>
        <v>0</v>
      </c>
      <c r="CO21" s="486">
        <f>+Общо!CD21</f>
        <v>0</v>
      </c>
      <c r="CP21" s="486">
        <f>+Общо!CE21</f>
        <v>0</v>
      </c>
      <c r="CQ21" s="486">
        <f>+Общо!CF21</f>
        <v>0</v>
      </c>
      <c r="CR21" s="486">
        <f>+Общо!CG21</f>
        <v>0</v>
      </c>
      <c r="CS21" s="486">
        <f>+Общо!CH21</f>
        <v>0</v>
      </c>
      <c r="CT21" s="486">
        <f>+Общо!CI21</f>
        <v>0</v>
      </c>
      <c r="CU21" s="486">
        <f>+Общо!CJ21</f>
        <v>0</v>
      </c>
      <c r="CV21" s="487">
        <f t="shared" si="41"/>
        <v>0</v>
      </c>
    </row>
    <row r="22" spans="2:102" x14ac:dyDescent="0.25">
      <c r="B22" s="47">
        <f t="shared" si="28"/>
        <v>45401</v>
      </c>
      <c r="C22" s="458">
        <f>+Общо!C22+Общо!D22+Общо!E22+Общо!F22+Общо!L22+Общо!Y22+Общо!G22</f>
        <v>0</v>
      </c>
      <c r="D22" s="459">
        <f>+(Общо!C22+Общо!D22+Общо!E22+Общо!F22+Общо!G22+Общо!L22)*Цени!$G$41+Общо!Y22*Цени!$G$41</f>
        <v>0</v>
      </c>
      <c r="E22" s="459">
        <f>+Перник!T33</f>
        <v>0</v>
      </c>
      <c r="F22" s="460">
        <f>+Общо!H22+Общо!I22+Общо!J22+Общо!K22+Общо!M22+Общо!N22+Общо!O22+Общо!P22+Общо!Q22+Общо!R22+Общо!S22+Общо!T22+Общо!U22+Общо!V22+Общо!W22</f>
        <v>0</v>
      </c>
      <c r="G22" s="461">
        <f>+Общо!H22*Цени!$G$44+Общо!I22*Цени!$G$44+Общо!J22*Цени!$G$44+Общо!K22*Цени!$G$44+Общо!M22*Цени!$G$44+Общо!N22*Цени!$G$44+Общо!O22*Цени!$G$44+Общо!P22*Цени!$G$44+Общо!Q22*Цени!$G$44+Общо!R22*Цени!$G$45+Общо!S22*Цени!$G$44+Общо!T22*Цени!$G$43+Общо!W22*ЕМИ!E22</f>
        <v>0</v>
      </c>
      <c r="H22" s="461">
        <f>+'Борса и балансиране'!F22</f>
        <v>0</v>
      </c>
      <c r="I22" s="461">
        <f>+'Борса и балансиране'!H22</f>
        <v>0</v>
      </c>
      <c r="J22" s="461">
        <f>+'Борса и балансиране'!J22</f>
        <v>0</v>
      </c>
      <c r="K22" s="461">
        <f>+'Борса и балансиране'!N22</f>
        <v>0</v>
      </c>
      <c r="L22" s="461">
        <f>+Цени!L21</f>
        <v>0</v>
      </c>
      <c r="M22" s="461">
        <f>+Цени!N21</f>
        <v>0</v>
      </c>
      <c r="N22" s="462">
        <f t="shared" si="14"/>
        <v>0</v>
      </c>
      <c r="O22" s="463">
        <f t="shared" si="15"/>
        <v>0</v>
      </c>
      <c r="Q22" s="47">
        <f t="shared" si="29"/>
        <v>45401</v>
      </c>
      <c r="R22" s="461">
        <f>+Цени!E21</f>
        <v>0</v>
      </c>
      <c r="S22" s="461">
        <f>+Цени!E21*Цени!$E$35</f>
        <v>0</v>
      </c>
      <c r="T22" s="461">
        <f>+Цени!F21+Цени!C21</f>
        <v>0</v>
      </c>
      <c r="U22" s="461">
        <f>+(Цени!F21)*Цени!$F$35+Цени!C21*Цени!$C$35</f>
        <v>0</v>
      </c>
      <c r="V22" s="461">
        <f>+Цени!D21</f>
        <v>0</v>
      </c>
      <c r="W22" s="461">
        <f>+Цени!D21*Цени!$D$35</f>
        <v>0</v>
      </c>
      <c r="X22" s="461">
        <f>+'Борса и балансиране'!C22</f>
        <v>0</v>
      </c>
      <c r="Y22" s="461">
        <f>+'Борса и балансиране'!E22</f>
        <v>0</v>
      </c>
      <c r="Z22" s="461">
        <f>+'Борса и балансиране'!K22*-1</f>
        <v>0</v>
      </c>
      <c r="AA22" s="461">
        <f>+'Борса и балансиране'!O22*-1</f>
        <v>0</v>
      </c>
      <c r="AB22" s="461">
        <f t="shared" si="16"/>
        <v>0</v>
      </c>
      <c r="AC22" s="464">
        <f t="shared" si="17"/>
        <v>0</v>
      </c>
      <c r="AD22" s="465">
        <f t="shared" si="0"/>
        <v>0</v>
      </c>
      <c r="AE22" s="394">
        <f t="shared" si="30"/>
        <v>45401</v>
      </c>
      <c r="AF22" s="466">
        <f t="shared" si="38"/>
        <v>0</v>
      </c>
      <c r="AG22" s="466">
        <f t="shared" si="1"/>
        <v>0</v>
      </c>
      <c r="AH22" s="467">
        <f t="shared" ref="AH22:AH23" si="42">+AG22-AF22</f>
        <v>0</v>
      </c>
      <c r="AI22" s="463">
        <v>0</v>
      </c>
      <c r="AJ22" s="463">
        <v>0</v>
      </c>
      <c r="AK22" s="464">
        <f>+Общо!AK22</f>
        <v>0</v>
      </c>
      <c r="AL22" s="468">
        <f>+(Цени!$E$35-Цени!$M$1)*Цени!E21</f>
        <v>0</v>
      </c>
      <c r="AM22" s="469">
        <f t="shared" si="19"/>
        <v>0</v>
      </c>
      <c r="AO22" s="394">
        <f t="shared" si="31"/>
        <v>45401</v>
      </c>
      <c r="AP22" s="471">
        <f t="shared" si="3"/>
        <v>0</v>
      </c>
      <c r="AQ22" s="471">
        <f t="shared" si="4"/>
        <v>0</v>
      </c>
      <c r="AR22" s="471">
        <f t="shared" si="5"/>
        <v>0</v>
      </c>
      <c r="AS22" s="471">
        <f t="shared" si="6"/>
        <v>0</v>
      </c>
      <c r="AT22" s="472">
        <f t="shared" si="7"/>
        <v>0</v>
      </c>
      <c r="AV22" s="473">
        <f t="shared" si="20"/>
        <v>0</v>
      </c>
      <c r="AW22" s="474">
        <f>+IFERROR(#REF!/#REF!,0)</f>
        <v>0</v>
      </c>
      <c r="AX22" s="474">
        <f t="shared" si="21"/>
        <v>0</v>
      </c>
      <c r="AY22" s="471">
        <f t="shared" si="22"/>
        <v>0</v>
      </c>
      <c r="AZ22" s="471">
        <f>+'Борса и балансиране'!M22</f>
        <v>0</v>
      </c>
      <c r="BA22" s="472">
        <f t="shared" si="10"/>
        <v>0</v>
      </c>
      <c r="BC22" s="475">
        <f>+Общо!AQ22</f>
        <v>58.84</v>
      </c>
      <c r="BD22" s="476">
        <f>+Общо!AR22</f>
        <v>0</v>
      </c>
      <c r="BE22" s="477">
        <f>+Общо!AS22</f>
        <v>0</v>
      </c>
      <c r="BF22" s="478">
        <f t="shared" si="23"/>
        <v>0</v>
      </c>
      <c r="BH22" s="475">
        <f t="shared" si="24"/>
        <v>0</v>
      </c>
      <c r="BI22" s="479">
        <f t="shared" si="12"/>
        <v>0</v>
      </c>
      <c r="BJ22" s="478">
        <f t="shared" si="25"/>
        <v>0</v>
      </c>
      <c r="BL22" s="394">
        <f t="shared" si="32"/>
        <v>45401</v>
      </c>
      <c r="BM22" s="481">
        <f>+Общо!BB22</f>
        <v>0</v>
      </c>
      <c r="BN22" s="476">
        <f>+Общо!BC22</f>
        <v>0</v>
      </c>
      <c r="BO22" s="482">
        <f>+Общо!BD22</f>
        <v>0</v>
      </c>
      <c r="BQ22" s="329">
        <f t="shared" si="33"/>
        <v>45401</v>
      </c>
      <c r="BR22" s="483">
        <f>+Общо!BG22</f>
        <v>0</v>
      </c>
      <c r="BS22" s="483">
        <f>+Общо!BH22</f>
        <v>0</v>
      </c>
      <c r="BT22" s="483">
        <f>+Общо!BI22</f>
        <v>0</v>
      </c>
      <c r="BU22" s="483">
        <f>+Общо!BJ22</f>
        <v>0</v>
      </c>
      <c r="BV22" s="483">
        <f>+Общо!BK22</f>
        <v>0</v>
      </c>
      <c r="BW22" s="483">
        <f>+Общо!BL22</f>
        <v>0</v>
      </c>
      <c r="BX22" s="483">
        <f>+Общо!BM22</f>
        <v>0</v>
      </c>
      <c r="BY22" s="483">
        <f>+Общо!BN22</f>
        <v>0</v>
      </c>
      <c r="BZ22" s="484">
        <f t="shared" si="39"/>
        <v>0</v>
      </c>
      <c r="CB22" s="329">
        <f t="shared" si="34"/>
        <v>45401</v>
      </c>
      <c r="CC22" s="485">
        <f>+Общо!BR22</f>
        <v>0</v>
      </c>
      <c r="CD22" s="485">
        <f>+Общо!BS22</f>
        <v>0</v>
      </c>
      <c r="CE22" s="485">
        <f>+Общо!BT22</f>
        <v>0</v>
      </c>
      <c r="CF22" s="485">
        <f>+Общо!BU22</f>
        <v>0</v>
      </c>
      <c r="CG22" s="485">
        <f>+Общо!BV22</f>
        <v>0</v>
      </c>
      <c r="CH22" s="485">
        <f>+Общо!BW22</f>
        <v>0</v>
      </c>
      <c r="CI22" s="485">
        <f>+Общо!BX22</f>
        <v>0</v>
      </c>
      <c r="CJ22" s="485">
        <f>+Общо!BY22</f>
        <v>0</v>
      </c>
      <c r="CK22" s="484">
        <f t="shared" si="40"/>
        <v>0</v>
      </c>
      <c r="CM22" s="329">
        <f t="shared" si="35"/>
        <v>45401</v>
      </c>
      <c r="CN22" s="486">
        <f>+Общо!CC22</f>
        <v>0</v>
      </c>
      <c r="CO22" s="486">
        <f>+Общо!CD22</f>
        <v>0</v>
      </c>
      <c r="CP22" s="486">
        <f>+Общо!CE22</f>
        <v>0</v>
      </c>
      <c r="CQ22" s="486">
        <f>+Общо!CF22</f>
        <v>0</v>
      </c>
      <c r="CR22" s="486">
        <f>+Общо!CG22</f>
        <v>0</v>
      </c>
      <c r="CS22" s="486">
        <f>+Общо!CH22</f>
        <v>0</v>
      </c>
      <c r="CT22" s="486">
        <f>+Общо!CI22</f>
        <v>0</v>
      </c>
      <c r="CU22" s="486">
        <f>+Общо!CJ22</f>
        <v>0</v>
      </c>
      <c r="CV22" s="487">
        <f t="shared" si="41"/>
        <v>0</v>
      </c>
    </row>
    <row r="23" spans="2:102" x14ac:dyDescent="0.25">
      <c r="B23" s="47">
        <f t="shared" si="28"/>
        <v>45402</v>
      </c>
      <c r="C23" s="458">
        <f>+Общо!C23+Общо!D23+Общо!E23+Общо!F23+Общо!L23+Общо!Y23+Общо!G23</f>
        <v>0</v>
      </c>
      <c r="D23" s="459">
        <f>+(Общо!C23+Общо!D23+Общо!E23+Общо!F23+Общо!G23+Общо!L23)*Цени!$G$41+Общо!Y23*Цени!$G$41</f>
        <v>0</v>
      </c>
      <c r="E23" s="459">
        <f>+Перник!T34</f>
        <v>0</v>
      </c>
      <c r="F23" s="460">
        <f>+Общо!H23+Общо!I23+Общо!J23+Общо!K23+Общо!M23+Общо!N23+Общо!O23+Общо!P23+Общо!Q23+Общо!R23+Общо!S23+Общо!T23+Общо!U23+Общо!V23+Общо!W23</f>
        <v>0</v>
      </c>
      <c r="G23" s="461">
        <f>+Общо!H23*Цени!$G$44+Общо!I23*Цени!$G$44+Общо!J23*Цени!$G$44+Общо!K23*Цени!$G$44+Общо!M23*Цени!$G$44+Общо!N23*Цени!$G$44+Общо!O23*Цени!$G$44+Общо!P23*Цени!$G$44+Общо!Q23*Цени!$G$44+Общо!R23*Цени!$G$45+Общо!S23*Цени!$G$44+Общо!T23*Цени!$G$43+Общо!W23*ЕМИ!E23</f>
        <v>0</v>
      </c>
      <c r="H23" s="461">
        <f>+'Борса и балансиране'!F23</f>
        <v>0</v>
      </c>
      <c r="I23" s="461">
        <f>+'Борса и балансиране'!H23</f>
        <v>0</v>
      </c>
      <c r="J23" s="461">
        <f>+'Борса и балансиране'!J23</f>
        <v>0</v>
      </c>
      <c r="K23" s="461">
        <f>+'Борса и балансиране'!N23</f>
        <v>0</v>
      </c>
      <c r="L23" s="461">
        <f>+Цени!L22</f>
        <v>0</v>
      </c>
      <c r="M23" s="461">
        <f>+Цени!N22</f>
        <v>0</v>
      </c>
      <c r="N23" s="462">
        <f t="shared" si="14"/>
        <v>0</v>
      </c>
      <c r="O23" s="463">
        <f t="shared" si="15"/>
        <v>0</v>
      </c>
      <c r="Q23" s="47">
        <f t="shared" si="29"/>
        <v>45402</v>
      </c>
      <c r="R23" s="461">
        <f>+Цени!E22</f>
        <v>0</v>
      </c>
      <c r="S23" s="461">
        <f>+Цени!E22*Цени!$E$35</f>
        <v>0</v>
      </c>
      <c r="T23" s="461">
        <f>+Цени!F22+Цени!C22</f>
        <v>0</v>
      </c>
      <c r="U23" s="461">
        <f>+(Цени!F22)*Цени!$F$35+Цени!C22*Цени!$C$35</f>
        <v>0</v>
      </c>
      <c r="V23" s="461">
        <f>+Цени!D22</f>
        <v>0</v>
      </c>
      <c r="W23" s="461">
        <f>+Цени!D22*Цени!$D$35</f>
        <v>0</v>
      </c>
      <c r="X23" s="461">
        <f>+'Борса и балансиране'!C23</f>
        <v>0</v>
      </c>
      <c r="Y23" s="461">
        <f>+'Борса и балансиране'!E23</f>
        <v>0</v>
      </c>
      <c r="Z23" s="461">
        <f>+'Борса и балансиране'!K23*-1</f>
        <v>0</v>
      </c>
      <c r="AA23" s="461">
        <f>+'Борса и балансиране'!O23*-1</f>
        <v>0</v>
      </c>
      <c r="AB23" s="461">
        <f t="shared" si="16"/>
        <v>0</v>
      </c>
      <c r="AC23" s="464">
        <f t="shared" si="17"/>
        <v>0</v>
      </c>
      <c r="AD23" s="465">
        <f t="shared" si="0"/>
        <v>0</v>
      </c>
      <c r="AE23" s="394">
        <f t="shared" si="30"/>
        <v>45402</v>
      </c>
      <c r="AF23" s="466">
        <f t="shared" si="38"/>
        <v>0</v>
      </c>
      <c r="AG23" s="466">
        <f t="shared" si="1"/>
        <v>0</v>
      </c>
      <c r="AH23" s="467">
        <f t="shared" si="42"/>
        <v>0</v>
      </c>
      <c r="AI23" s="463">
        <v>0</v>
      </c>
      <c r="AJ23" s="463">
        <v>0</v>
      </c>
      <c r="AK23" s="464">
        <f>+Общо!AK23</f>
        <v>0</v>
      </c>
      <c r="AL23" s="468">
        <f>+(Цени!$E$35-Цени!$M$1)*Цени!E22</f>
        <v>0</v>
      </c>
      <c r="AM23" s="469">
        <f t="shared" si="19"/>
        <v>0</v>
      </c>
      <c r="AO23" s="394">
        <f t="shared" si="31"/>
        <v>45402</v>
      </c>
      <c r="AP23" s="471">
        <f t="shared" si="3"/>
        <v>0</v>
      </c>
      <c r="AQ23" s="471">
        <f t="shared" si="4"/>
        <v>0</v>
      </c>
      <c r="AR23" s="471">
        <f t="shared" si="5"/>
        <v>0</v>
      </c>
      <c r="AS23" s="471">
        <f t="shared" si="6"/>
        <v>0</v>
      </c>
      <c r="AT23" s="472">
        <f t="shared" si="7"/>
        <v>0</v>
      </c>
      <c r="AV23" s="473">
        <f t="shared" si="20"/>
        <v>0</v>
      </c>
      <c r="AW23" s="474">
        <f>+IFERROR(#REF!/#REF!,0)</f>
        <v>0</v>
      </c>
      <c r="AX23" s="474">
        <f t="shared" si="21"/>
        <v>0</v>
      </c>
      <c r="AY23" s="471">
        <f t="shared" si="22"/>
        <v>0</v>
      </c>
      <c r="AZ23" s="471">
        <f>+'Борса и балансиране'!M23</f>
        <v>0</v>
      </c>
      <c r="BA23" s="472">
        <f t="shared" si="10"/>
        <v>0</v>
      </c>
      <c r="BC23" s="475">
        <f>+Общо!AQ23</f>
        <v>58.84</v>
      </c>
      <c r="BD23" s="476">
        <f>+Общо!AR23</f>
        <v>0</v>
      </c>
      <c r="BE23" s="477">
        <f>+Общо!AS23</f>
        <v>0</v>
      </c>
      <c r="BF23" s="478">
        <f t="shared" si="23"/>
        <v>0</v>
      </c>
      <c r="BH23" s="475">
        <f t="shared" si="24"/>
        <v>0</v>
      </c>
      <c r="BI23" s="479">
        <f t="shared" si="12"/>
        <v>0</v>
      </c>
      <c r="BJ23" s="478">
        <f t="shared" si="25"/>
        <v>0</v>
      </c>
      <c r="BL23" s="394">
        <f t="shared" si="32"/>
        <v>45402</v>
      </c>
      <c r="BM23" s="481">
        <f>+Общо!BB23</f>
        <v>0</v>
      </c>
      <c r="BN23" s="476">
        <f>+Общо!BC23</f>
        <v>0</v>
      </c>
      <c r="BO23" s="482">
        <f>+Общо!BD23</f>
        <v>0</v>
      </c>
      <c r="BQ23" s="329">
        <f t="shared" si="33"/>
        <v>45402</v>
      </c>
      <c r="BR23" s="483">
        <f>+Общо!BG23</f>
        <v>0</v>
      </c>
      <c r="BS23" s="483">
        <f>+Общо!BH23</f>
        <v>0</v>
      </c>
      <c r="BT23" s="483">
        <f>+Общо!BI23</f>
        <v>0</v>
      </c>
      <c r="BU23" s="483">
        <f>+Общо!BJ23</f>
        <v>0</v>
      </c>
      <c r="BV23" s="483">
        <f>+Общо!BK23</f>
        <v>0</v>
      </c>
      <c r="BW23" s="483">
        <f>+Общо!BL23</f>
        <v>0</v>
      </c>
      <c r="BX23" s="483">
        <f>+Общо!BM23</f>
        <v>0</v>
      </c>
      <c r="BY23" s="483">
        <f>+Общо!BN23</f>
        <v>0</v>
      </c>
      <c r="BZ23" s="484">
        <f t="shared" si="39"/>
        <v>0</v>
      </c>
      <c r="CB23" s="329">
        <f t="shared" si="34"/>
        <v>45402</v>
      </c>
      <c r="CC23" s="485">
        <f>+Общо!BR23</f>
        <v>0</v>
      </c>
      <c r="CD23" s="485">
        <f>+Общо!BS23</f>
        <v>0</v>
      </c>
      <c r="CE23" s="485">
        <f>+Общо!BT23</f>
        <v>0</v>
      </c>
      <c r="CF23" s="485">
        <f>+Общо!BU23</f>
        <v>0</v>
      </c>
      <c r="CG23" s="485">
        <f>+Общо!BV23</f>
        <v>0</v>
      </c>
      <c r="CH23" s="485">
        <f>+Общо!BW23</f>
        <v>0</v>
      </c>
      <c r="CI23" s="485">
        <f>+Общо!BX23</f>
        <v>0</v>
      </c>
      <c r="CJ23" s="485">
        <f>+Общо!BY23</f>
        <v>0</v>
      </c>
      <c r="CK23" s="484">
        <f t="shared" si="40"/>
        <v>0</v>
      </c>
      <c r="CM23" s="329">
        <f t="shared" si="35"/>
        <v>45402</v>
      </c>
      <c r="CN23" s="486">
        <f>+Общо!CC23</f>
        <v>0</v>
      </c>
      <c r="CO23" s="486">
        <f>+Общо!CD23</f>
        <v>0</v>
      </c>
      <c r="CP23" s="486">
        <f>+Общо!CE23</f>
        <v>0</v>
      </c>
      <c r="CQ23" s="486">
        <f>+Общо!CF23</f>
        <v>0</v>
      </c>
      <c r="CR23" s="486">
        <f>+Общо!CG23</f>
        <v>0</v>
      </c>
      <c r="CS23" s="486">
        <f>+Общо!CH23</f>
        <v>0</v>
      </c>
      <c r="CT23" s="486">
        <f>+Общо!CI23</f>
        <v>0</v>
      </c>
      <c r="CU23" s="486">
        <f>+Общо!CJ23</f>
        <v>0</v>
      </c>
      <c r="CV23" s="487">
        <f t="shared" si="41"/>
        <v>0</v>
      </c>
    </row>
    <row r="24" spans="2:102" x14ac:dyDescent="0.25">
      <c r="B24" s="47">
        <f t="shared" si="28"/>
        <v>45403</v>
      </c>
      <c r="C24" s="458">
        <f>+Общо!C24+Общо!D24+Общо!E24+Общо!F24+Общо!L24+Общо!Y24+Общо!G24</f>
        <v>0</v>
      </c>
      <c r="D24" s="459">
        <f>+(Общо!C24+Общо!D24+Общо!E24+Общо!F24+Общо!G24+Общо!L24)*Цени!$G$41+Общо!Y24*Цени!$G$41</f>
        <v>0</v>
      </c>
      <c r="E24" s="459">
        <f>+Перник!T35</f>
        <v>0</v>
      </c>
      <c r="F24" s="460">
        <f>+Общо!H24+Общо!I24+Общо!J24+Общо!K24+Общо!M24+Общо!N24+Общо!O24+Общо!P24+Общо!Q24+Общо!R24+Общо!S24+Общо!T24+Общо!U24+Общо!V24+Общо!W24</f>
        <v>0</v>
      </c>
      <c r="G24" s="461">
        <f>+Общо!H24*Цени!$G$44+Общо!I24*Цени!$G$44+Общо!J24*Цени!$G$44+Общо!K24*Цени!$G$44+Общо!M24*Цени!$G$44+Общо!N24*Цени!$G$44+Общо!O24*Цени!$G$44+Общо!P24*Цени!$G$44+Общо!Q24*Цени!$G$44+Общо!R24*Цени!$G$45+Общо!S24*Цени!$G$44+Общо!T24*Цени!$G$43+Общо!W24*ЕМИ!E24</f>
        <v>0</v>
      </c>
      <c r="H24" s="461">
        <f>+'Борса и балансиране'!F24</f>
        <v>0</v>
      </c>
      <c r="I24" s="461">
        <f>+'Борса и балансиране'!H24</f>
        <v>0</v>
      </c>
      <c r="J24" s="461">
        <f>+'Борса и балансиране'!J24</f>
        <v>0</v>
      </c>
      <c r="K24" s="461">
        <f>+'Борса и балансиране'!N24</f>
        <v>0</v>
      </c>
      <c r="L24" s="461">
        <f>+Цени!L23</f>
        <v>0</v>
      </c>
      <c r="M24" s="461">
        <f>+Цени!N23</f>
        <v>0</v>
      </c>
      <c r="N24" s="462">
        <f t="shared" si="14"/>
        <v>0</v>
      </c>
      <c r="O24" s="463">
        <f t="shared" si="15"/>
        <v>0</v>
      </c>
      <c r="Q24" s="47">
        <f t="shared" si="29"/>
        <v>45403</v>
      </c>
      <c r="R24" s="461">
        <f>+Цени!E23</f>
        <v>0</v>
      </c>
      <c r="S24" s="461">
        <f>+Цени!E23*Цени!$E$35</f>
        <v>0</v>
      </c>
      <c r="T24" s="461">
        <f>+Цени!F23+Цени!C23</f>
        <v>0</v>
      </c>
      <c r="U24" s="461">
        <f>+(Цени!F23)*Цени!$F$35+Цени!C23*Цени!$C$35</f>
        <v>0</v>
      </c>
      <c r="V24" s="461">
        <f>+Цени!D23</f>
        <v>0</v>
      </c>
      <c r="W24" s="461">
        <f>+Цени!D23*Цени!$D$35</f>
        <v>0</v>
      </c>
      <c r="X24" s="461">
        <f>+'Борса и балансиране'!C24</f>
        <v>0</v>
      </c>
      <c r="Y24" s="461">
        <f>+'Борса и балансиране'!E24</f>
        <v>0</v>
      </c>
      <c r="Z24" s="461">
        <f>+'Борса и балансиране'!K24*-1</f>
        <v>0</v>
      </c>
      <c r="AA24" s="461">
        <f>+'Борса и балансиране'!O24*-1</f>
        <v>0</v>
      </c>
      <c r="AB24" s="461">
        <f t="shared" si="16"/>
        <v>0</v>
      </c>
      <c r="AC24" s="464">
        <f t="shared" si="17"/>
        <v>0</v>
      </c>
      <c r="AD24" s="465">
        <f t="shared" si="0"/>
        <v>0</v>
      </c>
      <c r="AE24" s="394">
        <f t="shared" si="30"/>
        <v>45403</v>
      </c>
      <c r="AF24" s="466">
        <f t="shared" si="38"/>
        <v>0</v>
      </c>
      <c r="AG24" s="466">
        <f t="shared" si="1"/>
        <v>0</v>
      </c>
      <c r="AH24" s="467">
        <f t="shared" si="2"/>
        <v>0</v>
      </c>
      <c r="AI24" s="463">
        <v>0</v>
      </c>
      <c r="AJ24" s="463">
        <v>0</v>
      </c>
      <c r="AK24" s="464">
        <f>+Общо!AK24</f>
        <v>0</v>
      </c>
      <c r="AL24" s="468">
        <f>+(Цени!$E$35-Цени!$M$1)*Цени!E23</f>
        <v>0</v>
      </c>
      <c r="AM24" s="469">
        <f t="shared" si="19"/>
        <v>0</v>
      </c>
      <c r="AO24" s="394">
        <f t="shared" si="31"/>
        <v>45403</v>
      </c>
      <c r="AP24" s="471">
        <f t="shared" si="3"/>
        <v>0</v>
      </c>
      <c r="AQ24" s="471">
        <f t="shared" si="4"/>
        <v>0</v>
      </c>
      <c r="AR24" s="471">
        <f t="shared" si="5"/>
        <v>0</v>
      </c>
      <c r="AS24" s="471">
        <f t="shared" si="6"/>
        <v>0</v>
      </c>
      <c r="AT24" s="472">
        <f t="shared" si="7"/>
        <v>0</v>
      </c>
      <c r="AV24" s="473">
        <f t="shared" si="20"/>
        <v>0</v>
      </c>
      <c r="AW24" s="474">
        <f>+IFERROR(#REF!/#REF!,0)</f>
        <v>0</v>
      </c>
      <c r="AX24" s="474">
        <f t="shared" si="21"/>
        <v>0</v>
      </c>
      <c r="AY24" s="471">
        <f t="shared" si="22"/>
        <v>0</v>
      </c>
      <c r="AZ24" s="471">
        <f>+'Борса и балансиране'!M24</f>
        <v>0</v>
      </c>
      <c r="BA24" s="472">
        <f t="shared" si="10"/>
        <v>0</v>
      </c>
      <c r="BC24" s="475">
        <f>+Общо!AQ24</f>
        <v>58.84</v>
      </c>
      <c r="BD24" s="476">
        <f>+Общо!AR24</f>
        <v>0</v>
      </c>
      <c r="BE24" s="477">
        <f>+Общо!AS24</f>
        <v>0</v>
      </c>
      <c r="BF24" s="478">
        <f t="shared" si="23"/>
        <v>0</v>
      </c>
      <c r="BH24" s="475">
        <f t="shared" si="24"/>
        <v>0</v>
      </c>
      <c r="BI24" s="479">
        <f t="shared" si="12"/>
        <v>0</v>
      </c>
      <c r="BJ24" s="478">
        <f t="shared" si="25"/>
        <v>0</v>
      </c>
      <c r="BL24" s="394">
        <f t="shared" si="32"/>
        <v>45403</v>
      </c>
      <c r="BM24" s="481">
        <f>+Общо!BB24</f>
        <v>0</v>
      </c>
      <c r="BN24" s="476">
        <f>+Общо!BC24</f>
        <v>0</v>
      </c>
      <c r="BO24" s="482">
        <f>+Общо!BD24</f>
        <v>0</v>
      </c>
      <c r="BQ24" s="329">
        <f t="shared" si="33"/>
        <v>45403</v>
      </c>
      <c r="BR24" s="483">
        <f>+Общо!BG24</f>
        <v>0</v>
      </c>
      <c r="BS24" s="483">
        <f>+Общо!BH24</f>
        <v>0</v>
      </c>
      <c r="BT24" s="483">
        <f>+Общо!BI24</f>
        <v>0</v>
      </c>
      <c r="BU24" s="483">
        <f>+Общо!BJ24</f>
        <v>0</v>
      </c>
      <c r="BV24" s="483">
        <f>+Общо!BK24</f>
        <v>0</v>
      </c>
      <c r="BW24" s="483">
        <f>+Общо!BL24</f>
        <v>0</v>
      </c>
      <c r="BX24" s="483">
        <f>+Общо!BM24</f>
        <v>0</v>
      </c>
      <c r="BY24" s="483">
        <f>+Общо!BN24</f>
        <v>0</v>
      </c>
      <c r="BZ24" s="484">
        <f t="shared" si="39"/>
        <v>0</v>
      </c>
      <c r="CB24" s="329">
        <f t="shared" si="34"/>
        <v>45403</v>
      </c>
      <c r="CC24" s="485">
        <f>+Общо!BR24</f>
        <v>0</v>
      </c>
      <c r="CD24" s="485">
        <f>+Общо!BS24</f>
        <v>0</v>
      </c>
      <c r="CE24" s="485">
        <f>+Общо!BT24</f>
        <v>0</v>
      </c>
      <c r="CF24" s="485">
        <f>+Общо!BU24</f>
        <v>0</v>
      </c>
      <c r="CG24" s="485">
        <f>+Общо!BV24</f>
        <v>0</v>
      </c>
      <c r="CH24" s="485">
        <f>+Общо!BW24</f>
        <v>0</v>
      </c>
      <c r="CI24" s="485">
        <f>+Общо!BX24</f>
        <v>0</v>
      </c>
      <c r="CJ24" s="485">
        <f>+Общо!BY24</f>
        <v>0</v>
      </c>
      <c r="CK24" s="484">
        <f t="shared" si="40"/>
        <v>0</v>
      </c>
      <c r="CM24" s="329">
        <f t="shared" si="35"/>
        <v>45403</v>
      </c>
      <c r="CN24" s="486">
        <f>+Общо!CC24</f>
        <v>0</v>
      </c>
      <c r="CO24" s="486">
        <f>+Общо!CD24</f>
        <v>0</v>
      </c>
      <c r="CP24" s="486">
        <f>+Общо!CE24</f>
        <v>0</v>
      </c>
      <c r="CQ24" s="486">
        <f>+Общо!CF24</f>
        <v>0</v>
      </c>
      <c r="CR24" s="486">
        <f>+Общо!CG24</f>
        <v>0</v>
      </c>
      <c r="CS24" s="486">
        <f>+Общо!CH24</f>
        <v>0</v>
      </c>
      <c r="CT24" s="486">
        <f>+Общо!CI24</f>
        <v>0</v>
      </c>
      <c r="CU24" s="486">
        <f>+Общо!CJ24</f>
        <v>0</v>
      </c>
      <c r="CV24" s="487">
        <f t="shared" si="41"/>
        <v>0</v>
      </c>
      <c r="CW24" s="480"/>
    </row>
    <row r="25" spans="2:102" x14ac:dyDescent="0.25">
      <c r="B25" s="47">
        <f t="shared" si="28"/>
        <v>45404</v>
      </c>
      <c r="C25" s="458">
        <f>+Общо!C25+Общо!D25+Общо!E25+Общо!F25+Общо!L25+Общо!Y25+Общо!G25</f>
        <v>0</v>
      </c>
      <c r="D25" s="459">
        <f>+(Общо!C25+Общо!D25+Общо!E25+Общо!F25+Общо!G25+Общо!L25)*Цени!$G$41+Общо!Y25*Цени!$G$41</f>
        <v>0</v>
      </c>
      <c r="E25" s="459">
        <f>+Перник!T36</f>
        <v>0</v>
      </c>
      <c r="F25" s="460">
        <f>+Общо!H25+Общо!I25+Общо!J25+Общо!K25+Общо!M25+Общо!N25+Общо!O25+Общо!P25+Общо!Q25+Общо!R25+Общо!S25+Общо!T25+Общо!U25+Общо!V25+Общо!W25</f>
        <v>0</v>
      </c>
      <c r="G25" s="461">
        <f>+Общо!H25*Цени!$G$44+Общо!I25*Цени!$G$44+Общо!J25*Цени!$G$44+Общо!K25*Цени!$G$44+Общо!M25*Цени!$G$44+Общо!N25*Цени!$G$44+Общо!O25*Цени!$G$44+Общо!P25*Цени!$G$44+Общо!Q25*Цени!$G$44+Общо!R25*Цени!$G$45+Общо!S25*Цени!$G$44+Общо!T25*Цени!$G$43+Общо!W25*ЕМИ!E25</f>
        <v>0</v>
      </c>
      <c r="H25" s="461">
        <f>+'Борса и балансиране'!F25</f>
        <v>0</v>
      </c>
      <c r="I25" s="461">
        <f>+'Борса и балансиране'!H25</f>
        <v>0</v>
      </c>
      <c r="J25" s="461">
        <f>+'Борса и балансиране'!J25</f>
        <v>0</v>
      </c>
      <c r="K25" s="461">
        <f>+'Борса и балансиране'!N25</f>
        <v>0</v>
      </c>
      <c r="L25" s="461">
        <f>+Цени!L24</f>
        <v>0</v>
      </c>
      <c r="M25" s="461">
        <f>+Цени!N24</f>
        <v>0</v>
      </c>
      <c r="N25" s="462">
        <f t="shared" si="14"/>
        <v>0</v>
      </c>
      <c r="O25" s="463">
        <f t="shared" si="15"/>
        <v>0</v>
      </c>
      <c r="Q25" s="47">
        <f t="shared" si="29"/>
        <v>45404</v>
      </c>
      <c r="R25" s="461">
        <f>+Цени!E24</f>
        <v>0</v>
      </c>
      <c r="S25" s="461">
        <f>+Цени!E24*Цени!$E$35</f>
        <v>0</v>
      </c>
      <c r="T25" s="461">
        <f>+Цени!F24+Цени!C24</f>
        <v>0</v>
      </c>
      <c r="U25" s="461">
        <f>+(Цени!F24)*Цени!$F$35+Цени!C24*Цени!$C$35</f>
        <v>0</v>
      </c>
      <c r="V25" s="461">
        <f>+Цени!D24</f>
        <v>0</v>
      </c>
      <c r="W25" s="461">
        <f>+Цени!D24*Цени!$D$35</f>
        <v>0</v>
      </c>
      <c r="X25" s="461">
        <f>+'Борса и балансиране'!C25</f>
        <v>0</v>
      </c>
      <c r="Y25" s="461">
        <f>+'Борса и балансиране'!E25</f>
        <v>0</v>
      </c>
      <c r="Z25" s="461">
        <f>+'Борса и балансиране'!K25*-1</f>
        <v>0</v>
      </c>
      <c r="AA25" s="461">
        <f>+'Борса и балансиране'!O25*-1</f>
        <v>0</v>
      </c>
      <c r="AB25" s="461">
        <f t="shared" si="16"/>
        <v>0</v>
      </c>
      <c r="AC25" s="464">
        <f t="shared" si="17"/>
        <v>0</v>
      </c>
      <c r="AD25" s="465">
        <f t="shared" si="0"/>
        <v>0</v>
      </c>
      <c r="AE25" s="394">
        <f t="shared" si="30"/>
        <v>45404</v>
      </c>
      <c r="AF25" s="466">
        <f t="shared" si="38"/>
        <v>0</v>
      </c>
      <c r="AG25" s="466">
        <f t="shared" si="1"/>
        <v>0</v>
      </c>
      <c r="AH25" s="467">
        <f t="shared" si="2"/>
        <v>0</v>
      </c>
      <c r="AI25" s="463">
        <v>0</v>
      </c>
      <c r="AJ25" s="463">
        <v>0</v>
      </c>
      <c r="AK25" s="464">
        <f>+Общо!AK25</f>
        <v>0</v>
      </c>
      <c r="AL25" s="468">
        <f>+(Цени!$E$35-Цени!$M$1)*Цени!E24</f>
        <v>0</v>
      </c>
      <c r="AM25" s="469">
        <f t="shared" si="19"/>
        <v>0</v>
      </c>
      <c r="AO25" s="394">
        <f t="shared" si="31"/>
        <v>45404</v>
      </c>
      <c r="AP25" s="471">
        <f t="shared" si="3"/>
        <v>0</v>
      </c>
      <c r="AQ25" s="471">
        <f t="shared" si="4"/>
        <v>0</v>
      </c>
      <c r="AR25" s="471">
        <f t="shared" si="5"/>
        <v>0</v>
      </c>
      <c r="AS25" s="471">
        <f t="shared" si="6"/>
        <v>0</v>
      </c>
      <c r="AT25" s="472">
        <f t="shared" si="7"/>
        <v>0</v>
      </c>
      <c r="AV25" s="473">
        <f t="shared" si="20"/>
        <v>0</v>
      </c>
      <c r="AW25" s="474">
        <f>+IFERROR(#REF!/#REF!,0)</f>
        <v>0</v>
      </c>
      <c r="AX25" s="474">
        <f t="shared" si="21"/>
        <v>0</v>
      </c>
      <c r="AY25" s="471">
        <f t="shared" si="22"/>
        <v>0</v>
      </c>
      <c r="AZ25" s="471">
        <f>+'Борса и балансиране'!M25</f>
        <v>0</v>
      </c>
      <c r="BA25" s="472">
        <f t="shared" si="10"/>
        <v>0</v>
      </c>
      <c r="BC25" s="475">
        <f>+Общо!AQ25</f>
        <v>58.84</v>
      </c>
      <c r="BD25" s="476">
        <f>+Общо!AR25</f>
        <v>0</v>
      </c>
      <c r="BE25" s="477">
        <f>+Общо!AS25</f>
        <v>0</v>
      </c>
      <c r="BF25" s="478">
        <f t="shared" si="23"/>
        <v>0</v>
      </c>
      <c r="BH25" s="475">
        <f t="shared" si="24"/>
        <v>0</v>
      </c>
      <c r="BI25" s="479">
        <f t="shared" si="12"/>
        <v>0</v>
      </c>
      <c r="BJ25" s="478">
        <f t="shared" si="25"/>
        <v>0</v>
      </c>
      <c r="BL25" s="394">
        <f t="shared" si="32"/>
        <v>45404</v>
      </c>
      <c r="BM25" s="481">
        <f>+Общо!BB25</f>
        <v>0</v>
      </c>
      <c r="BN25" s="476">
        <f>+Общо!BC25</f>
        <v>0</v>
      </c>
      <c r="BO25" s="482">
        <f>+Общо!BD25</f>
        <v>0</v>
      </c>
      <c r="BQ25" s="329">
        <f t="shared" si="33"/>
        <v>45404</v>
      </c>
      <c r="BR25" s="483">
        <f>+Общо!BG25</f>
        <v>0</v>
      </c>
      <c r="BS25" s="483">
        <f>+Общо!BH25</f>
        <v>0</v>
      </c>
      <c r="BT25" s="483">
        <f>+Общо!BI25</f>
        <v>0</v>
      </c>
      <c r="BU25" s="483">
        <f>+Общо!BJ25</f>
        <v>0</v>
      </c>
      <c r="BV25" s="483">
        <f>+Общо!BK25</f>
        <v>0</v>
      </c>
      <c r="BW25" s="483">
        <f>+Общо!BL25</f>
        <v>0</v>
      </c>
      <c r="BX25" s="483">
        <f>+Общо!BM25</f>
        <v>0</v>
      </c>
      <c r="BY25" s="483">
        <f>+Общо!BN25</f>
        <v>0</v>
      </c>
      <c r="BZ25" s="484">
        <f t="shared" si="39"/>
        <v>0</v>
      </c>
      <c r="CB25" s="329">
        <f t="shared" si="34"/>
        <v>45404</v>
      </c>
      <c r="CC25" s="485">
        <f>+Общо!BR25</f>
        <v>0</v>
      </c>
      <c r="CD25" s="485">
        <f>+Общо!BS25</f>
        <v>0</v>
      </c>
      <c r="CE25" s="485">
        <f>+Общо!BT25</f>
        <v>0</v>
      </c>
      <c r="CF25" s="485">
        <f>+Общо!BU25</f>
        <v>0</v>
      </c>
      <c r="CG25" s="485">
        <f>+Общо!BV25</f>
        <v>0</v>
      </c>
      <c r="CH25" s="485">
        <f>+Общо!BW25</f>
        <v>0</v>
      </c>
      <c r="CI25" s="485">
        <f>+Общо!BX25</f>
        <v>0</v>
      </c>
      <c r="CJ25" s="485">
        <f>+Общо!BY25</f>
        <v>0</v>
      </c>
      <c r="CK25" s="484">
        <f t="shared" si="40"/>
        <v>0</v>
      </c>
      <c r="CM25" s="329">
        <f t="shared" si="35"/>
        <v>45404</v>
      </c>
      <c r="CN25" s="486">
        <f>+Общо!CC25</f>
        <v>0</v>
      </c>
      <c r="CO25" s="486">
        <f>+Общо!CD25</f>
        <v>0</v>
      </c>
      <c r="CP25" s="486">
        <f>+Общо!CE25</f>
        <v>0</v>
      </c>
      <c r="CQ25" s="486">
        <f>+Общо!CF25</f>
        <v>0</v>
      </c>
      <c r="CR25" s="486">
        <f>+Общо!CG25</f>
        <v>0</v>
      </c>
      <c r="CS25" s="486">
        <f>+Общо!CH25</f>
        <v>0</v>
      </c>
      <c r="CT25" s="486">
        <f>+Общо!CI25</f>
        <v>0</v>
      </c>
      <c r="CU25" s="486">
        <f>+Общо!CJ25</f>
        <v>0</v>
      </c>
      <c r="CV25" s="487">
        <f t="shared" si="41"/>
        <v>0</v>
      </c>
    </row>
    <row r="26" spans="2:102" x14ac:dyDescent="0.25">
      <c r="B26" s="47">
        <f t="shared" si="28"/>
        <v>45405</v>
      </c>
      <c r="C26" s="458">
        <f>+Общо!C26+Общо!D26+Общо!E26+Общо!F26+Общо!L26+Общо!Y26+Общо!G26</f>
        <v>0</v>
      </c>
      <c r="D26" s="459">
        <f>+(Общо!C26+Общо!D26+Общо!E26+Общо!F26+Общо!G26+Общо!L26)*Цени!$G$41+Общо!Y26*Цени!$G$41</f>
        <v>0</v>
      </c>
      <c r="E26" s="459">
        <f>+Перник!T37</f>
        <v>0</v>
      </c>
      <c r="F26" s="460">
        <f>+Общо!H26+Общо!I26+Общо!J26+Общо!K26+Общо!M26+Общо!N26+Общо!O26+Общо!P26+Общо!Q26+Общо!R26+Общо!S26+Общо!T26+Общо!U26+Общо!V26+Общо!W26</f>
        <v>0</v>
      </c>
      <c r="G26" s="461">
        <f>+Общо!H26*Цени!$G$44+Общо!I26*Цени!$G$44+Общо!J26*Цени!$G$44+Общо!K26*Цени!$G$44+Общо!M26*Цени!$G$44+Общо!N26*Цени!$G$44+Общо!O26*Цени!$G$44+Общо!P26*Цени!$G$44+Общо!Q26*Цени!$G$44+Общо!R26*Цени!$G$45+Общо!S26*Цени!$G$44+Общо!T26*Цени!$G$43+Общо!W26*ЕМИ!E26</f>
        <v>0</v>
      </c>
      <c r="H26" s="461">
        <f>+'Борса и балансиране'!F26</f>
        <v>0</v>
      </c>
      <c r="I26" s="461">
        <f>+'Борса и балансиране'!H26</f>
        <v>0</v>
      </c>
      <c r="J26" s="461">
        <f>+'Борса и балансиране'!J26</f>
        <v>0</v>
      </c>
      <c r="K26" s="461">
        <f>+'Борса и балансиране'!N26</f>
        <v>0</v>
      </c>
      <c r="L26" s="461">
        <f>+Цени!L25</f>
        <v>0</v>
      </c>
      <c r="M26" s="461">
        <f>+Цени!N25</f>
        <v>0</v>
      </c>
      <c r="N26" s="462">
        <f t="shared" si="14"/>
        <v>0</v>
      </c>
      <c r="O26" s="463">
        <f t="shared" si="15"/>
        <v>0</v>
      </c>
      <c r="Q26" s="47">
        <f t="shared" si="29"/>
        <v>45405</v>
      </c>
      <c r="R26" s="461">
        <f>+Цени!E25</f>
        <v>0</v>
      </c>
      <c r="S26" s="461">
        <f>+Цени!E25*Цени!$E$35</f>
        <v>0</v>
      </c>
      <c r="T26" s="461">
        <f>+Цени!F25+Цени!C25</f>
        <v>0</v>
      </c>
      <c r="U26" s="461">
        <f>+(Цени!F25)*Цени!$F$35+Цени!C25*Цени!$C$35</f>
        <v>0</v>
      </c>
      <c r="V26" s="461">
        <f>+Цени!D25</f>
        <v>0</v>
      </c>
      <c r="W26" s="461">
        <f>+Цени!D25*Цени!$D$35</f>
        <v>0</v>
      </c>
      <c r="X26" s="461">
        <f>+'Борса и балансиране'!C26</f>
        <v>0</v>
      </c>
      <c r="Y26" s="461">
        <f>+'Борса и балансиране'!E26</f>
        <v>0</v>
      </c>
      <c r="Z26" s="461">
        <f>+'Борса и балансиране'!K26*-1</f>
        <v>0</v>
      </c>
      <c r="AA26" s="461">
        <f>+'Борса и балансиране'!O26*-1</f>
        <v>0</v>
      </c>
      <c r="AB26" s="461">
        <f t="shared" si="16"/>
        <v>0</v>
      </c>
      <c r="AC26" s="464">
        <f t="shared" si="17"/>
        <v>0</v>
      </c>
      <c r="AD26" s="465">
        <f t="shared" si="0"/>
        <v>0</v>
      </c>
      <c r="AE26" s="394">
        <f t="shared" si="30"/>
        <v>45405</v>
      </c>
      <c r="AF26" s="466">
        <f t="shared" si="38"/>
        <v>0</v>
      </c>
      <c r="AG26" s="466">
        <f t="shared" si="1"/>
        <v>0</v>
      </c>
      <c r="AH26" s="467">
        <f t="shared" si="2"/>
        <v>0</v>
      </c>
      <c r="AI26" s="463">
        <v>0</v>
      </c>
      <c r="AJ26" s="463">
        <v>0</v>
      </c>
      <c r="AK26" s="464">
        <f>+Общо!AK26</f>
        <v>0</v>
      </c>
      <c r="AL26" s="468">
        <f>+(Цени!$E$35-Цени!$M$1)*Цени!E25</f>
        <v>0</v>
      </c>
      <c r="AM26" s="469">
        <f t="shared" si="19"/>
        <v>0</v>
      </c>
      <c r="AO26" s="394">
        <f t="shared" si="31"/>
        <v>45405</v>
      </c>
      <c r="AP26" s="471">
        <f t="shared" si="3"/>
        <v>0</v>
      </c>
      <c r="AQ26" s="471">
        <f t="shared" si="4"/>
        <v>0</v>
      </c>
      <c r="AR26" s="471">
        <f t="shared" si="5"/>
        <v>0</v>
      </c>
      <c r="AS26" s="471">
        <f t="shared" si="6"/>
        <v>0</v>
      </c>
      <c r="AT26" s="472">
        <f t="shared" si="7"/>
        <v>0</v>
      </c>
      <c r="AV26" s="473">
        <f t="shared" si="20"/>
        <v>0</v>
      </c>
      <c r="AW26" s="474">
        <f>+IFERROR(#REF!/#REF!,0)</f>
        <v>0</v>
      </c>
      <c r="AX26" s="474">
        <f t="shared" si="21"/>
        <v>0</v>
      </c>
      <c r="AY26" s="471">
        <f t="shared" si="22"/>
        <v>0</v>
      </c>
      <c r="AZ26" s="471">
        <f>+'Борса и балансиране'!M26</f>
        <v>0</v>
      </c>
      <c r="BA26" s="472">
        <f t="shared" si="10"/>
        <v>0</v>
      </c>
      <c r="BC26" s="475">
        <f>+Общо!AQ26</f>
        <v>58.84</v>
      </c>
      <c r="BD26" s="476">
        <f>+Общо!AR26</f>
        <v>0</v>
      </c>
      <c r="BE26" s="477">
        <f>+Общо!AS26</f>
        <v>0</v>
      </c>
      <c r="BF26" s="478">
        <f t="shared" si="23"/>
        <v>0</v>
      </c>
      <c r="BH26" s="475">
        <f t="shared" si="24"/>
        <v>0</v>
      </c>
      <c r="BI26" s="479">
        <f t="shared" si="12"/>
        <v>0</v>
      </c>
      <c r="BJ26" s="478">
        <f t="shared" si="25"/>
        <v>0</v>
      </c>
      <c r="BL26" s="394">
        <f t="shared" si="32"/>
        <v>45405</v>
      </c>
      <c r="BM26" s="481">
        <f>+Общо!BB26</f>
        <v>0</v>
      </c>
      <c r="BN26" s="476">
        <f>+Общо!BC26</f>
        <v>0</v>
      </c>
      <c r="BO26" s="482">
        <f>+Общо!BD26</f>
        <v>0</v>
      </c>
      <c r="BQ26" s="329">
        <f t="shared" si="33"/>
        <v>45405</v>
      </c>
      <c r="BR26" s="483">
        <f>+Общо!BG26</f>
        <v>0</v>
      </c>
      <c r="BS26" s="483">
        <f>+Общо!BH26</f>
        <v>0</v>
      </c>
      <c r="BT26" s="483">
        <f>+Общо!BI26</f>
        <v>0</v>
      </c>
      <c r="BU26" s="483">
        <f>+Общо!BJ26</f>
        <v>0</v>
      </c>
      <c r="BV26" s="483">
        <f>+Общо!BK26</f>
        <v>0</v>
      </c>
      <c r="BW26" s="483">
        <f>+Общо!BL26</f>
        <v>0</v>
      </c>
      <c r="BX26" s="483">
        <f>+Общо!BM26</f>
        <v>0</v>
      </c>
      <c r="BY26" s="483">
        <f>+Общо!BN26</f>
        <v>0</v>
      </c>
      <c r="BZ26" s="484">
        <f t="shared" si="39"/>
        <v>0</v>
      </c>
      <c r="CB26" s="329">
        <f t="shared" si="34"/>
        <v>45405</v>
      </c>
      <c r="CC26" s="485">
        <f>+Общо!BR26</f>
        <v>0</v>
      </c>
      <c r="CD26" s="485">
        <f>+Общо!BS26</f>
        <v>0</v>
      </c>
      <c r="CE26" s="485">
        <f>+Общо!BT26</f>
        <v>0</v>
      </c>
      <c r="CF26" s="485">
        <f>+Общо!BU26</f>
        <v>0</v>
      </c>
      <c r="CG26" s="485">
        <f>+Общо!BV26</f>
        <v>0</v>
      </c>
      <c r="CH26" s="485">
        <f>+Общо!BW26</f>
        <v>0</v>
      </c>
      <c r="CI26" s="485">
        <f>+Общо!BX26</f>
        <v>0</v>
      </c>
      <c r="CJ26" s="485">
        <f>+Общо!BY26</f>
        <v>0</v>
      </c>
      <c r="CK26" s="484">
        <f t="shared" si="40"/>
        <v>0</v>
      </c>
      <c r="CM26" s="329">
        <f t="shared" si="35"/>
        <v>45405</v>
      </c>
      <c r="CN26" s="486">
        <f>+Общо!CC26</f>
        <v>0</v>
      </c>
      <c r="CO26" s="486">
        <f>+Общо!CD26</f>
        <v>0</v>
      </c>
      <c r="CP26" s="486">
        <f>+Общо!CE26</f>
        <v>0</v>
      </c>
      <c r="CQ26" s="486">
        <f>+Общо!CF26</f>
        <v>0</v>
      </c>
      <c r="CR26" s="486">
        <f>+Общо!CG26</f>
        <v>0</v>
      </c>
      <c r="CS26" s="486">
        <f>+Общо!CH26</f>
        <v>0</v>
      </c>
      <c r="CT26" s="486">
        <f>+Общо!CI26</f>
        <v>0</v>
      </c>
      <c r="CU26" s="486">
        <f>+Общо!CJ26</f>
        <v>0</v>
      </c>
      <c r="CV26" s="487">
        <f t="shared" si="41"/>
        <v>0</v>
      </c>
    </row>
    <row r="27" spans="2:102" x14ac:dyDescent="0.25">
      <c r="B27" s="47">
        <f t="shared" si="28"/>
        <v>45406</v>
      </c>
      <c r="C27" s="458">
        <f>+Общо!C27+Общо!D27+Общо!E27+Общо!F27+Общо!L27+Общо!Y27+Общо!G27</f>
        <v>0</v>
      </c>
      <c r="D27" s="459">
        <f>+(Общо!C27+Общо!D27+Общо!E27+Общо!F27+Общо!G27+Общо!L27)*Цени!$G$41+Общо!Y27*Цени!$G$41</f>
        <v>0</v>
      </c>
      <c r="E27" s="459">
        <f>+Перник!T38</f>
        <v>0</v>
      </c>
      <c r="F27" s="460">
        <f>+Общо!H27+Общо!I27+Общо!J27+Общо!K27+Общо!M27+Общо!N27+Общо!O27+Общо!P27+Общо!Q27+Общо!R27+Общо!S27+Общо!T27+Общо!U27+Общо!V27+Общо!W27</f>
        <v>0</v>
      </c>
      <c r="G27" s="461">
        <f>+Общо!H27*Цени!$G$44+Общо!I27*Цени!$G$44+Общо!J27*Цени!$G$44+Общо!K27*Цени!$G$44+Общо!M27*Цени!$G$44+Общо!N27*Цени!$G$44+Общо!O27*Цени!$G$44+Общо!P27*Цени!$G$44+Общо!Q27*Цени!$G$44+Общо!R27*Цени!$G$45+Общо!S27*Цени!$G$44+Общо!T27*Цени!$G$43+Общо!W27*ЕМИ!E27</f>
        <v>0</v>
      </c>
      <c r="H27" s="461">
        <f>+'Борса и балансиране'!F27</f>
        <v>0</v>
      </c>
      <c r="I27" s="461">
        <f>+'Борса и балансиране'!H27</f>
        <v>0</v>
      </c>
      <c r="J27" s="461">
        <f>+'Борса и балансиране'!J27</f>
        <v>0</v>
      </c>
      <c r="K27" s="461">
        <f>+'Борса и балансиране'!N27</f>
        <v>0</v>
      </c>
      <c r="L27" s="461">
        <f>+Цени!L26</f>
        <v>0</v>
      </c>
      <c r="M27" s="461">
        <f>+Цени!N26</f>
        <v>0</v>
      </c>
      <c r="N27" s="462">
        <f t="shared" si="14"/>
        <v>0</v>
      </c>
      <c r="O27" s="463">
        <f t="shared" si="15"/>
        <v>0</v>
      </c>
      <c r="Q27" s="47">
        <f t="shared" si="29"/>
        <v>45406</v>
      </c>
      <c r="R27" s="461">
        <f>+Цени!E26</f>
        <v>0</v>
      </c>
      <c r="S27" s="461">
        <f>+Цени!E26*Цени!$E$35</f>
        <v>0</v>
      </c>
      <c r="T27" s="461">
        <f>+Цени!F26+Цени!C26</f>
        <v>0</v>
      </c>
      <c r="U27" s="461">
        <f>+(Цени!F26)*Цени!$F$35+Цени!C26*Цени!$C$35</f>
        <v>0</v>
      </c>
      <c r="V27" s="461">
        <f>+Цени!D26</f>
        <v>0</v>
      </c>
      <c r="W27" s="461">
        <f>+Цени!D26*Цени!$D$35</f>
        <v>0</v>
      </c>
      <c r="X27" s="461">
        <f>+'Борса и балансиране'!C27</f>
        <v>0</v>
      </c>
      <c r="Y27" s="461">
        <f>+'Борса и балансиране'!E27</f>
        <v>0</v>
      </c>
      <c r="Z27" s="461">
        <f>+'Борса и балансиране'!K27*-1</f>
        <v>0</v>
      </c>
      <c r="AA27" s="461">
        <f>+'Борса и балансиране'!O27*-1</f>
        <v>0</v>
      </c>
      <c r="AB27" s="461">
        <f t="shared" si="16"/>
        <v>0</v>
      </c>
      <c r="AC27" s="464">
        <f t="shared" si="17"/>
        <v>0</v>
      </c>
      <c r="AD27" s="465">
        <f t="shared" si="0"/>
        <v>0</v>
      </c>
      <c r="AE27" s="394">
        <f t="shared" si="30"/>
        <v>45406</v>
      </c>
      <c r="AF27" s="466">
        <f t="shared" si="38"/>
        <v>0</v>
      </c>
      <c r="AG27" s="466">
        <f t="shared" si="1"/>
        <v>0</v>
      </c>
      <c r="AH27" s="467">
        <f t="shared" si="2"/>
        <v>0</v>
      </c>
      <c r="AI27" s="463">
        <v>0</v>
      </c>
      <c r="AJ27" s="463">
        <v>0</v>
      </c>
      <c r="AK27" s="464">
        <f>+Общо!AK27</f>
        <v>0</v>
      </c>
      <c r="AL27" s="468">
        <f>+(Цени!$E$35-Цени!$M$1)*Цени!E26</f>
        <v>0</v>
      </c>
      <c r="AM27" s="469">
        <f t="shared" si="19"/>
        <v>0</v>
      </c>
      <c r="AO27" s="394">
        <f t="shared" si="31"/>
        <v>45406</v>
      </c>
      <c r="AP27" s="471">
        <f t="shared" si="3"/>
        <v>0</v>
      </c>
      <c r="AQ27" s="471">
        <f t="shared" si="4"/>
        <v>0</v>
      </c>
      <c r="AR27" s="471">
        <f t="shared" si="5"/>
        <v>0</v>
      </c>
      <c r="AS27" s="471">
        <f t="shared" si="6"/>
        <v>0</v>
      </c>
      <c r="AT27" s="472">
        <f t="shared" si="7"/>
        <v>0</v>
      </c>
      <c r="AV27" s="473">
        <f t="shared" si="20"/>
        <v>0</v>
      </c>
      <c r="AW27" s="474">
        <f>+IFERROR(#REF!/#REF!,0)</f>
        <v>0</v>
      </c>
      <c r="AX27" s="474">
        <f t="shared" si="21"/>
        <v>0</v>
      </c>
      <c r="AY27" s="471">
        <f t="shared" si="22"/>
        <v>0</v>
      </c>
      <c r="AZ27" s="471">
        <f>+'Борса и балансиране'!M27</f>
        <v>0</v>
      </c>
      <c r="BA27" s="472">
        <f t="shared" si="10"/>
        <v>0</v>
      </c>
      <c r="BC27" s="475">
        <f>+Общо!AQ27</f>
        <v>58.84</v>
      </c>
      <c r="BD27" s="476">
        <f>+Общо!AR27</f>
        <v>0</v>
      </c>
      <c r="BE27" s="477">
        <f>+Общо!AS27</f>
        <v>0</v>
      </c>
      <c r="BF27" s="478">
        <f t="shared" si="23"/>
        <v>0</v>
      </c>
      <c r="BH27" s="475">
        <f t="shared" si="24"/>
        <v>0</v>
      </c>
      <c r="BI27" s="479">
        <f t="shared" si="12"/>
        <v>0</v>
      </c>
      <c r="BJ27" s="478">
        <f t="shared" si="25"/>
        <v>0</v>
      </c>
      <c r="BL27" s="394">
        <f t="shared" si="32"/>
        <v>45406</v>
      </c>
      <c r="BM27" s="481">
        <f>+Общо!BB27</f>
        <v>0</v>
      </c>
      <c r="BN27" s="476">
        <f>+Общо!BC27</f>
        <v>0</v>
      </c>
      <c r="BO27" s="482">
        <f>+Общо!BD27</f>
        <v>0</v>
      </c>
      <c r="BQ27" s="329">
        <f t="shared" si="33"/>
        <v>45406</v>
      </c>
      <c r="BR27" s="483">
        <f>+Общо!BG27</f>
        <v>0</v>
      </c>
      <c r="BS27" s="483">
        <f>+Общо!BH27</f>
        <v>0</v>
      </c>
      <c r="BT27" s="483">
        <f>+Общо!BI27</f>
        <v>0</v>
      </c>
      <c r="BU27" s="483">
        <f>+Общо!BJ27</f>
        <v>0</v>
      </c>
      <c r="BV27" s="483">
        <f>+Общо!BK27</f>
        <v>0</v>
      </c>
      <c r="BW27" s="483">
        <f>+Общо!BL27</f>
        <v>0</v>
      </c>
      <c r="BX27" s="483">
        <f>+Общо!BM27</f>
        <v>0</v>
      </c>
      <c r="BY27" s="483">
        <f>+Общо!BN27</f>
        <v>0</v>
      </c>
      <c r="BZ27" s="484">
        <f t="shared" si="39"/>
        <v>0</v>
      </c>
      <c r="CB27" s="329">
        <f t="shared" si="34"/>
        <v>45406</v>
      </c>
      <c r="CC27" s="485">
        <f>+Общо!BR27</f>
        <v>0</v>
      </c>
      <c r="CD27" s="485">
        <f>+Общо!BS27</f>
        <v>0</v>
      </c>
      <c r="CE27" s="485">
        <f>+Общо!BT27</f>
        <v>0</v>
      </c>
      <c r="CF27" s="485">
        <f>+Общо!BU27</f>
        <v>0</v>
      </c>
      <c r="CG27" s="485">
        <f>+Общо!BV27</f>
        <v>0</v>
      </c>
      <c r="CH27" s="485">
        <f>+Общо!BW27</f>
        <v>0</v>
      </c>
      <c r="CI27" s="485">
        <f>+Общо!BX27</f>
        <v>0</v>
      </c>
      <c r="CJ27" s="485">
        <f>+Общо!BY27</f>
        <v>0</v>
      </c>
      <c r="CK27" s="484">
        <f t="shared" si="40"/>
        <v>0</v>
      </c>
      <c r="CM27" s="329">
        <f t="shared" si="35"/>
        <v>45406</v>
      </c>
      <c r="CN27" s="486">
        <f>+Общо!CC27</f>
        <v>0</v>
      </c>
      <c r="CO27" s="486">
        <f>+Общо!CD27</f>
        <v>0</v>
      </c>
      <c r="CP27" s="486">
        <f>+Общо!CE27</f>
        <v>0</v>
      </c>
      <c r="CQ27" s="486">
        <f>+Общо!CF27</f>
        <v>0</v>
      </c>
      <c r="CR27" s="486">
        <f>+Общо!CG27</f>
        <v>0</v>
      </c>
      <c r="CS27" s="486">
        <f>+Общо!CH27</f>
        <v>0</v>
      </c>
      <c r="CT27" s="486">
        <f>+Общо!CI27</f>
        <v>0</v>
      </c>
      <c r="CU27" s="486">
        <f>+Общо!CJ27</f>
        <v>0</v>
      </c>
      <c r="CV27" s="487">
        <f t="shared" si="41"/>
        <v>0</v>
      </c>
    </row>
    <row r="28" spans="2:102" x14ac:dyDescent="0.25">
      <c r="B28" s="47">
        <f t="shared" si="28"/>
        <v>45407</v>
      </c>
      <c r="C28" s="458">
        <f>+Общо!C28+Общо!D28+Общо!E28+Общо!F28+Общо!L28+Общо!Y28+Общо!G28</f>
        <v>0</v>
      </c>
      <c r="D28" s="459">
        <f>+(Общо!C28+Общо!D28+Общо!E28+Общо!F28+Общо!G28+Общо!L28)*Цени!$G$41+Общо!Y28*Цени!$G$41</f>
        <v>0</v>
      </c>
      <c r="E28" s="459">
        <f>+Перник!T39</f>
        <v>0</v>
      </c>
      <c r="F28" s="460">
        <f>+Общо!H28+Общо!I28+Общо!J28+Общо!K28+Общо!M28+Общо!N28+Общо!O28+Общо!P28+Общо!Q28+Общо!R28+Общо!S28+Общо!T28+Общо!U28+Общо!V28+Общо!W28</f>
        <v>0</v>
      </c>
      <c r="G28" s="461">
        <f>+Общо!H28*Цени!$G$44+Общо!I28*Цени!$G$44+Общо!J28*Цени!$G$44+Общо!K28*Цени!$G$44+Общо!M28*Цени!$G$44+Общо!N28*Цени!$G$44+Общо!O28*Цени!$G$44+Общо!P28*Цени!$G$44+Общо!Q28*Цени!$G$44+Общо!R28*Цени!$G$45+Общо!S28*Цени!$G$44+Общо!T28*Цени!$G$43+Общо!W28*ЕМИ!E28</f>
        <v>0</v>
      </c>
      <c r="H28" s="461">
        <f>+'Борса и балансиране'!F28</f>
        <v>0</v>
      </c>
      <c r="I28" s="461">
        <f>+'Борса и балансиране'!H28</f>
        <v>0</v>
      </c>
      <c r="J28" s="461">
        <f>+'Борса и балансиране'!J28</f>
        <v>0</v>
      </c>
      <c r="K28" s="461">
        <f>+'Борса и балансиране'!N28</f>
        <v>0</v>
      </c>
      <c r="L28" s="461">
        <f>+Цени!L27</f>
        <v>0</v>
      </c>
      <c r="M28" s="461">
        <f>+Цени!N27</f>
        <v>0</v>
      </c>
      <c r="N28" s="462">
        <f t="shared" ref="N28:N33" si="43">+C28+F28+H28+J28+L28</f>
        <v>0</v>
      </c>
      <c r="O28" s="463">
        <f t="shared" ref="O28:O33" si="44">+D28+G28+I28+K28+M28+E28</f>
        <v>0</v>
      </c>
      <c r="Q28" s="47">
        <f t="shared" si="29"/>
        <v>45407</v>
      </c>
      <c r="R28" s="461">
        <f>+Цени!E27</f>
        <v>0</v>
      </c>
      <c r="S28" s="461">
        <f>+Цени!E27*Цени!$E$35</f>
        <v>0</v>
      </c>
      <c r="T28" s="461">
        <f>+Цени!F27+Цени!C27</f>
        <v>0</v>
      </c>
      <c r="U28" s="461">
        <f>+(Цени!F27)*Цени!$F$35+Цени!C27*Цени!$C$35</f>
        <v>0</v>
      </c>
      <c r="V28" s="461">
        <f>+Цени!D27</f>
        <v>0</v>
      </c>
      <c r="W28" s="461">
        <f>+Цени!D27*Цени!$D$35</f>
        <v>0</v>
      </c>
      <c r="X28" s="461">
        <f>+'Борса и балансиране'!C28</f>
        <v>0</v>
      </c>
      <c r="Y28" s="461">
        <f>+'Борса и балансиране'!E28</f>
        <v>0</v>
      </c>
      <c r="Z28" s="461">
        <f>+'Борса и балансиране'!K28*-1</f>
        <v>0</v>
      </c>
      <c r="AA28" s="461">
        <f>+'Борса и балансиране'!O28*-1</f>
        <v>0</v>
      </c>
      <c r="AB28" s="461">
        <f t="shared" si="16"/>
        <v>0</v>
      </c>
      <c r="AC28" s="464">
        <f t="shared" si="17"/>
        <v>0</v>
      </c>
      <c r="AD28" s="465">
        <f t="shared" si="0"/>
        <v>0</v>
      </c>
      <c r="AE28" s="394">
        <f t="shared" si="30"/>
        <v>45407</v>
      </c>
      <c r="AF28" s="466">
        <f t="shared" si="38"/>
        <v>0</v>
      </c>
      <c r="AG28" s="466">
        <f t="shared" si="1"/>
        <v>0</v>
      </c>
      <c r="AH28" s="467">
        <f t="shared" si="2"/>
        <v>0</v>
      </c>
      <c r="AI28" s="463">
        <v>0</v>
      </c>
      <c r="AJ28" s="463">
        <v>0</v>
      </c>
      <c r="AK28" s="464">
        <f>+Общо!AK28</f>
        <v>0</v>
      </c>
      <c r="AL28" s="468">
        <f>+(Цени!$E$35-Цени!$M$1)*Цени!E27</f>
        <v>0</v>
      </c>
      <c r="AM28" s="469">
        <f t="shared" si="19"/>
        <v>0</v>
      </c>
      <c r="AO28" s="394">
        <f t="shared" si="31"/>
        <v>45407</v>
      </c>
      <c r="AP28" s="471">
        <f t="shared" si="3"/>
        <v>0</v>
      </c>
      <c r="AQ28" s="471">
        <f t="shared" si="4"/>
        <v>0</v>
      </c>
      <c r="AR28" s="471">
        <f t="shared" si="5"/>
        <v>0</v>
      </c>
      <c r="AS28" s="471">
        <f t="shared" si="6"/>
        <v>0</v>
      </c>
      <c r="AT28" s="472">
        <f t="shared" si="7"/>
        <v>0</v>
      </c>
      <c r="AV28" s="473">
        <f t="shared" si="20"/>
        <v>0</v>
      </c>
      <c r="AW28" s="474">
        <f>+IFERROR(#REF!/#REF!,0)</f>
        <v>0</v>
      </c>
      <c r="AX28" s="474">
        <f t="shared" si="21"/>
        <v>0</v>
      </c>
      <c r="AY28" s="471">
        <f t="shared" si="22"/>
        <v>0</v>
      </c>
      <c r="AZ28" s="471">
        <f>+'Борса и балансиране'!M28</f>
        <v>0</v>
      </c>
      <c r="BA28" s="472">
        <f t="shared" si="10"/>
        <v>0</v>
      </c>
      <c r="BC28" s="475">
        <f>+Общо!AQ28</f>
        <v>58.84</v>
      </c>
      <c r="BD28" s="476">
        <f>+Общо!AR28</f>
        <v>0</v>
      </c>
      <c r="BE28" s="477">
        <f>+Общо!AS28</f>
        <v>0</v>
      </c>
      <c r="BF28" s="478">
        <f t="shared" si="23"/>
        <v>0</v>
      </c>
      <c r="BH28" s="475">
        <f t="shared" si="24"/>
        <v>0</v>
      </c>
      <c r="BI28" s="479">
        <f t="shared" si="12"/>
        <v>0</v>
      </c>
      <c r="BJ28" s="478">
        <f t="shared" si="25"/>
        <v>0</v>
      </c>
      <c r="BL28" s="394">
        <f t="shared" si="32"/>
        <v>45407</v>
      </c>
      <c r="BM28" s="481">
        <f>+Общо!BB28</f>
        <v>0</v>
      </c>
      <c r="BN28" s="476">
        <f>+Общо!BC28</f>
        <v>0</v>
      </c>
      <c r="BO28" s="482">
        <f>+Общо!BD28</f>
        <v>0</v>
      </c>
      <c r="BQ28" s="329">
        <f t="shared" si="33"/>
        <v>45407</v>
      </c>
      <c r="BR28" s="483">
        <f>+Общо!BG28</f>
        <v>0</v>
      </c>
      <c r="BS28" s="483">
        <f>+Общо!BH28</f>
        <v>0</v>
      </c>
      <c r="BT28" s="483">
        <f>+Общо!BI28</f>
        <v>0</v>
      </c>
      <c r="BU28" s="483">
        <f>+Общо!BJ28</f>
        <v>0</v>
      </c>
      <c r="BV28" s="483">
        <f>+Общо!BK28</f>
        <v>0</v>
      </c>
      <c r="BW28" s="483">
        <f>+Общо!BL28</f>
        <v>0</v>
      </c>
      <c r="BX28" s="483">
        <f>+Общо!BM28</f>
        <v>0</v>
      </c>
      <c r="BY28" s="483">
        <f>+Общо!BN28</f>
        <v>0</v>
      </c>
      <c r="BZ28" s="484">
        <f t="shared" si="39"/>
        <v>0</v>
      </c>
      <c r="CB28" s="329">
        <f t="shared" si="34"/>
        <v>45407</v>
      </c>
      <c r="CC28" s="485">
        <f>+Общо!BR28</f>
        <v>0</v>
      </c>
      <c r="CD28" s="485">
        <f>+Общо!BS28</f>
        <v>0</v>
      </c>
      <c r="CE28" s="485">
        <f>+Общо!BT28</f>
        <v>0</v>
      </c>
      <c r="CF28" s="485">
        <f>+Общо!BU28</f>
        <v>0</v>
      </c>
      <c r="CG28" s="485">
        <f>+Общо!BV28</f>
        <v>0</v>
      </c>
      <c r="CH28" s="485">
        <f>+Общо!BW28</f>
        <v>0</v>
      </c>
      <c r="CI28" s="485">
        <f>+Общо!BX28</f>
        <v>0</v>
      </c>
      <c r="CJ28" s="485">
        <f>+Общо!BY28</f>
        <v>0</v>
      </c>
      <c r="CK28" s="484">
        <f t="shared" si="40"/>
        <v>0</v>
      </c>
      <c r="CM28" s="329">
        <f t="shared" si="35"/>
        <v>45407</v>
      </c>
      <c r="CN28" s="486">
        <f>+Общо!CC28</f>
        <v>0</v>
      </c>
      <c r="CO28" s="486">
        <f>+Общо!CD28</f>
        <v>0</v>
      </c>
      <c r="CP28" s="486">
        <f>+Общо!CE28</f>
        <v>0</v>
      </c>
      <c r="CQ28" s="486">
        <f>+Общо!CF28</f>
        <v>0</v>
      </c>
      <c r="CR28" s="486">
        <f>+Общо!CG28</f>
        <v>0</v>
      </c>
      <c r="CS28" s="486">
        <f>+Общо!CH28</f>
        <v>0</v>
      </c>
      <c r="CT28" s="486">
        <f>+Общо!CI28</f>
        <v>0</v>
      </c>
      <c r="CU28" s="486">
        <f>+Общо!CJ28</f>
        <v>0</v>
      </c>
      <c r="CV28" s="487">
        <f t="shared" si="41"/>
        <v>0</v>
      </c>
    </row>
    <row r="29" spans="2:102" x14ac:dyDescent="0.25">
      <c r="B29" s="47">
        <f t="shared" si="28"/>
        <v>45408</v>
      </c>
      <c r="C29" s="458">
        <f>+Общо!C29+Общо!D29+Общо!E29+Общо!F29+Общо!L29+Общо!Y29+Общо!G29</f>
        <v>0</v>
      </c>
      <c r="D29" s="459">
        <f>+(Общо!C29+Общо!D29+Общо!E29+Общо!F29+Общо!G29+Общо!L29)*Цени!$G$41+Общо!Y29*Цени!$G$41</f>
        <v>0</v>
      </c>
      <c r="E29" s="459">
        <f>+Перник!T40</f>
        <v>0</v>
      </c>
      <c r="F29" s="460">
        <f>+Общо!H29+Общо!I29+Общо!J29+Общо!K29+Общо!M29+Общо!N29+Общо!O29+Общо!P29+Общо!Q29+Общо!R29+Общо!S29+Общо!T29+Общо!U29+Общо!V29+Общо!W29</f>
        <v>0</v>
      </c>
      <c r="G29" s="461">
        <f>+Общо!H29*Цени!$G$44+Общо!I29*Цени!$G$44+Общо!J29*Цени!$G$44+Общо!K29*Цени!$G$44+Общо!M29*Цени!$G$44+Общо!N29*Цени!$G$44+Общо!O29*Цени!$G$44+Общо!P29*Цени!$G$44+Общо!Q29*Цени!$G$44+Общо!R29*Цени!$G$45+Общо!S29*Цени!$G$44+Общо!T29*Цени!$G$43+Общо!W29*ЕМИ!E29</f>
        <v>0</v>
      </c>
      <c r="H29" s="461">
        <f>+'Борса и балансиране'!F29</f>
        <v>0</v>
      </c>
      <c r="I29" s="461">
        <f>+'Борса и балансиране'!H29</f>
        <v>0</v>
      </c>
      <c r="J29" s="461">
        <f>+'Борса и балансиране'!J29</f>
        <v>0</v>
      </c>
      <c r="K29" s="461">
        <f>+'Борса и балансиране'!N29</f>
        <v>0</v>
      </c>
      <c r="L29" s="461">
        <f>+Цени!L28</f>
        <v>0</v>
      </c>
      <c r="M29" s="461">
        <f>+Цени!N28</f>
        <v>0</v>
      </c>
      <c r="N29" s="462">
        <f t="shared" si="43"/>
        <v>0</v>
      </c>
      <c r="O29" s="463">
        <f t="shared" si="44"/>
        <v>0</v>
      </c>
      <c r="Q29" s="47">
        <f t="shared" si="29"/>
        <v>45408</v>
      </c>
      <c r="R29" s="461">
        <f>+Цени!E28</f>
        <v>0</v>
      </c>
      <c r="S29" s="461">
        <f>+Цени!E28*Цени!$E$35</f>
        <v>0</v>
      </c>
      <c r="T29" s="461">
        <f>+Цени!F28+Цени!C28</f>
        <v>0</v>
      </c>
      <c r="U29" s="461">
        <f>+(Цени!F28)*Цени!$F$35+Цени!C28*Цени!$C$35</f>
        <v>0</v>
      </c>
      <c r="V29" s="461">
        <f>+Цени!D28</f>
        <v>0</v>
      </c>
      <c r="W29" s="461">
        <f>+Цени!D28*Цени!$D$35</f>
        <v>0</v>
      </c>
      <c r="X29" s="461">
        <f>+'Борса и балансиране'!C29</f>
        <v>0</v>
      </c>
      <c r="Y29" s="461">
        <f>+'Борса и балансиране'!E29</f>
        <v>0</v>
      </c>
      <c r="Z29" s="461">
        <f>+'Борса и балансиране'!K29*-1</f>
        <v>0</v>
      </c>
      <c r="AA29" s="461">
        <f>+'Борса и балансиране'!O29*-1</f>
        <v>0</v>
      </c>
      <c r="AB29" s="461">
        <f t="shared" si="16"/>
        <v>0</v>
      </c>
      <c r="AC29" s="464">
        <f t="shared" si="17"/>
        <v>0</v>
      </c>
      <c r="AD29" s="465">
        <f t="shared" si="0"/>
        <v>0</v>
      </c>
      <c r="AE29" s="394">
        <f t="shared" si="30"/>
        <v>45408</v>
      </c>
      <c r="AF29" s="466">
        <f t="shared" si="38"/>
        <v>0</v>
      </c>
      <c r="AG29" s="466">
        <f t="shared" si="1"/>
        <v>0</v>
      </c>
      <c r="AH29" s="467">
        <f t="shared" si="2"/>
        <v>0</v>
      </c>
      <c r="AI29" s="463">
        <v>0</v>
      </c>
      <c r="AJ29" s="463">
        <v>0</v>
      </c>
      <c r="AK29" s="464">
        <f>+Общо!AK29</f>
        <v>0</v>
      </c>
      <c r="AL29" s="468">
        <f>+(Цени!$E$35-Цени!$M$1)*Цени!E28</f>
        <v>0</v>
      </c>
      <c r="AM29" s="469">
        <f t="shared" si="19"/>
        <v>0</v>
      </c>
      <c r="AO29" s="394">
        <f t="shared" si="31"/>
        <v>45408</v>
      </c>
      <c r="AP29" s="471">
        <f t="shared" si="3"/>
        <v>0</v>
      </c>
      <c r="AQ29" s="471">
        <f t="shared" si="4"/>
        <v>0</v>
      </c>
      <c r="AR29" s="471">
        <f t="shared" si="5"/>
        <v>0</v>
      </c>
      <c r="AS29" s="471">
        <f t="shared" si="6"/>
        <v>0</v>
      </c>
      <c r="AT29" s="472">
        <f t="shared" si="7"/>
        <v>0</v>
      </c>
      <c r="AV29" s="473">
        <f t="shared" si="20"/>
        <v>0</v>
      </c>
      <c r="AW29" s="474">
        <f>+IFERROR(#REF!/#REF!,0)</f>
        <v>0</v>
      </c>
      <c r="AX29" s="474">
        <f t="shared" si="21"/>
        <v>0</v>
      </c>
      <c r="AY29" s="471">
        <f t="shared" si="22"/>
        <v>0</v>
      </c>
      <c r="AZ29" s="471">
        <f>+'Борса и балансиране'!M29</f>
        <v>0</v>
      </c>
      <c r="BA29" s="472">
        <f t="shared" si="10"/>
        <v>0</v>
      </c>
      <c r="BC29" s="475">
        <f>+Общо!AQ29</f>
        <v>58.84</v>
      </c>
      <c r="BD29" s="476">
        <f>+Общо!AR29</f>
        <v>0</v>
      </c>
      <c r="BE29" s="477">
        <f>+Общо!AS29</f>
        <v>0</v>
      </c>
      <c r="BF29" s="478">
        <f t="shared" si="23"/>
        <v>0</v>
      </c>
      <c r="BH29" s="475">
        <f t="shared" si="24"/>
        <v>0</v>
      </c>
      <c r="BI29" s="479">
        <f t="shared" si="12"/>
        <v>0</v>
      </c>
      <c r="BJ29" s="478">
        <f t="shared" si="25"/>
        <v>0</v>
      </c>
      <c r="BL29" s="394">
        <f t="shared" si="32"/>
        <v>45408</v>
      </c>
      <c r="BM29" s="481">
        <f>+Общо!BB29</f>
        <v>0</v>
      </c>
      <c r="BN29" s="476">
        <f>+Общо!BC29</f>
        <v>0</v>
      </c>
      <c r="BO29" s="482">
        <f>+Общо!BD29</f>
        <v>0</v>
      </c>
      <c r="BQ29" s="329">
        <f t="shared" si="33"/>
        <v>45408</v>
      </c>
      <c r="BR29" s="483">
        <f>+Общо!BG29</f>
        <v>0</v>
      </c>
      <c r="BS29" s="483">
        <f>+Общо!BH29</f>
        <v>0</v>
      </c>
      <c r="BT29" s="483">
        <f>+Общо!BI29</f>
        <v>0</v>
      </c>
      <c r="BU29" s="483">
        <f>+Общо!BJ29</f>
        <v>0</v>
      </c>
      <c r="BV29" s="483">
        <f>+Общо!BK29</f>
        <v>0</v>
      </c>
      <c r="BW29" s="483">
        <f>+Общо!BL29</f>
        <v>0</v>
      </c>
      <c r="BX29" s="483">
        <f>+Общо!BM29</f>
        <v>0</v>
      </c>
      <c r="BY29" s="483">
        <f>+Общо!BN29</f>
        <v>0</v>
      </c>
      <c r="BZ29" s="484">
        <f>SUM(BR29:BY29)</f>
        <v>0</v>
      </c>
      <c r="CB29" s="329">
        <f t="shared" si="34"/>
        <v>45408</v>
      </c>
      <c r="CC29" s="485">
        <f>+Общо!BR29</f>
        <v>0</v>
      </c>
      <c r="CD29" s="485">
        <f>+Общо!BS29</f>
        <v>0</v>
      </c>
      <c r="CE29" s="485">
        <f>+Общо!BT29</f>
        <v>0</v>
      </c>
      <c r="CF29" s="485">
        <f>+Общо!BU29</f>
        <v>0</v>
      </c>
      <c r="CG29" s="485">
        <f>+Общо!BV29</f>
        <v>0</v>
      </c>
      <c r="CH29" s="485">
        <f>+Общо!BW29</f>
        <v>0</v>
      </c>
      <c r="CI29" s="485">
        <f>+Общо!BX29</f>
        <v>0</v>
      </c>
      <c r="CJ29" s="485">
        <f>+Общо!BY29</f>
        <v>0</v>
      </c>
      <c r="CK29" s="484">
        <f t="shared" si="40"/>
        <v>0</v>
      </c>
      <c r="CM29" s="329">
        <f t="shared" si="35"/>
        <v>45408</v>
      </c>
      <c r="CN29" s="486">
        <f>+Общо!CC29</f>
        <v>0</v>
      </c>
      <c r="CO29" s="486">
        <f>+Общо!CD29</f>
        <v>0</v>
      </c>
      <c r="CP29" s="486">
        <f>+Общо!CE29</f>
        <v>0</v>
      </c>
      <c r="CQ29" s="486">
        <f>+Общо!CF29</f>
        <v>0</v>
      </c>
      <c r="CR29" s="486">
        <f>+Общо!CG29</f>
        <v>0</v>
      </c>
      <c r="CS29" s="486">
        <f>+Общо!CH29</f>
        <v>0</v>
      </c>
      <c r="CT29" s="486">
        <f>+Общо!CI29</f>
        <v>0</v>
      </c>
      <c r="CU29" s="486">
        <f>+Общо!CJ29</f>
        <v>0</v>
      </c>
      <c r="CV29" s="487">
        <f>SUM(CN29:CU29)</f>
        <v>0</v>
      </c>
    </row>
    <row r="30" spans="2:102" x14ac:dyDescent="0.25">
      <c r="B30" s="47">
        <f t="shared" si="28"/>
        <v>45409</v>
      </c>
      <c r="C30" s="458">
        <f>+Общо!C30+Общо!D30+Общо!E30+Общо!F30+Общо!L30+Общо!Y30+Общо!G30</f>
        <v>0</v>
      </c>
      <c r="D30" s="459">
        <f>+(Общо!C30+Общо!D30+Общо!E30+Общо!F30+Общо!G30+Общо!L30)*Цени!$G$41+Общо!Y30*Цени!$G$41</f>
        <v>0</v>
      </c>
      <c r="E30" s="459">
        <f>+Перник!T41</f>
        <v>0</v>
      </c>
      <c r="F30" s="460">
        <f>+Общо!H30+Общо!I30+Общо!J30+Общо!K30+Общо!M30+Общо!N30+Общо!O30+Общо!P30+Общо!Q30+Общо!R30+Общо!S30+Общо!T30+Общо!U30+Общо!V30+Общо!W30</f>
        <v>0</v>
      </c>
      <c r="G30" s="461">
        <f>+Общо!H30*Цени!$G$44+Общо!I30*Цени!$G$44+Общо!J30*Цени!$G$44+Общо!K30*Цени!$G$44+Общо!M30*Цени!$G$44+Общо!N30*Цени!$G$44+Общо!O30*Цени!$G$44+Общо!P30*Цени!$G$44+Общо!Q30*Цени!$G$44+Общо!R30*Цени!$G$45+Общо!S30*Цени!$G$44+Общо!T30*Цени!$G$43+Общо!W30*ЕМИ!E30</f>
        <v>0</v>
      </c>
      <c r="H30" s="461">
        <f>+'Борса и балансиране'!F30</f>
        <v>0</v>
      </c>
      <c r="I30" s="461">
        <f>+'Борса и балансиране'!H30</f>
        <v>0</v>
      </c>
      <c r="J30" s="461">
        <f>+'Борса и балансиране'!J30</f>
        <v>0</v>
      </c>
      <c r="K30" s="461">
        <f>+'Борса и балансиране'!N30</f>
        <v>0</v>
      </c>
      <c r="L30" s="461">
        <f>+Цени!L29</f>
        <v>0</v>
      </c>
      <c r="M30" s="461">
        <f>+Цени!N29</f>
        <v>0</v>
      </c>
      <c r="N30" s="462">
        <f t="shared" si="43"/>
        <v>0</v>
      </c>
      <c r="O30" s="463">
        <f t="shared" si="44"/>
        <v>0</v>
      </c>
      <c r="Q30" s="47">
        <f t="shared" si="29"/>
        <v>45409</v>
      </c>
      <c r="R30" s="461">
        <f>+Цени!E29</f>
        <v>0</v>
      </c>
      <c r="S30" s="461">
        <f>+Цени!E29*Цени!$E$35</f>
        <v>0</v>
      </c>
      <c r="T30" s="461">
        <f>+Цени!F29+Цени!C29</f>
        <v>0</v>
      </c>
      <c r="U30" s="461">
        <f>+(Цени!F29)*Цени!$F$35+Цени!C29*Цени!$C$35</f>
        <v>0</v>
      </c>
      <c r="V30" s="461">
        <f>+Цени!D29</f>
        <v>0</v>
      </c>
      <c r="W30" s="461">
        <f>+Цени!D29*Цени!$D$35</f>
        <v>0</v>
      </c>
      <c r="X30" s="461">
        <f>+'Борса и балансиране'!C30</f>
        <v>0</v>
      </c>
      <c r="Y30" s="461">
        <f>+'Борса и балансиране'!E30</f>
        <v>0</v>
      </c>
      <c r="Z30" s="461">
        <f>+'Борса и балансиране'!K30*-1</f>
        <v>0</v>
      </c>
      <c r="AA30" s="461">
        <f>+'Борса и балансиране'!O30*-1</f>
        <v>0</v>
      </c>
      <c r="AB30" s="461">
        <f t="shared" ref="AB30:AB33" si="45">+R30+X30+Z30+T30+V30</f>
        <v>0</v>
      </c>
      <c r="AC30" s="464">
        <f t="shared" ref="AC30:AC33" si="46">+S30+U30+Y30+AA30+W30</f>
        <v>0</v>
      </c>
      <c r="AD30" s="465">
        <f t="shared" ref="AD30:AD33" si="47">+AB30-N30</f>
        <v>0</v>
      </c>
      <c r="AE30" s="394">
        <f t="shared" si="30"/>
        <v>45409</v>
      </c>
      <c r="AF30" s="466">
        <f t="shared" ref="AF30:AF33" si="48">+AC30</f>
        <v>0</v>
      </c>
      <c r="AG30" s="466">
        <f t="shared" ref="AG30:AG33" si="49">+O30</f>
        <v>0</v>
      </c>
      <c r="AH30" s="467">
        <f t="shared" ref="AH30:AH33" si="50">+AG30-AF30</f>
        <v>0</v>
      </c>
      <c r="AI30" s="463">
        <v>0</v>
      </c>
      <c r="AJ30" s="463">
        <v>0</v>
      </c>
      <c r="AK30" s="464">
        <f>+Общо!AK30</f>
        <v>0</v>
      </c>
      <c r="AL30" s="468">
        <f>+(Цени!$E$35-Цени!$M$1)*Цени!E29</f>
        <v>0</v>
      </c>
      <c r="AM30" s="469">
        <f t="shared" ref="AM30:AM33" si="51">+AH30+AL30+AI30-AK30-AJ30</f>
        <v>0</v>
      </c>
      <c r="AO30" s="394">
        <f t="shared" si="31"/>
        <v>45409</v>
      </c>
      <c r="AP30" s="471">
        <f t="shared" ref="AP30:AP33" si="52">+IFERROR(D30/C30,0)</f>
        <v>0</v>
      </c>
      <c r="AQ30" s="471">
        <f t="shared" ref="AQ30:AQ33" si="53">+IFERROR(G30/F30,)</f>
        <v>0</v>
      </c>
      <c r="AR30" s="471">
        <f t="shared" ref="AR30:AR33" si="54">+IFERROR(I30/H30,0)</f>
        <v>0</v>
      </c>
      <c r="AS30" s="471">
        <f t="shared" ref="AS30:AS33" si="55">+IFERROR(K30/J30,0)</f>
        <v>0</v>
      </c>
      <c r="AT30" s="472">
        <f t="shared" ref="AT30:AT33" si="56">+IFERROR(M30/L30,0)</f>
        <v>0</v>
      </c>
      <c r="AV30" s="473">
        <f t="shared" ref="AV30:AV33" si="57">+IFERROR(U30/(T30),0)</f>
        <v>0</v>
      </c>
      <c r="AW30" s="474">
        <f>+IFERROR(#REF!/#REF!,0)</f>
        <v>0</v>
      </c>
      <c r="AX30" s="474">
        <f t="shared" ref="AX30:AX33" si="58">+IFERROR(W30/V30,0)</f>
        <v>0</v>
      </c>
      <c r="AY30" s="471">
        <f t="shared" ref="AY30:AY33" si="59">IFERROR(Y30/X30,0)</f>
        <v>0</v>
      </c>
      <c r="AZ30" s="471">
        <f>+'Борса и балансиране'!M30</f>
        <v>0</v>
      </c>
      <c r="BA30" s="472">
        <f t="shared" ref="BA30:BA33" si="60">+IFERROR(S30/R30,0)</f>
        <v>0</v>
      </c>
      <c r="BC30" s="475">
        <f>+Общо!AQ30</f>
        <v>58.84</v>
      </c>
      <c r="BD30" s="476">
        <f>+Общо!AR30</f>
        <v>0</v>
      </c>
      <c r="BE30" s="477">
        <f>+Общо!AS30</f>
        <v>0</v>
      </c>
      <c r="BF30" s="478">
        <f t="shared" ref="BF30:BF33" si="61">+BD30-BE30</f>
        <v>0</v>
      </c>
      <c r="BH30" s="475">
        <f t="shared" ref="BH30:BH33" si="62">++IFERROR(AC30/AB30,0)</f>
        <v>0</v>
      </c>
      <c r="BI30" s="479">
        <f t="shared" ref="BI30:BI33" si="63">++IFERROR(O30/N30,0)</f>
        <v>0</v>
      </c>
      <c r="BJ30" s="478">
        <f t="shared" ref="BJ30:BJ33" si="64">+BI30-BH30</f>
        <v>0</v>
      </c>
      <c r="BL30" s="394">
        <f t="shared" si="32"/>
        <v>45409</v>
      </c>
      <c r="BM30" s="481">
        <f>+Общо!BB30</f>
        <v>0</v>
      </c>
      <c r="BN30" s="476">
        <f>+Общо!BC30</f>
        <v>0</v>
      </c>
      <c r="BO30" s="482">
        <f>+Общо!BD30</f>
        <v>0</v>
      </c>
      <c r="BQ30" s="329">
        <f t="shared" si="33"/>
        <v>45409</v>
      </c>
      <c r="BR30" s="483">
        <f>+Общо!BG30</f>
        <v>0</v>
      </c>
      <c r="BS30" s="483">
        <f>+Общо!BH30</f>
        <v>0</v>
      </c>
      <c r="BT30" s="483">
        <f>+Общо!BI30</f>
        <v>0</v>
      </c>
      <c r="BU30" s="483">
        <f>+Общо!BJ30</f>
        <v>0</v>
      </c>
      <c r="BV30" s="483">
        <f>+Общо!BK30</f>
        <v>0</v>
      </c>
      <c r="BW30" s="483">
        <f>+Общо!BL30</f>
        <v>0</v>
      </c>
      <c r="BX30" s="483">
        <f>+Общо!BM30</f>
        <v>0</v>
      </c>
      <c r="BY30" s="483">
        <f>+Общо!BN30</f>
        <v>0</v>
      </c>
      <c r="BZ30" s="484">
        <f t="shared" ref="BZ30:BZ33" si="65">SUM(BR30:BY30)</f>
        <v>0</v>
      </c>
      <c r="CB30" s="329">
        <f t="shared" si="34"/>
        <v>45409</v>
      </c>
      <c r="CC30" s="485">
        <f>+Общо!BR30</f>
        <v>0</v>
      </c>
      <c r="CD30" s="485">
        <f>+Общо!BS30</f>
        <v>0</v>
      </c>
      <c r="CE30" s="485">
        <f>+Общо!BT30</f>
        <v>0</v>
      </c>
      <c r="CF30" s="485">
        <f>+Общо!BU30</f>
        <v>0</v>
      </c>
      <c r="CG30" s="485">
        <f>+Общо!BV30</f>
        <v>0</v>
      </c>
      <c r="CH30" s="485">
        <f>+Общо!BW30</f>
        <v>0</v>
      </c>
      <c r="CI30" s="485">
        <f>+Общо!BX30</f>
        <v>0</v>
      </c>
      <c r="CJ30" s="485">
        <f>+Общо!BY30</f>
        <v>0</v>
      </c>
      <c r="CK30" s="484">
        <f t="shared" ref="CK30:CK33" si="66">SUM(CC30:CJ30)</f>
        <v>0</v>
      </c>
      <c r="CM30" s="329">
        <f t="shared" si="35"/>
        <v>45409</v>
      </c>
      <c r="CN30" s="486">
        <f>+Общо!CC30</f>
        <v>0</v>
      </c>
      <c r="CO30" s="486">
        <f>+Общо!CD30</f>
        <v>0</v>
      </c>
      <c r="CP30" s="486">
        <f>+Общо!CE30</f>
        <v>0</v>
      </c>
      <c r="CQ30" s="486">
        <f>+Общо!CF30</f>
        <v>0</v>
      </c>
      <c r="CR30" s="486">
        <f>+Общо!CG30</f>
        <v>0</v>
      </c>
      <c r="CS30" s="486">
        <f>+Общо!CH30</f>
        <v>0</v>
      </c>
      <c r="CT30" s="486">
        <f>+Общо!CI30</f>
        <v>0</v>
      </c>
      <c r="CU30" s="486">
        <f>+Общо!CJ30</f>
        <v>0</v>
      </c>
      <c r="CV30" s="487">
        <f t="shared" ref="CV30:CV33" si="67">SUM(CN30:CU30)</f>
        <v>0</v>
      </c>
    </row>
    <row r="31" spans="2:102" x14ac:dyDescent="0.25">
      <c r="B31" s="47">
        <f t="shared" si="28"/>
        <v>45410</v>
      </c>
      <c r="C31" s="458">
        <f>+Общо!C31+Общо!D31+Общо!E31+Общо!F31+Общо!L31+Общо!Y31+Общо!G31</f>
        <v>0</v>
      </c>
      <c r="D31" s="459">
        <f>+(Общо!C31+Общо!D31+Общо!E31+Общо!F31+Общо!G31+Общо!L31)*Цени!$G$41+Общо!Y31*Цени!$G$41</f>
        <v>0</v>
      </c>
      <c r="E31" s="459">
        <f>+Перник!T42</f>
        <v>0</v>
      </c>
      <c r="F31" s="460">
        <f>+Общо!H31+Общо!I31+Общо!J31+Общо!K31+Общо!M31+Общо!N31+Общо!O31+Общо!P31+Общо!Q31+Общо!R31+Общо!S31+Общо!T31+Общо!U31+Общо!V31+Общо!W31</f>
        <v>0</v>
      </c>
      <c r="G31" s="461">
        <f>+Общо!H31*Цени!$G$44+Общо!I31*Цени!$G$44+Общо!J31*Цени!$G$44+Общо!K31*Цени!$G$44+Общо!M31*Цени!$G$44+Общо!N31*Цени!$G$44+Общо!O31*Цени!$G$44+Общо!P31*Цени!$G$44+Общо!Q31*Цени!$G$44+Общо!R31*Цени!$G$45+Общо!S31*Цени!$G$44+Общо!T31*Цени!$G$43+Общо!W31*ЕМИ!E31</f>
        <v>0</v>
      </c>
      <c r="H31" s="461">
        <f>+'Борса и балансиране'!F31</f>
        <v>0</v>
      </c>
      <c r="I31" s="461">
        <f>+'Борса и балансиране'!H31</f>
        <v>0</v>
      </c>
      <c r="J31" s="461">
        <f>+'Борса и балансиране'!J31</f>
        <v>0</v>
      </c>
      <c r="K31" s="461">
        <f>+'Борса и балансиране'!N31</f>
        <v>0</v>
      </c>
      <c r="L31" s="461">
        <f>+Цени!L30</f>
        <v>0</v>
      </c>
      <c r="M31" s="461">
        <f>+Цени!N30</f>
        <v>0</v>
      </c>
      <c r="N31" s="462">
        <f t="shared" si="43"/>
        <v>0</v>
      </c>
      <c r="O31" s="463">
        <f t="shared" si="44"/>
        <v>0</v>
      </c>
      <c r="Q31" s="47">
        <f t="shared" si="29"/>
        <v>45410</v>
      </c>
      <c r="R31" s="461">
        <f>+Цени!E30</f>
        <v>0</v>
      </c>
      <c r="S31" s="461">
        <f>+Цени!E30*Цени!$E$35</f>
        <v>0</v>
      </c>
      <c r="T31" s="461">
        <f>+Цени!F30+Цени!C30</f>
        <v>0</v>
      </c>
      <c r="U31" s="461">
        <f>+(Цени!F30)*Цени!$F$35+Цени!C30*Цени!$C$35</f>
        <v>0</v>
      </c>
      <c r="V31" s="461">
        <f>+Цени!D30</f>
        <v>0</v>
      </c>
      <c r="W31" s="461">
        <f>+Цени!D30*Цени!$D$35</f>
        <v>0</v>
      </c>
      <c r="X31" s="461">
        <f>+'Борса и балансиране'!C31</f>
        <v>0</v>
      </c>
      <c r="Y31" s="461">
        <f>+'Борса и балансиране'!E31</f>
        <v>0</v>
      </c>
      <c r="Z31" s="461">
        <f>+'Борса и балансиране'!K31*-1</f>
        <v>0</v>
      </c>
      <c r="AA31" s="461">
        <f>+'Борса и балансиране'!O31*-1</f>
        <v>0</v>
      </c>
      <c r="AB31" s="461">
        <f t="shared" si="45"/>
        <v>0</v>
      </c>
      <c r="AC31" s="464">
        <f t="shared" si="46"/>
        <v>0</v>
      </c>
      <c r="AD31" s="465">
        <f t="shared" si="47"/>
        <v>0</v>
      </c>
      <c r="AE31" s="394">
        <f t="shared" si="30"/>
        <v>45410</v>
      </c>
      <c r="AF31" s="466">
        <f t="shared" si="48"/>
        <v>0</v>
      </c>
      <c r="AG31" s="466">
        <f t="shared" si="49"/>
        <v>0</v>
      </c>
      <c r="AH31" s="467">
        <f t="shared" si="50"/>
        <v>0</v>
      </c>
      <c r="AI31" s="463">
        <v>0</v>
      </c>
      <c r="AJ31" s="463">
        <v>0</v>
      </c>
      <c r="AK31" s="464">
        <f>+Общо!AK31</f>
        <v>0</v>
      </c>
      <c r="AL31" s="468">
        <f>+(Цени!$E$35-Цени!$M$1)*Цени!E30</f>
        <v>0</v>
      </c>
      <c r="AM31" s="469">
        <f t="shared" si="51"/>
        <v>0</v>
      </c>
      <c r="AO31" s="394">
        <f t="shared" si="31"/>
        <v>45410</v>
      </c>
      <c r="AP31" s="471">
        <f t="shared" si="52"/>
        <v>0</v>
      </c>
      <c r="AQ31" s="471">
        <f t="shared" si="53"/>
        <v>0</v>
      </c>
      <c r="AR31" s="471">
        <f t="shared" si="54"/>
        <v>0</v>
      </c>
      <c r="AS31" s="471">
        <f t="shared" si="55"/>
        <v>0</v>
      </c>
      <c r="AT31" s="472">
        <f t="shared" si="56"/>
        <v>0</v>
      </c>
      <c r="AV31" s="473">
        <f t="shared" si="57"/>
        <v>0</v>
      </c>
      <c r="AW31" s="474">
        <f>+IFERROR(#REF!/#REF!,0)</f>
        <v>0</v>
      </c>
      <c r="AX31" s="474">
        <f t="shared" si="58"/>
        <v>0</v>
      </c>
      <c r="AY31" s="471">
        <f t="shared" si="59"/>
        <v>0</v>
      </c>
      <c r="AZ31" s="471">
        <f>+'Борса и балансиране'!M31</f>
        <v>0</v>
      </c>
      <c r="BA31" s="472">
        <f t="shared" si="60"/>
        <v>0</v>
      </c>
      <c r="BC31" s="475">
        <f>+Общо!AQ31</f>
        <v>58.84</v>
      </c>
      <c r="BD31" s="476">
        <f>+Общо!AR31</f>
        <v>0</v>
      </c>
      <c r="BE31" s="477">
        <f>+Общо!AS31</f>
        <v>0</v>
      </c>
      <c r="BF31" s="478">
        <f t="shared" si="61"/>
        <v>0</v>
      </c>
      <c r="BH31" s="475">
        <f t="shared" si="62"/>
        <v>0</v>
      </c>
      <c r="BI31" s="479">
        <f t="shared" si="63"/>
        <v>0</v>
      </c>
      <c r="BJ31" s="478">
        <f t="shared" si="64"/>
        <v>0</v>
      </c>
      <c r="BL31" s="394">
        <f t="shared" si="32"/>
        <v>45410</v>
      </c>
      <c r="BM31" s="481">
        <f>+Общо!BB31</f>
        <v>0</v>
      </c>
      <c r="BN31" s="476">
        <f>+Общо!BC31</f>
        <v>0</v>
      </c>
      <c r="BO31" s="482">
        <f>+Общо!BD31</f>
        <v>0</v>
      </c>
      <c r="BQ31" s="329">
        <f t="shared" si="33"/>
        <v>45410</v>
      </c>
      <c r="BR31" s="483">
        <f>+Общо!BG31</f>
        <v>0</v>
      </c>
      <c r="BS31" s="483">
        <f>+Общо!BH31</f>
        <v>0</v>
      </c>
      <c r="BT31" s="483">
        <f>+Общо!BI31</f>
        <v>0</v>
      </c>
      <c r="BU31" s="483">
        <f>+Общо!BJ31</f>
        <v>0</v>
      </c>
      <c r="BV31" s="483">
        <f>+Общо!BK31</f>
        <v>0</v>
      </c>
      <c r="BW31" s="483">
        <f>+Общо!BL31</f>
        <v>0</v>
      </c>
      <c r="BX31" s="483">
        <f>+Общо!BM31</f>
        <v>0</v>
      </c>
      <c r="BY31" s="483">
        <f>+Общо!BN31</f>
        <v>0</v>
      </c>
      <c r="BZ31" s="484">
        <f t="shared" si="65"/>
        <v>0</v>
      </c>
      <c r="CB31" s="329">
        <f t="shared" si="34"/>
        <v>45410</v>
      </c>
      <c r="CC31" s="485">
        <f>+Общо!BR31</f>
        <v>0</v>
      </c>
      <c r="CD31" s="485">
        <f>+Общо!BS31</f>
        <v>0</v>
      </c>
      <c r="CE31" s="485">
        <f>+Общо!BT31</f>
        <v>0</v>
      </c>
      <c r="CF31" s="485">
        <f>+Общо!BU31</f>
        <v>0</v>
      </c>
      <c r="CG31" s="485">
        <f>+Общо!BV31</f>
        <v>0</v>
      </c>
      <c r="CH31" s="485">
        <f>+Общо!BW31</f>
        <v>0</v>
      </c>
      <c r="CI31" s="485">
        <f>+Общо!BX31</f>
        <v>0</v>
      </c>
      <c r="CJ31" s="485">
        <f>+Общо!BY31</f>
        <v>0</v>
      </c>
      <c r="CK31" s="484">
        <f t="shared" si="66"/>
        <v>0</v>
      </c>
      <c r="CM31" s="329">
        <f t="shared" si="35"/>
        <v>45410</v>
      </c>
      <c r="CN31" s="486">
        <f>+Общо!CC31</f>
        <v>0</v>
      </c>
      <c r="CO31" s="486">
        <f>+Общо!CD31</f>
        <v>0</v>
      </c>
      <c r="CP31" s="486">
        <f>+Общо!CE31</f>
        <v>0</v>
      </c>
      <c r="CQ31" s="486">
        <f>+Общо!CF31</f>
        <v>0</v>
      </c>
      <c r="CR31" s="486">
        <f>+Общо!CG31</f>
        <v>0</v>
      </c>
      <c r="CS31" s="486">
        <f>+Общо!CH31</f>
        <v>0</v>
      </c>
      <c r="CT31" s="486">
        <f>+Общо!CI31</f>
        <v>0</v>
      </c>
      <c r="CU31" s="486">
        <f>+Общо!CJ31</f>
        <v>0</v>
      </c>
      <c r="CV31" s="487">
        <f t="shared" si="67"/>
        <v>0</v>
      </c>
    </row>
    <row r="32" spans="2:102" x14ac:dyDescent="0.25">
      <c r="B32" s="47">
        <f t="shared" si="28"/>
        <v>45411</v>
      </c>
      <c r="C32" s="458">
        <f>+Общо!C32+Общо!D32+Общо!E32+Общо!F32+Общо!L32+Общо!Y32+Общо!G32</f>
        <v>0</v>
      </c>
      <c r="D32" s="459">
        <f>+(Общо!C32+Общо!D32+Общо!E32+Общо!F32+Общо!G32+Общо!L32)*Цени!$G$41+Общо!Y32*Цени!$G$41</f>
        <v>0</v>
      </c>
      <c r="E32" s="459">
        <f>+Перник!T43</f>
        <v>0</v>
      </c>
      <c r="F32" s="460">
        <f>+Общо!H32+Общо!I32+Общо!J32+Общо!K32+Общо!M32+Общо!N32+Общо!O32+Общо!P32+Общо!Q32+Общо!R32+Общо!S32+Общо!T32+Общо!U32+Общо!V32+Общо!W32</f>
        <v>0</v>
      </c>
      <c r="G32" s="461">
        <f>+Общо!H32*Цени!$G$44+Общо!I32*Цени!$G$44+Общо!J32*Цени!$G$44+Общо!K32*Цени!$G$44+Общо!M32*Цени!$G$44+Общо!N32*Цени!$G$44+Общо!O32*Цени!$G$44+Общо!P32*Цени!$G$44+Общо!Q32*Цени!$G$44+Общо!R32*Цени!$G$45+Общо!S32*Цени!$G$44+Общо!T32*Цени!$G$43+Общо!W32*ЕМИ!E32</f>
        <v>0</v>
      </c>
      <c r="H32" s="461">
        <f>+'Борса и балансиране'!F32</f>
        <v>0</v>
      </c>
      <c r="I32" s="461">
        <f>+'Борса и балансиране'!H32</f>
        <v>0</v>
      </c>
      <c r="J32" s="461">
        <f>+'Борса и балансиране'!J32</f>
        <v>0</v>
      </c>
      <c r="K32" s="461">
        <f>+'Борса и балансиране'!N32</f>
        <v>0</v>
      </c>
      <c r="L32" s="461">
        <f>+Цени!L31</f>
        <v>0</v>
      </c>
      <c r="M32" s="461">
        <f>+Цени!N31</f>
        <v>0</v>
      </c>
      <c r="N32" s="462">
        <f t="shared" si="43"/>
        <v>0</v>
      </c>
      <c r="O32" s="463">
        <f t="shared" si="44"/>
        <v>0</v>
      </c>
      <c r="Q32" s="47">
        <f t="shared" si="29"/>
        <v>45411</v>
      </c>
      <c r="R32" s="461">
        <f>+Цени!E31</f>
        <v>0</v>
      </c>
      <c r="S32" s="461">
        <f>+Цени!E31*Цени!$E$35</f>
        <v>0</v>
      </c>
      <c r="T32" s="461">
        <f>+Цени!F31+Цени!C31</f>
        <v>0</v>
      </c>
      <c r="U32" s="461">
        <f>+(Цени!F31)*Цени!$F$35+Цени!C31*Цени!$C$35</f>
        <v>0</v>
      </c>
      <c r="V32" s="461">
        <f>+Цени!D31</f>
        <v>0</v>
      </c>
      <c r="W32" s="461">
        <f>+Цени!D31*Цени!$D$35</f>
        <v>0</v>
      </c>
      <c r="X32" s="461">
        <f>+'Борса и балансиране'!C32</f>
        <v>0</v>
      </c>
      <c r="Y32" s="461">
        <f>+'Борса и балансиране'!E32</f>
        <v>0</v>
      </c>
      <c r="Z32" s="461">
        <f>+'Борса и балансиране'!K32*-1</f>
        <v>0</v>
      </c>
      <c r="AA32" s="461">
        <f>+'Борса и балансиране'!O32*-1</f>
        <v>0</v>
      </c>
      <c r="AB32" s="461">
        <f t="shared" si="45"/>
        <v>0</v>
      </c>
      <c r="AC32" s="464">
        <f t="shared" si="46"/>
        <v>0</v>
      </c>
      <c r="AD32" s="465">
        <f t="shared" si="47"/>
        <v>0</v>
      </c>
      <c r="AE32" s="394">
        <f t="shared" si="30"/>
        <v>45411</v>
      </c>
      <c r="AF32" s="466">
        <f t="shared" si="48"/>
        <v>0</v>
      </c>
      <c r="AG32" s="466">
        <f t="shared" si="49"/>
        <v>0</v>
      </c>
      <c r="AH32" s="467">
        <f t="shared" si="50"/>
        <v>0</v>
      </c>
      <c r="AI32" s="463">
        <v>0</v>
      </c>
      <c r="AJ32" s="463">
        <v>0</v>
      </c>
      <c r="AK32" s="464">
        <f>+Общо!AK32</f>
        <v>0</v>
      </c>
      <c r="AL32" s="468">
        <f>+(Цени!$E$35-Цени!$M$1)*Цени!E31</f>
        <v>0</v>
      </c>
      <c r="AM32" s="469">
        <f t="shared" si="51"/>
        <v>0</v>
      </c>
      <c r="AO32" s="394">
        <f t="shared" si="31"/>
        <v>45411</v>
      </c>
      <c r="AP32" s="471">
        <f t="shared" si="52"/>
        <v>0</v>
      </c>
      <c r="AQ32" s="471">
        <f t="shared" si="53"/>
        <v>0</v>
      </c>
      <c r="AR32" s="471">
        <f t="shared" si="54"/>
        <v>0</v>
      </c>
      <c r="AS32" s="471">
        <f t="shared" si="55"/>
        <v>0</v>
      </c>
      <c r="AT32" s="472">
        <f t="shared" si="56"/>
        <v>0</v>
      </c>
      <c r="AV32" s="473">
        <f t="shared" si="57"/>
        <v>0</v>
      </c>
      <c r="AW32" s="474">
        <f>+IFERROR(#REF!/#REF!,0)</f>
        <v>0</v>
      </c>
      <c r="AX32" s="474">
        <f t="shared" si="58"/>
        <v>0</v>
      </c>
      <c r="AY32" s="471">
        <f t="shared" si="59"/>
        <v>0</v>
      </c>
      <c r="AZ32" s="471">
        <f>+'Борса и балансиране'!M32</f>
        <v>0</v>
      </c>
      <c r="BA32" s="472">
        <f t="shared" si="60"/>
        <v>0</v>
      </c>
      <c r="BC32" s="475">
        <f>+Общо!AQ32</f>
        <v>58.84</v>
      </c>
      <c r="BD32" s="476">
        <f>+Общо!AR32</f>
        <v>0</v>
      </c>
      <c r="BE32" s="477">
        <f>+Общо!AS32</f>
        <v>0</v>
      </c>
      <c r="BF32" s="478">
        <f t="shared" si="61"/>
        <v>0</v>
      </c>
      <c r="BH32" s="475">
        <f t="shared" si="62"/>
        <v>0</v>
      </c>
      <c r="BI32" s="479">
        <f t="shared" si="63"/>
        <v>0</v>
      </c>
      <c r="BJ32" s="478">
        <f t="shared" si="64"/>
        <v>0</v>
      </c>
      <c r="BL32" s="394">
        <f t="shared" si="32"/>
        <v>45411</v>
      </c>
      <c r="BM32" s="481">
        <f>+Общо!BB32</f>
        <v>0</v>
      </c>
      <c r="BN32" s="476">
        <f>+Общо!BC32</f>
        <v>0</v>
      </c>
      <c r="BO32" s="482">
        <f>+Общо!BD32</f>
        <v>0</v>
      </c>
      <c r="BQ32" s="329">
        <f t="shared" si="33"/>
        <v>45411</v>
      </c>
      <c r="BR32" s="483">
        <f>+Общо!BG32</f>
        <v>0</v>
      </c>
      <c r="BS32" s="483">
        <f>+Общо!BH32</f>
        <v>0</v>
      </c>
      <c r="BT32" s="483">
        <f>+Общо!BI32</f>
        <v>0</v>
      </c>
      <c r="BU32" s="483">
        <f>+Общо!BJ32</f>
        <v>0</v>
      </c>
      <c r="BV32" s="483">
        <f>+Общо!BK32</f>
        <v>0</v>
      </c>
      <c r="BW32" s="483">
        <f>+Общо!BL32</f>
        <v>0</v>
      </c>
      <c r="BX32" s="483">
        <f>+Общо!BM32</f>
        <v>0</v>
      </c>
      <c r="BY32" s="483">
        <f>+Общо!BN32</f>
        <v>0</v>
      </c>
      <c r="BZ32" s="484">
        <f t="shared" si="65"/>
        <v>0</v>
      </c>
      <c r="CB32" s="329">
        <f t="shared" si="34"/>
        <v>45411</v>
      </c>
      <c r="CC32" s="485">
        <f>+Общо!BR32</f>
        <v>0</v>
      </c>
      <c r="CD32" s="485">
        <f>+Общо!BS32</f>
        <v>0</v>
      </c>
      <c r="CE32" s="485">
        <f>+Общо!BT32</f>
        <v>0</v>
      </c>
      <c r="CF32" s="485">
        <f>+Общо!BU32</f>
        <v>0</v>
      </c>
      <c r="CG32" s="485">
        <f>+Общо!BV32</f>
        <v>0</v>
      </c>
      <c r="CH32" s="485">
        <f>+Общо!BW32</f>
        <v>0</v>
      </c>
      <c r="CI32" s="485">
        <f>+Общо!BX32</f>
        <v>0</v>
      </c>
      <c r="CJ32" s="485">
        <f>+Общо!BY32</f>
        <v>0</v>
      </c>
      <c r="CK32" s="484">
        <f t="shared" si="66"/>
        <v>0</v>
      </c>
      <c r="CM32" s="329">
        <f t="shared" si="35"/>
        <v>45411</v>
      </c>
      <c r="CN32" s="486">
        <f>+Общо!CC32</f>
        <v>0</v>
      </c>
      <c r="CO32" s="486">
        <f>+Общо!CD32</f>
        <v>0</v>
      </c>
      <c r="CP32" s="486">
        <f>+Общо!CE32</f>
        <v>0</v>
      </c>
      <c r="CQ32" s="486">
        <f>+Общо!CF32</f>
        <v>0</v>
      </c>
      <c r="CR32" s="486">
        <f>+Общо!CG32</f>
        <v>0</v>
      </c>
      <c r="CS32" s="486">
        <f>+Общо!CH32</f>
        <v>0</v>
      </c>
      <c r="CT32" s="486">
        <f>+Общо!CI32</f>
        <v>0</v>
      </c>
      <c r="CU32" s="486">
        <f>+Общо!CJ32</f>
        <v>0</v>
      </c>
      <c r="CV32" s="487">
        <f t="shared" si="67"/>
        <v>0</v>
      </c>
    </row>
    <row r="33" spans="2:100" ht="15.75" thickBot="1" x14ac:dyDescent="0.3">
      <c r="B33" s="47">
        <f t="shared" si="28"/>
        <v>45412</v>
      </c>
      <c r="C33" s="458">
        <f>+Общо!C33+Общо!D33+Общо!E33+Общо!F33+Общо!L33+Общо!Y33+Общо!G33</f>
        <v>0</v>
      </c>
      <c r="D33" s="459">
        <f>+(Общо!C33+Общо!D33+Общо!E33+Общо!F33+Общо!G33+Общо!L33)*Цени!$G$41+Общо!Y33*Цени!$G$41</f>
        <v>0</v>
      </c>
      <c r="E33" s="459">
        <f>+Перник!T44</f>
        <v>0</v>
      </c>
      <c r="F33" s="460">
        <f>+Общо!H33+Общо!I33+Общо!J33+Общо!K33+Общо!M33+Общо!N33+Общо!O33+Общо!P33+Общо!Q33+Общо!R33+Общо!S33+Общо!T33+Общо!U33+Общо!V33+Общо!W33</f>
        <v>0</v>
      </c>
      <c r="G33" s="461">
        <f>+Общо!H33*Цени!$G$44+Общо!I33*Цени!$G$44+Общо!J33*Цени!$G$44+Общо!K33*Цени!$G$44+Общо!M33*Цени!$G$44+Общо!N33*Цени!$G$44+Общо!O33*Цени!$G$44+Общо!P33*Цени!$G$44+Общо!Q33*Цени!$G$44+Общо!R33*Цени!$G$45+Общо!S33*Цени!$G$44+Общо!T33*Цени!$G$43+Общо!W33*ЕМИ!E33</f>
        <v>0</v>
      </c>
      <c r="H33" s="461">
        <f>+'Борса и балансиране'!F33</f>
        <v>0</v>
      </c>
      <c r="I33" s="461">
        <f>+'Борса и балансиране'!H33</f>
        <v>0</v>
      </c>
      <c r="J33" s="461">
        <f>+'Борса и балансиране'!J33</f>
        <v>0</v>
      </c>
      <c r="K33" s="461">
        <f>+'Борса и балансиране'!N33</f>
        <v>0</v>
      </c>
      <c r="L33" s="461">
        <f>+Цени!L32</f>
        <v>0</v>
      </c>
      <c r="M33" s="461">
        <f>+Цени!N32</f>
        <v>0</v>
      </c>
      <c r="N33" s="462">
        <f t="shared" si="43"/>
        <v>0</v>
      </c>
      <c r="O33" s="463">
        <f t="shared" si="44"/>
        <v>0</v>
      </c>
      <c r="Q33" s="47">
        <f t="shared" si="29"/>
        <v>45412</v>
      </c>
      <c r="R33" s="461">
        <f>+Цени!E32</f>
        <v>0</v>
      </c>
      <c r="S33" s="461">
        <f>+Цени!E32*Цени!$E$35</f>
        <v>0</v>
      </c>
      <c r="T33" s="461">
        <f>+Цени!F32+Цени!C32</f>
        <v>0</v>
      </c>
      <c r="U33" s="461">
        <f>+(Цени!F32)*Цени!$F$35+Цени!C32*Цени!$C$35</f>
        <v>0</v>
      </c>
      <c r="V33" s="461">
        <f>+Цени!D32</f>
        <v>0</v>
      </c>
      <c r="W33" s="461">
        <f>+Цени!D32*Цени!$D$35</f>
        <v>0</v>
      </c>
      <c r="X33" s="461">
        <f>+'Борса и балансиране'!C33</f>
        <v>0</v>
      </c>
      <c r="Y33" s="461">
        <f>+'Борса и балансиране'!E33</f>
        <v>0</v>
      </c>
      <c r="Z33" s="461">
        <f>+'Борса и балансиране'!K33*-1</f>
        <v>0</v>
      </c>
      <c r="AA33" s="461">
        <f>+'Борса и балансиране'!O33*-1</f>
        <v>0</v>
      </c>
      <c r="AB33" s="461">
        <f t="shared" si="45"/>
        <v>0</v>
      </c>
      <c r="AC33" s="464">
        <f t="shared" si="46"/>
        <v>0</v>
      </c>
      <c r="AD33" s="465">
        <f t="shared" si="47"/>
        <v>0</v>
      </c>
      <c r="AE33" s="394">
        <f t="shared" si="30"/>
        <v>45412</v>
      </c>
      <c r="AF33" s="466">
        <f t="shared" si="48"/>
        <v>0</v>
      </c>
      <c r="AG33" s="466">
        <f t="shared" si="49"/>
        <v>0</v>
      </c>
      <c r="AH33" s="467">
        <f t="shared" si="50"/>
        <v>0</v>
      </c>
      <c r="AI33" s="463">
        <v>0</v>
      </c>
      <c r="AJ33" s="463">
        <v>0</v>
      </c>
      <c r="AK33" s="464">
        <f>+Общо!AK33</f>
        <v>0</v>
      </c>
      <c r="AL33" s="468">
        <f>+(Цени!$E$35-Цени!$M$1)*Цени!E32</f>
        <v>0</v>
      </c>
      <c r="AM33" s="469">
        <f t="shared" si="51"/>
        <v>0</v>
      </c>
      <c r="AO33" s="394">
        <f t="shared" si="31"/>
        <v>45412</v>
      </c>
      <c r="AP33" s="471">
        <f t="shared" si="52"/>
        <v>0</v>
      </c>
      <c r="AQ33" s="471">
        <f t="shared" si="53"/>
        <v>0</v>
      </c>
      <c r="AR33" s="471">
        <f t="shared" si="54"/>
        <v>0</v>
      </c>
      <c r="AS33" s="471">
        <f t="shared" si="55"/>
        <v>0</v>
      </c>
      <c r="AT33" s="472">
        <f t="shared" si="56"/>
        <v>0</v>
      </c>
      <c r="AV33" s="473">
        <f t="shared" si="57"/>
        <v>0</v>
      </c>
      <c r="AW33" s="474">
        <f>+IFERROR(#REF!/#REF!,0)</f>
        <v>0</v>
      </c>
      <c r="AX33" s="474">
        <f t="shared" si="58"/>
        <v>0</v>
      </c>
      <c r="AY33" s="471">
        <f t="shared" si="59"/>
        <v>0</v>
      </c>
      <c r="AZ33" s="471">
        <f>+'Борса и балансиране'!M33</f>
        <v>0</v>
      </c>
      <c r="BA33" s="472">
        <f t="shared" si="60"/>
        <v>0</v>
      </c>
      <c r="BC33" s="475">
        <f>+Общо!AQ33</f>
        <v>58.84</v>
      </c>
      <c r="BD33" s="476">
        <f>+Общо!AR33</f>
        <v>0</v>
      </c>
      <c r="BE33" s="477">
        <f>+Общо!AS33</f>
        <v>0</v>
      </c>
      <c r="BF33" s="478">
        <f t="shared" si="61"/>
        <v>0</v>
      </c>
      <c r="BH33" s="475">
        <f t="shared" si="62"/>
        <v>0</v>
      </c>
      <c r="BI33" s="479">
        <f t="shared" si="63"/>
        <v>0</v>
      </c>
      <c r="BJ33" s="478">
        <f t="shared" si="64"/>
        <v>0</v>
      </c>
      <c r="BL33" s="394">
        <f t="shared" si="32"/>
        <v>45412</v>
      </c>
      <c r="BM33" s="481">
        <f>+Общо!BB33</f>
        <v>0</v>
      </c>
      <c r="BN33" s="476">
        <f>+Общо!BC33</f>
        <v>0</v>
      </c>
      <c r="BO33" s="482">
        <f>+Общо!BD33</f>
        <v>0</v>
      </c>
      <c r="BQ33" s="329">
        <f t="shared" si="33"/>
        <v>45412</v>
      </c>
      <c r="BR33" s="483">
        <f>+Общо!BG33</f>
        <v>0</v>
      </c>
      <c r="BS33" s="483">
        <f>+Общо!BH33</f>
        <v>0</v>
      </c>
      <c r="BT33" s="483">
        <f>+Общо!BI33</f>
        <v>0</v>
      </c>
      <c r="BU33" s="483">
        <f>+Общо!BJ33</f>
        <v>0</v>
      </c>
      <c r="BV33" s="483">
        <f>+Общо!BK33</f>
        <v>0</v>
      </c>
      <c r="BW33" s="483">
        <f>+Общо!BL33</f>
        <v>0</v>
      </c>
      <c r="BX33" s="483">
        <f>+Общо!BM33</f>
        <v>0</v>
      </c>
      <c r="BY33" s="483">
        <f>+Общо!BN33</f>
        <v>0</v>
      </c>
      <c r="BZ33" s="484">
        <f t="shared" si="65"/>
        <v>0</v>
      </c>
      <c r="CB33" s="329">
        <f t="shared" si="34"/>
        <v>45412</v>
      </c>
      <c r="CC33" s="485">
        <f>+Общо!BR33</f>
        <v>0</v>
      </c>
      <c r="CD33" s="485">
        <f>+Общо!BS33</f>
        <v>0</v>
      </c>
      <c r="CE33" s="485">
        <f>+Общо!BT33</f>
        <v>0</v>
      </c>
      <c r="CF33" s="485">
        <f>+Общо!BU33</f>
        <v>0</v>
      </c>
      <c r="CG33" s="485">
        <f>+Общо!BV33</f>
        <v>0</v>
      </c>
      <c r="CH33" s="485">
        <f>+Общо!BW33</f>
        <v>0</v>
      </c>
      <c r="CI33" s="485">
        <f>+Общо!BX33</f>
        <v>0</v>
      </c>
      <c r="CJ33" s="485">
        <f>+Общо!BY33</f>
        <v>0</v>
      </c>
      <c r="CK33" s="484">
        <f t="shared" si="66"/>
        <v>0</v>
      </c>
      <c r="CM33" s="329">
        <f t="shared" si="35"/>
        <v>45412</v>
      </c>
      <c r="CN33" s="486">
        <f>+Общо!CC33</f>
        <v>0</v>
      </c>
      <c r="CO33" s="486">
        <f>+Общо!CD33</f>
        <v>0</v>
      </c>
      <c r="CP33" s="486">
        <f>+Общо!CE33</f>
        <v>0</v>
      </c>
      <c r="CQ33" s="486">
        <f>+Общо!CF33</f>
        <v>0</v>
      </c>
      <c r="CR33" s="486">
        <f>+Общо!CG33</f>
        <v>0</v>
      </c>
      <c r="CS33" s="486">
        <f>+Общо!CH33</f>
        <v>0</v>
      </c>
      <c r="CT33" s="486">
        <f>+Общо!CI33</f>
        <v>0</v>
      </c>
      <c r="CU33" s="486">
        <f>+Общо!CJ33</f>
        <v>0</v>
      </c>
      <c r="CV33" s="487">
        <f t="shared" si="67"/>
        <v>0</v>
      </c>
    </row>
    <row r="34" spans="2:100" ht="15.75" thickBot="1" x14ac:dyDescent="0.3">
      <c r="B34" s="449" t="s">
        <v>0</v>
      </c>
      <c r="C34" s="490">
        <f t="shared" ref="C34:O34" si="68">SUM(C4:C33)</f>
        <v>16134.501</v>
      </c>
      <c r="D34" s="490">
        <f t="shared" si="68"/>
        <v>949354.03884000005</v>
      </c>
      <c r="E34" s="490">
        <f t="shared" si="68"/>
        <v>0</v>
      </c>
      <c r="F34" s="491">
        <f t="shared" si="68"/>
        <v>1018.674</v>
      </c>
      <c r="G34" s="491">
        <f t="shared" si="68"/>
        <v>52009.005699999987</v>
      </c>
      <c r="H34" s="491">
        <f t="shared" si="68"/>
        <v>150</v>
      </c>
      <c r="I34" s="492">
        <f t="shared" si="68"/>
        <v>7339.5</v>
      </c>
      <c r="J34" s="492">
        <f t="shared" si="68"/>
        <v>56.451000000000022</v>
      </c>
      <c r="K34" s="492">
        <f t="shared" si="68"/>
        <v>2169.73</v>
      </c>
      <c r="L34" s="492">
        <f t="shared" si="68"/>
        <v>0</v>
      </c>
      <c r="M34" s="492">
        <f t="shared" si="68"/>
        <v>0</v>
      </c>
      <c r="N34" s="493">
        <f t="shared" si="68"/>
        <v>17359.626</v>
      </c>
      <c r="O34" s="493">
        <f t="shared" si="68"/>
        <v>1010872.27454</v>
      </c>
      <c r="Q34" s="449" t="s">
        <v>0</v>
      </c>
      <c r="R34" s="492">
        <f t="shared" ref="R34:AC34" si="69">SUM(R4:R33)</f>
        <v>0</v>
      </c>
      <c r="S34" s="492">
        <f t="shared" si="69"/>
        <v>0</v>
      </c>
      <c r="T34" s="492">
        <f t="shared" si="69"/>
        <v>225</v>
      </c>
      <c r="U34" s="492">
        <f t="shared" si="69"/>
        <v>14942.249999999996</v>
      </c>
      <c r="V34" s="492">
        <f t="shared" si="69"/>
        <v>0</v>
      </c>
      <c r="W34" s="492">
        <f t="shared" si="69"/>
        <v>0</v>
      </c>
      <c r="X34" s="492">
        <f t="shared" si="69"/>
        <v>16462</v>
      </c>
      <c r="Y34" s="492">
        <f t="shared" si="69"/>
        <v>696584.6</v>
      </c>
      <c r="Z34" s="492">
        <f t="shared" si="69"/>
        <v>672.62599999999998</v>
      </c>
      <c r="AA34" s="492">
        <f t="shared" si="69"/>
        <v>30378.750000000004</v>
      </c>
      <c r="AB34" s="492">
        <f t="shared" si="69"/>
        <v>17359.626</v>
      </c>
      <c r="AC34" s="492">
        <f t="shared" si="69"/>
        <v>741905.6</v>
      </c>
      <c r="AD34" s="465">
        <f>+AB34-N34</f>
        <v>0</v>
      </c>
      <c r="AE34" s="494"/>
      <c r="AF34" s="495">
        <f t="shared" ref="AF34:AM34" si="70">SUM(AF4:AF33)</f>
        <v>741905.6</v>
      </c>
      <c r="AG34" s="495">
        <f t="shared" si="70"/>
        <v>1010872.27454</v>
      </c>
      <c r="AH34" s="496">
        <f t="shared" si="70"/>
        <v>268966.67453999998</v>
      </c>
      <c r="AI34" s="493">
        <f t="shared" si="70"/>
        <v>48891.851446499997</v>
      </c>
      <c r="AJ34" s="493">
        <f t="shared" si="70"/>
        <v>70746</v>
      </c>
      <c r="AK34" s="492">
        <f t="shared" si="70"/>
        <v>37275</v>
      </c>
      <c r="AL34" s="497">
        <f t="shared" si="70"/>
        <v>0</v>
      </c>
      <c r="AM34" s="498">
        <f t="shared" si="70"/>
        <v>209837.5259865</v>
      </c>
      <c r="AN34" s="470">
        <f>+AH34+AI34-AK34</f>
        <v>280583.52598649997</v>
      </c>
    </row>
    <row r="35" spans="2:100" x14ac:dyDescent="0.25">
      <c r="AF35" s="470"/>
      <c r="AH35" s="502"/>
      <c r="AL35" s="500"/>
      <c r="AM35" s="500"/>
      <c r="AN35" s="480">
        <f>+AN34-Общо!AL34</f>
        <v>0</v>
      </c>
    </row>
    <row r="36" spans="2:100" ht="42.75" x14ac:dyDescent="0.25">
      <c r="B36" s="328" t="s">
        <v>286</v>
      </c>
      <c r="C36" s="505">
        <v>63266.909999999982</v>
      </c>
      <c r="D36" s="505">
        <v>3722624.9844</v>
      </c>
      <c r="E36" s="505">
        <v>0</v>
      </c>
      <c r="F36" s="505">
        <v>3023.1500000000028</v>
      </c>
      <c r="G36" s="505">
        <v>149202.9</v>
      </c>
      <c r="H36" s="505">
        <v>0</v>
      </c>
      <c r="I36" s="505">
        <v>0</v>
      </c>
      <c r="J36" s="505">
        <v>1117.8570333333287</v>
      </c>
      <c r="K36" s="505">
        <v>50288.374666666663</v>
      </c>
      <c r="L36" s="505">
        <v>0</v>
      </c>
      <c r="M36" s="505">
        <v>0</v>
      </c>
      <c r="N36" s="506">
        <v>67404.133000000002</v>
      </c>
      <c r="O36" s="506">
        <v>3921961.1143999998</v>
      </c>
      <c r="Q36" s="328" t="s">
        <v>286</v>
      </c>
      <c r="R36" s="505">
        <v>43767.999999999971</v>
      </c>
      <c r="S36" s="505">
        <v>2626079.9999999981</v>
      </c>
      <c r="T36" s="505">
        <v>22750</v>
      </c>
      <c r="U36" s="505">
        <v>1182436.470375</v>
      </c>
      <c r="V36" s="505">
        <v>9300</v>
      </c>
      <c r="W36" s="505">
        <v>521121.12435</v>
      </c>
      <c r="X36" s="505">
        <v>52400</v>
      </c>
      <c r="Y36" s="505">
        <v>2724800</v>
      </c>
      <c r="Z36" s="505">
        <v>4.1329999999998108</v>
      </c>
      <c r="AA36" s="505">
        <v>223.18</v>
      </c>
      <c r="AB36" s="505">
        <v>67404.133000000002</v>
      </c>
      <c r="AC36" s="505">
        <v>3505023.1799999997</v>
      </c>
      <c r="AD36" s="465">
        <f>+AB36-N36</f>
        <v>0</v>
      </c>
      <c r="AE36" s="328" t="s">
        <v>286</v>
      </c>
      <c r="AF36" s="507">
        <f t="shared" ref="AF36" si="71">+AC36</f>
        <v>3505023.1799999997</v>
      </c>
      <c r="AG36" s="507">
        <f t="shared" ref="AG36" si="72">+O36</f>
        <v>3921961.1143999998</v>
      </c>
      <c r="AH36" s="508">
        <f t="shared" ref="AH36" si="73">+AG36-AF36</f>
        <v>416937.93440000014</v>
      </c>
      <c r="AI36" s="506">
        <v>163984.42795799993</v>
      </c>
      <c r="AJ36" s="506">
        <v>146173.59999000002</v>
      </c>
      <c r="AK36" s="505">
        <v>74550</v>
      </c>
      <c r="AL36" s="508">
        <v>-7412823.0088184951</v>
      </c>
      <c r="AM36" s="508">
        <v>360198.76236800064</v>
      </c>
      <c r="AN36" s="470">
        <f>+AH36+AI36-AK36-AJ36</f>
        <v>360198.76236800011</v>
      </c>
      <c r="AV36" s="450">
        <v>58.143424456521728</v>
      </c>
    </row>
    <row r="37" spans="2:100" ht="42.75" x14ac:dyDescent="0.25">
      <c r="B37" s="328" t="s">
        <v>287</v>
      </c>
      <c r="C37" s="505">
        <f>C36/30*COUNTIF(C4:C33,"=0")+C34</f>
        <v>47767.955999999991</v>
      </c>
      <c r="D37" s="505">
        <f t="shared" ref="D37:O37" si="74">D36/30*COUNTIF(D4:D33,"=0")+D34</f>
        <v>2810666.5310399998</v>
      </c>
      <c r="E37" s="505">
        <f t="shared" si="74"/>
        <v>0</v>
      </c>
      <c r="F37" s="505">
        <f t="shared" si="74"/>
        <v>2530.2490000000016</v>
      </c>
      <c r="G37" s="505">
        <f t="shared" si="74"/>
        <v>126610.45569999999</v>
      </c>
      <c r="H37" s="505">
        <f t="shared" si="74"/>
        <v>150</v>
      </c>
      <c r="I37" s="505">
        <f t="shared" si="74"/>
        <v>7339.5</v>
      </c>
      <c r="J37" s="505">
        <f t="shared" si="74"/>
        <v>1099.7842311111069</v>
      </c>
      <c r="K37" s="505">
        <f t="shared" si="74"/>
        <v>49105.546355555554</v>
      </c>
      <c r="L37" s="505">
        <f t="shared" si="74"/>
        <v>0</v>
      </c>
      <c r="M37" s="505">
        <f t="shared" si="74"/>
        <v>0</v>
      </c>
      <c r="N37" s="505">
        <f t="shared" si="74"/>
        <v>51061.692500000005</v>
      </c>
      <c r="O37" s="505">
        <f t="shared" si="74"/>
        <v>2971852.8317399998</v>
      </c>
      <c r="Q37" s="328" t="s">
        <v>287</v>
      </c>
      <c r="R37" s="505">
        <f>R36/30*COUNTIF(R4:R33,"=0")+R34</f>
        <v>43767.999999999971</v>
      </c>
      <c r="S37" s="505">
        <f t="shared" ref="S37:AC37" si="75">S36/30*COUNTIF(S4:S33,"=0")+S34</f>
        <v>2626079.9999999981</v>
      </c>
      <c r="T37" s="505">
        <f t="shared" si="75"/>
        <v>11600</v>
      </c>
      <c r="U37" s="505">
        <f t="shared" si="75"/>
        <v>606160.48518750002</v>
      </c>
      <c r="V37" s="505">
        <f t="shared" si="75"/>
        <v>9300</v>
      </c>
      <c r="W37" s="505">
        <f t="shared" si="75"/>
        <v>521121.12435</v>
      </c>
      <c r="X37" s="505">
        <f t="shared" si="75"/>
        <v>42662</v>
      </c>
      <c r="Y37" s="505">
        <f t="shared" si="75"/>
        <v>2058984.6</v>
      </c>
      <c r="Z37" s="505">
        <f t="shared" si="75"/>
        <v>674.96803333333321</v>
      </c>
      <c r="AA37" s="505">
        <f t="shared" si="75"/>
        <v>30505.218666666671</v>
      </c>
      <c r="AB37" s="505">
        <f t="shared" si="75"/>
        <v>51061.692500000005</v>
      </c>
      <c r="AC37" s="505">
        <f t="shared" si="75"/>
        <v>2494417.19</v>
      </c>
      <c r="AE37" s="328" t="s">
        <v>287</v>
      </c>
      <c r="AF37" s="507">
        <f>AF36/30*COUNTIF(AF4:AF33,"=0")+AF34</f>
        <v>2494417.19</v>
      </c>
      <c r="AG37" s="507">
        <f t="shared" ref="AG37:AM37" si="76">AG36/30*COUNTIF(AG4:AG33,"=0")+AG34</f>
        <v>2971852.8317399998</v>
      </c>
      <c r="AH37" s="508">
        <f t="shared" si="76"/>
        <v>477435.64174000005</v>
      </c>
      <c r="AI37" s="506">
        <f t="shared" si="76"/>
        <v>130884.06542549995</v>
      </c>
      <c r="AJ37" s="506">
        <f t="shared" si="76"/>
        <v>143832.79999500001</v>
      </c>
      <c r="AK37" s="505">
        <f t="shared" si="76"/>
        <v>74550</v>
      </c>
      <c r="AL37" s="508">
        <f t="shared" si="76"/>
        <v>-7412823.0088184951</v>
      </c>
      <c r="AM37" s="508">
        <f t="shared" si="76"/>
        <v>389936.90717050032</v>
      </c>
    </row>
    <row r="38" spans="2:100" ht="42.75" x14ac:dyDescent="0.25">
      <c r="B38" s="328" t="s">
        <v>252</v>
      </c>
      <c r="C38" s="541">
        <f>+C37-C36</f>
        <v>-15498.953999999991</v>
      </c>
      <c r="D38" s="541">
        <f t="shared" ref="D38:O38" si="77">+D37-D36</f>
        <v>-911958.45336000016</v>
      </c>
      <c r="E38" s="541">
        <f t="shared" si="77"/>
        <v>0</v>
      </c>
      <c r="F38" s="541">
        <f t="shared" si="77"/>
        <v>-492.9010000000012</v>
      </c>
      <c r="G38" s="541">
        <f t="shared" si="77"/>
        <v>-22592.444300000003</v>
      </c>
      <c r="H38" s="541">
        <f t="shared" si="77"/>
        <v>150</v>
      </c>
      <c r="I38" s="541">
        <f t="shared" si="77"/>
        <v>7339.5</v>
      </c>
      <c r="J38" s="541">
        <f t="shared" si="77"/>
        <v>-18.072802222221753</v>
      </c>
      <c r="K38" s="541">
        <f t="shared" si="77"/>
        <v>-1182.8283111111086</v>
      </c>
      <c r="L38" s="541">
        <f t="shared" si="77"/>
        <v>0</v>
      </c>
      <c r="M38" s="541">
        <f t="shared" si="77"/>
        <v>0</v>
      </c>
      <c r="N38" s="542">
        <f t="shared" si="77"/>
        <v>-16342.440499999997</v>
      </c>
      <c r="O38" s="542">
        <f t="shared" si="77"/>
        <v>-950108.28266000003</v>
      </c>
      <c r="Q38" s="328" t="s">
        <v>252</v>
      </c>
      <c r="R38" s="542">
        <f t="shared" ref="R38" si="78">+R37-R36</f>
        <v>0</v>
      </c>
      <c r="S38" s="542">
        <f t="shared" ref="S38" si="79">+S37-S36</f>
        <v>0</v>
      </c>
      <c r="T38" s="542">
        <f t="shared" ref="T38" si="80">+T37-T36</f>
        <v>-11150</v>
      </c>
      <c r="U38" s="542">
        <f t="shared" ref="U38" si="81">+U37-U36</f>
        <v>-576275.98518750002</v>
      </c>
      <c r="V38" s="542">
        <f t="shared" ref="V38" si="82">+V37-V36</f>
        <v>0</v>
      </c>
      <c r="W38" s="542">
        <f t="shared" ref="W38" si="83">+W37-W36</f>
        <v>0</v>
      </c>
      <c r="X38" s="542">
        <f t="shared" ref="X38" si="84">+X37-X36</f>
        <v>-9738</v>
      </c>
      <c r="Y38" s="542">
        <f t="shared" ref="Y38" si="85">+Y37-Y36</f>
        <v>-665815.39999999991</v>
      </c>
      <c r="Z38" s="542">
        <f t="shared" ref="Z38" si="86">+Z37-Z36</f>
        <v>670.8350333333334</v>
      </c>
      <c r="AA38" s="542">
        <f t="shared" ref="AA38" si="87">+AA37-AA36</f>
        <v>30282.038666666671</v>
      </c>
      <c r="AB38" s="542">
        <f t="shared" ref="AB38" si="88">+AB37-AB36</f>
        <v>-16342.440499999997</v>
      </c>
      <c r="AC38" s="542">
        <f t="shared" ref="AC38" si="89">+AC37-AC36</f>
        <v>-1010605.9899999998</v>
      </c>
      <c r="AE38" s="328" t="s">
        <v>252</v>
      </c>
      <c r="AF38" s="543">
        <f>+AF37-AF36</f>
        <v>-1010605.9899999998</v>
      </c>
      <c r="AG38" s="543">
        <f t="shared" ref="AG38:AM38" si="90">+AG37-AG36</f>
        <v>-950108.28266000003</v>
      </c>
      <c r="AH38" s="544">
        <f t="shared" si="90"/>
        <v>60497.707339999906</v>
      </c>
      <c r="AI38" s="542">
        <f t="shared" si="90"/>
        <v>-33100.362532499974</v>
      </c>
      <c r="AJ38" s="542">
        <f t="shared" si="90"/>
        <v>-2340.7999950000085</v>
      </c>
      <c r="AK38" s="541">
        <f t="shared" si="90"/>
        <v>0</v>
      </c>
      <c r="AL38" s="544">
        <f t="shared" si="90"/>
        <v>0</v>
      </c>
      <c r="AM38" s="544">
        <f t="shared" si="90"/>
        <v>29738.144802499679</v>
      </c>
    </row>
    <row r="39" spans="2:100" ht="42.75" x14ac:dyDescent="0.25">
      <c r="B39" s="328" t="s">
        <v>252</v>
      </c>
      <c r="C39" s="503">
        <f>+C37/C36-1</f>
        <v>-0.24497725588305164</v>
      </c>
      <c r="D39" s="503">
        <f>+D37/D36-1</f>
        <v>-0.24497725588305175</v>
      </c>
      <c r="E39" s="504"/>
      <c r="F39" s="503">
        <f>+F37/F36-1</f>
        <v>-0.16304219109207307</v>
      </c>
      <c r="G39" s="503">
        <f>+G37/G36-1</f>
        <v>-0.15142094624166158</v>
      </c>
      <c r="H39" s="503"/>
      <c r="I39" s="503"/>
      <c r="J39" s="503">
        <f>+J37/J36-1</f>
        <v>-1.6167364594317224E-2</v>
      </c>
      <c r="K39" s="503">
        <f>+K37/K36-1</f>
        <v>-2.3520909533294998E-2</v>
      </c>
      <c r="L39" s="503"/>
      <c r="M39" s="503"/>
      <c r="N39" s="503">
        <f>+N37/N36-1</f>
        <v>-0.24245457619045407</v>
      </c>
      <c r="O39" s="503">
        <f>+O37/O36-1</f>
        <v>-0.24225336635071459</v>
      </c>
      <c r="Q39" s="328" t="s">
        <v>252</v>
      </c>
      <c r="R39" s="503">
        <f>+R37/R36-1</f>
        <v>0</v>
      </c>
      <c r="S39" s="503">
        <f t="shared" ref="S39:AC39" si="91">+S37/S36-1</f>
        <v>0</v>
      </c>
      <c r="T39" s="503">
        <f t="shared" si="91"/>
        <v>-0.49010989010989015</v>
      </c>
      <c r="U39" s="503">
        <f t="shared" si="91"/>
        <v>-0.48736316886837805</v>
      </c>
      <c r="V39" s="503">
        <f t="shared" si="91"/>
        <v>0</v>
      </c>
      <c r="W39" s="503">
        <f t="shared" si="91"/>
        <v>0</v>
      </c>
      <c r="X39" s="503">
        <f t="shared" si="91"/>
        <v>-0.18583969465648853</v>
      </c>
      <c r="Y39" s="503">
        <f t="shared" si="91"/>
        <v>-0.2443538608338226</v>
      </c>
      <c r="Z39" s="503">
        <f t="shared" si="91"/>
        <v>162.31188805549579</v>
      </c>
      <c r="AA39" s="503">
        <f t="shared" si="91"/>
        <v>135.68437434656633</v>
      </c>
      <c r="AB39" s="503">
        <f t="shared" si="91"/>
        <v>-0.24245457619045407</v>
      </c>
      <c r="AC39" s="503">
        <f t="shared" si="91"/>
        <v>-0.28833075791527285</v>
      </c>
      <c r="AE39" s="328" t="s">
        <v>252</v>
      </c>
      <c r="AF39" s="509">
        <f>+AF37/AF36-1</f>
        <v>-0.28833075791527285</v>
      </c>
      <c r="AG39" s="509">
        <f t="shared" ref="AG39:AM39" si="92">+AG37/AG36-1</f>
        <v>-0.24225336635071459</v>
      </c>
      <c r="AH39" s="510">
        <f t="shared" si="92"/>
        <v>0.14510003132015292</v>
      </c>
      <c r="AI39" s="511">
        <f t="shared" si="92"/>
        <v>-0.20185064487329074</v>
      </c>
      <c r="AJ39" s="511">
        <f t="shared" si="92"/>
        <v>-1.601383557058278E-2</v>
      </c>
      <c r="AK39" s="512">
        <f t="shared" si="92"/>
        <v>0</v>
      </c>
      <c r="AL39" s="510">
        <f t="shared" si="92"/>
        <v>0</v>
      </c>
      <c r="AM39" s="510">
        <f t="shared" si="92"/>
        <v>8.2560374741425191E-2</v>
      </c>
    </row>
    <row r="43" spans="2:100" x14ac:dyDescent="0.25">
      <c r="C43" s="450">
        <f>COUNTIF(C4:C33,"=0")</f>
        <v>15</v>
      </c>
    </row>
    <row r="44" spans="2:100" x14ac:dyDescent="0.25">
      <c r="C44" s="450">
        <f>C36/29</f>
        <v>2181.6175862068958</v>
      </c>
    </row>
    <row r="45" spans="2:100" x14ac:dyDescent="0.25">
      <c r="C45" s="450">
        <f>C43*C44</f>
        <v>32724.263793103437</v>
      </c>
    </row>
    <row r="46" spans="2:100" x14ac:dyDescent="0.25">
      <c r="C46" s="501">
        <f>C37-C45-C34</f>
        <v>-1090.8087931034461</v>
      </c>
    </row>
    <row r="327" spans="10:10" x14ac:dyDescent="0.25">
      <c r="J327" s="450">
        <v>6</v>
      </c>
    </row>
  </sheetData>
  <mergeCells count="13">
    <mergeCell ref="CX3:CX4"/>
    <mergeCell ref="CY3:DB3"/>
    <mergeCell ref="DC3:DE3"/>
    <mergeCell ref="CM2:CV2"/>
    <mergeCell ref="AO2:AT2"/>
    <mergeCell ref="AV2:BA2"/>
    <mergeCell ref="BC2:BE2"/>
    <mergeCell ref="BH2:BI2"/>
    <mergeCell ref="Q2:AC2"/>
    <mergeCell ref="C2:O2"/>
    <mergeCell ref="BL2:BO2"/>
    <mergeCell ref="BQ2:BZ2"/>
    <mergeCell ref="CB2:CK2"/>
  </mergeCells>
  <conditionalFormatting sqref="DB5:DB16">
    <cfRule type="cellIs" dxfId="5" priority="1" operator="lessThan">
      <formula>0</formula>
    </cfRule>
  </conditionalFormatting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50" fitToHeight="4" orientation="landscape" r:id="rId1"/>
  <colBreaks count="2" manualBreakCount="2">
    <brk id="15" min="1" max="39" man="1"/>
    <brk id="29" min="1" max="39" man="1"/>
  </colBreak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AI72"/>
  <sheetViews>
    <sheetView topLeftCell="P38" workbookViewId="0">
      <selection activeCell="E52" sqref="E52"/>
    </sheetView>
  </sheetViews>
  <sheetFormatPr defaultRowHeight="15" x14ac:dyDescent="0.25"/>
  <cols>
    <col min="1" max="1" width="12.28515625" bestFit="1" customWidth="1"/>
    <col min="2" max="2" width="10.28515625" bestFit="1" customWidth="1"/>
    <col min="3" max="3" width="14.7109375" bestFit="1" customWidth="1"/>
    <col min="4" max="5" width="13.7109375" bestFit="1" customWidth="1"/>
    <col min="6" max="7" width="12.140625" bestFit="1" customWidth="1"/>
    <col min="8" max="8" width="13.7109375" bestFit="1" customWidth="1"/>
    <col min="9" max="9" width="9.28515625" bestFit="1" customWidth="1"/>
    <col min="10" max="10" width="12.140625" bestFit="1" customWidth="1"/>
    <col min="11" max="11" width="11.7109375" customWidth="1"/>
    <col min="12" max="12" width="10.42578125" bestFit="1" customWidth="1"/>
    <col min="14" max="16" width="13.7109375" bestFit="1" customWidth="1"/>
    <col min="17" max="17" width="13.7109375" customWidth="1"/>
    <col min="18" max="18" width="10" customWidth="1"/>
    <col min="20" max="20" width="12.5703125" bestFit="1" customWidth="1"/>
    <col min="21" max="21" width="12.7109375" style="426" customWidth="1"/>
    <col min="24" max="24" width="10.42578125" bestFit="1" customWidth="1"/>
    <col min="25" max="25" width="13.42578125" customWidth="1"/>
  </cols>
  <sheetData>
    <row r="1" spans="1:35" x14ac:dyDescent="0.25">
      <c r="P1" s="431"/>
      <c r="X1" s="431" t="e">
        <f>+#REF!-#REF!</f>
        <v>#REF!</v>
      </c>
    </row>
    <row r="3" spans="1:35" ht="15.75" thickBot="1" x14ac:dyDescent="0.3">
      <c r="B3" s="738" t="s">
        <v>267</v>
      </c>
      <c r="C3" s="739"/>
      <c r="D3" s="739"/>
      <c r="E3" s="739"/>
      <c r="F3" s="739"/>
      <c r="G3" s="739"/>
      <c r="H3" s="739"/>
      <c r="I3" s="739"/>
      <c r="J3" s="739"/>
      <c r="K3" s="740"/>
      <c r="N3" s="738" t="s">
        <v>268</v>
      </c>
      <c r="O3" s="739"/>
      <c r="P3" s="739"/>
      <c r="Q3" s="739"/>
      <c r="R3" s="740"/>
      <c r="U3"/>
      <c r="V3" s="426"/>
      <c r="AE3" s="1"/>
      <c r="AF3" s="1"/>
      <c r="AG3" s="1"/>
      <c r="AH3" s="1"/>
      <c r="AI3" s="1"/>
    </row>
    <row r="4" spans="1:35" ht="90.75" thickBot="1" x14ac:dyDescent="0.3">
      <c r="B4" s="427" t="s">
        <v>8</v>
      </c>
      <c r="C4" s="428" t="s">
        <v>14</v>
      </c>
      <c r="D4" s="429" t="s">
        <v>15</v>
      </c>
      <c r="E4" s="429" t="s">
        <v>16</v>
      </c>
      <c r="F4" s="429" t="s">
        <v>17</v>
      </c>
      <c r="G4" s="429" t="s">
        <v>240</v>
      </c>
      <c r="H4" s="429" t="s">
        <v>38</v>
      </c>
      <c r="I4" s="429" t="s">
        <v>75</v>
      </c>
      <c r="J4" s="429" t="s">
        <v>241</v>
      </c>
      <c r="K4" s="427" t="s">
        <v>158</v>
      </c>
      <c r="N4" s="429" t="s">
        <v>18</v>
      </c>
      <c r="O4" s="429" t="s">
        <v>242</v>
      </c>
      <c r="P4" s="429" t="s">
        <v>251</v>
      </c>
      <c r="Q4" s="429" t="s">
        <v>269</v>
      </c>
      <c r="R4" s="429" t="s">
        <v>158</v>
      </c>
      <c r="T4" s="430" t="s">
        <v>270</v>
      </c>
      <c r="U4" s="545" t="s">
        <v>271</v>
      </c>
      <c r="Y4" s="430" t="s">
        <v>243</v>
      </c>
      <c r="Z4" s="430" t="s">
        <v>244</v>
      </c>
      <c r="AD4" s="546"/>
      <c r="AE4" s="546"/>
      <c r="AF4" s="546" t="s">
        <v>272</v>
      </c>
      <c r="AG4" s="546" t="s">
        <v>9</v>
      </c>
      <c r="AH4" s="1"/>
    </row>
    <row r="5" spans="1:35" s="446" customFormat="1" ht="45" x14ac:dyDescent="0.25">
      <c r="A5" t="s">
        <v>280</v>
      </c>
      <c r="B5" s="441">
        <v>45383</v>
      </c>
      <c r="C5" s="442">
        <v>3700</v>
      </c>
      <c r="D5" s="443">
        <v>867</v>
      </c>
      <c r="E5" s="443">
        <v>350</v>
      </c>
      <c r="F5" s="443">
        <v>150</v>
      </c>
      <c r="G5" s="444">
        <v>183.333</v>
      </c>
      <c r="H5" s="444">
        <v>1154</v>
      </c>
      <c r="I5" s="444">
        <v>0</v>
      </c>
      <c r="J5" s="444">
        <v>100</v>
      </c>
      <c r="K5" s="445">
        <f t="shared" ref="K5:K34" si="0">SUM(C5:J5)</f>
        <v>6504.3329999999996</v>
      </c>
      <c r="L5" s="547"/>
      <c r="N5" s="444">
        <v>4952.3994000000002</v>
      </c>
      <c r="O5" s="444"/>
      <c r="P5" s="444"/>
      <c r="Q5" s="548"/>
      <c r="R5" s="444">
        <f>SUM(N5:Q5)</f>
        <v>4952.3994000000002</v>
      </c>
      <c r="T5" s="444">
        <f t="shared" ref="T5:T34" si="1">+R5-K5</f>
        <v>-1551.9335999999994</v>
      </c>
      <c r="U5" s="549">
        <f>+T5/R5</f>
        <v>-0.31337004038890709</v>
      </c>
      <c r="V5"/>
      <c r="W5"/>
      <c r="X5"/>
      <c r="Y5" s="444">
        <f>+N5+O5</f>
        <v>4952.3994000000002</v>
      </c>
      <c r="Z5" s="444">
        <f>+Q5+T5*-1+P5</f>
        <v>1551.9335999999994</v>
      </c>
      <c r="AD5" s="550" t="s">
        <v>274</v>
      </c>
      <c r="AE5" s="550" t="s">
        <v>275</v>
      </c>
      <c r="AF5" s="550"/>
      <c r="AG5" s="550">
        <v>238495.41899999999</v>
      </c>
      <c r="AH5" s="28"/>
    </row>
    <row r="6" spans="1:35" s="446" customFormat="1" x14ac:dyDescent="0.25">
      <c r="A6" s="446" t="s">
        <v>282</v>
      </c>
      <c r="B6" s="441">
        <f>+B5+1</f>
        <v>45384</v>
      </c>
      <c r="C6" s="442">
        <v>3600</v>
      </c>
      <c r="D6" s="443">
        <v>878</v>
      </c>
      <c r="E6" s="443">
        <v>350</v>
      </c>
      <c r="F6" s="443">
        <v>150</v>
      </c>
      <c r="G6" s="444">
        <v>183.333</v>
      </c>
      <c r="H6" s="444">
        <v>1154</v>
      </c>
      <c r="I6" s="444">
        <v>0</v>
      </c>
      <c r="J6" s="444">
        <v>100</v>
      </c>
      <c r="K6" s="445">
        <f t="shared" si="0"/>
        <v>6415.3329999999996</v>
      </c>
      <c r="L6" s="547"/>
      <c r="N6" s="444">
        <v>4952.3994000000002</v>
      </c>
      <c r="O6" s="444"/>
      <c r="P6" s="444"/>
      <c r="Q6" s="548"/>
      <c r="R6" s="444">
        <f t="shared" ref="R6:R34" si="2">SUM(N6:Q6)</f>
        <v>4952.3994000000002</v>
      </c>
      <c r="T6" s="444">
        <f t="shared" si="1"/>
        <v>-1462.9335999999994</v>
      </c>
      <c r="U6" s="549">
        <f t="shared" ref="U6:U35" si="3">+T6/R6</f>
        <v>-0.29539895348505196</v>
      </c>
      <c r="Y6" s="444">
        <f t="shared" ref="Y6:Y34" si="4">+N6+O6</f>
        <v>4952.3994000000002</v>
      </c>
      <c r="Z6" s="444">
        <f t="shared" ref="Z6:Z34" si="5">+Q6+T6*-1+P6</f>
        <v>1462.9335999999994</v>
      </c>
      <c r="AD6" s="567"/>
      <c r="AE6" s="567" t="s">
        <v>277</v>
      </c>
      <c r="AF6" s="567">
        <v>2500</v>
      </c>
      <c r="AG6" s="567">
        <v>56200</v>
      </c>
      <c r="AH6" s="82">
        <f>+AG5-AG6</f>
        <v>182295.41899999999</v>
      </c>
    </row>
    <row r="7" spans="1:35" s="446" customFormat="1" x14ac:dyDescent="0.25">
      <c r="A7" s="446" t="s">
        <v>283</v>
      </c>
      <c r="B7" s="441">
        <f t="shared" ref="B7:B34" si="6">+B6+1</f>
        <v>45385</v>
      </c>
      <c r="C7" s="442">
        <v>3600</v>
      </c>
      <c r="D7" s="443">
        <v>867</v>
      </c>
      <c r="E7" s="443">
        <v>350</v>
      </c>
      <c r="F7" s="443">
        <v>150</v>
      </c>
      <c r="G7" s="444">
        <v>183.333</v>
      </c>
      <c r="H7" s="444">
        <v>1154</v>
      </c>
      <c r="I7" s="444">
        <v>1192</v>
      </c>
      <c r="J7" s="444">
        <v>100</v>
      </c>
      <c r="K7" s="445">
        <f t="shared" si="0"/>
        <v>7596.3329999999996</v>
      </c>
      <c r="L7" s="556"/>
      <c r="N7" s="444">
        <v>6025.1994000000004</v>
      </c>
      <c r="O7" s="444"/>
      <c r="P7" s="444"/>
      <c r="Q7" s="548"/>
      <c r="R7" s="444">
        <f t="shared" si="2"/>
        <v>6025.1994000000004</v>
      </c>
      <c r="T7" s="444">
        <f t="shared" si="1"/>
        <v>-1571.1335999999992</v>
      </c>
      <c r="U7" s="549">
        <f t="shared" si="3"/>
        <v>-0.26076043226054879</v>
      </c>
      <c r="Y7" s="444">
        <f t="shared" si="4"/>
        <v>6025.1994000000004</v>
      </c>
      <c r="Z7" s="444">
        <f t="shared" si="5"/>
        <v>1571.1335999999992</v>
      </c>
      <c r="AD7" s="567"/>
      <c r="AE7" s="567" t="s">
        <v>279</v>
      </c>
      <c r="AF7" s="567">
        <f>AG7/31</f>
        <v>719.20706451612887</v>
      </c>
      <c r="AG7" s="567">
        <f>AG5-AG6-AG8</f>
        <v>22295.418999999994</v>
      </c>
      <c r="AH7" s="82"/>
    </row>
    <row r="8" spans="1:35" s="446" customFormat="1" x14ac:dyDescent="0.25">
      <c r="A8" s="446" t="s">
        <v>284</v>
      </c>
      <c r="B8" s="441">
        <f t="shared" si="6"/>
        <v>45386</v>
      </c>
      <c r="C8" s="442">
        <v>3800</v>
      </c>
      <c r="D8" s="443">
        <v>878</v>
      </c>
      <c r="E8" s="443">
        <v>350</v>
      </c>
      <c r="F8" s="443">
        <v>150</v>
      </c>
      <c r="G8" s="444">
        <v>183.333</v>
      </c>
      <c r="H8" s="444">
        <v>1154</v>
      </c>
      <c r="I8" s="444">
        <v>1192</v>
      </c>
      <c r="J8" s="444">
        <v>100</v>
      </c>
      <c r="K8" s="445">
        <f t="shared" si="0"/>
        <v>7807.3329999999996</v>
      </c>
      <c r="L8" s="547"/>
      <c r="N8" s="444">
        <v>6025.1994000000004</v>
      </c>
      <c r="O8" s="444"/>
      <c r="P8" s="444"/>
      <c r="Q8" s="548"/>
      <c r="R8" s="444">
        <f t="shared" si="2"/>
        <v>6025.1994000000004</v>
      </c>
      <c r="T8" s="444">
        <f t="shared" si="1"/>
        <v>-1782.1335999999992</v>
      </c>
      <c r="U8" s="549">
        <f t="shared" si="3"/>
        <v>-0.29578002015999655</v>
      </c>
      <c r="Y8" s="444">
        <f t="shared" si="4"/>
        <v>6025.1994000000004</v>
      </c>
      <c r="Z8" s="444">
        <f t="shared" si="5"/>
        <v>1782.1335999999992</v>
      </c>
      <c r="AD8" s="567"/>
      <c r="AE8" s="567" t="s">
        <v>281</v>
      </c>
      <c r="AF8" s="567"/>
      <c r="AG8" s="567">
        <v>160000</v>
      </c>
      <c r="AH8" s="82"/>
    </row>
    <row r="9" spans="1:35" s="446" customFormat="1" x14ac:dyDescent="0.25">
      <c r="A9" t="s">
        <v>273</v>
      </c>
      <c r="B9" s="441">
        <f t="shared" si="6"/>
        <v>45387</v>
      </c>
      <c r="C9" s="442">
        <v>3600</v>
      </c>
      <c r="D9" s="443">
        <v>867</v>
      </c>
      <c r="E9" s="443">
        <v>350</v>
      </c>
      <c r="F9" s="443">
        <v>150</v>
      </c>
      <c r="G9" s="444">
        <v>183.333</v>
      </c>
      <c r="H9" s="444">
        <v>1154</v>
      </c>
      <c r="I9" s="444">
        <v>1192</v>
      </c>
      <c r="J9" s="444">
        <v>100</v>
      </c>
      <c r="K9" s="445">
        <f t="shared" si="0"/>
        <v>7596.3329999999996</v>
      </c>
      <c r="L9" s="547"/>
      <c r="N9" s="444">
        <v>6025.1994000000004</v>
      </c>
      <c r="O9" s="444"/>
      <c r="P9" s="444"/>
      <c r="Q9" s="548"/>
      <c r="R9" s="444">
        <f t="shared" si="2"/>
        <v>6025.1994000000004</v>
      </c>
      <c r="T9" s="444">
        <f t="shared" si="1"/>
        <v>-1571.1335999999992</v>
      </c>
      <c r="U9" s="549">
        <f t="shared" si="3"/>
        <v>-0.26076043226054879</v>
      </c>
      <c r="V9"/>
      <c r="W9"/>
      <c r="X9"/>
      <c r="Y9" s="444">
        <f t="shared" si="4"/>
        <v>6025.1994000000004</v>
      </c>
      <c r="Z9" s="444">
        <f t="shared" si="5"/>
        <v>1571.1335999999992</v>
      </c>
      <c r="AD9" s="82"/>
      <c r="AE9" s="82"/>
      <c r="AF9" s="82"/>
      <c r="AG9" s="555">
        <f>+O35-AG7</f>
        <v>-22295.418999999994</v>
      </c>
      <c r="AH9" s="82"/>
    </row>
    <row r="10" spans="1:35" s="447" customFormat="1" x14ac:dyDescent="0.25">
      <c r="A10" s="447" t="s">
        <v>276</v>
      </c>
      <c r="B10" s="432">
        <f t="shared" si="6"/>
        <v>45388</v>
      </c>
      <c r="C10" s="433">
        <v>3500</v>
      </c>
      <c r="D10" s="440">
        <v>878</v>
      </c>
      <c r="E10" s="440">
        <v>350</v>
      </c>
      <c r="F10" s="440">
        <v>150</v>
      </c>
      <c r="G10" s="434">
        <v>183.333</v>
      </c>
      <c r="H10" s="434">
        <v>1154</v>
      </c>
      <c r="I10" s="434">
        <v>1192</v>
      </c>
      <c r="J10" s="434">
        <v>100</v>
      </c>
      <c r="K10" s="435">
        <f t="shared" si="0"/>
        <v>7507.3329999999996</v>
      </c>
      <c r="L10" s="551"/>
      <c r="N10" s="434">
        <v>6025.1994000000004</v>
      </c>
      <c r="O10" s="434"/>
      <c r="P10" s="434"/>
      <c r="Q10" s="552"/>
      <c r="R10" s="434">
        <f t="shared" si="2"/>
        <v>6025.1994000000004</v>
      </c>
      <c r="T10" s="434">
        <f t="shared" si="1"/>
        <v>-1482.1335999999992</v>
      </c>
      <c r="U10" s="553">
        <f t="shared" si="3"/>
        <v>-0.24598913689063953</v>
      </c>
      <c r="Y10" s="434">
        <f t="shared" si="4"/>
        <v>6025.1994000000004</v>
      </c>
      <c r="Z10" s="434">
        <f t="shared" si="5"/>
        <v>1482.1335999999992</v>
      </c>
      <c r="AD10" s="568"/>
      <c r="AE10" s="568"/>
      <c r="AF10" s="568"/>
      <c r="AG10" s="568">
        <f>AG5-AG6-AG7</f>
        <v>160000</v>
      </c>
      <c r="AH10" s="568"/>
    </row>
    <row r="11" spans="1:35" s="447" customFormat="1" x14ac:dyDescent="0.25">
      <c r="A11" s="447" t="s">
        <v>278</v>
      </c>
      <c r="B11" s="432">
        <f t="shared" si="6"/>
        <v>45389</v>
      </c>
      <c r="C11" s="433">
        <v>3500</v>
      </c>
      <c r="D11" s="440">
        <v>878</v>
      </c>
      <c r="E11" s="440">
        <v>350</v>
      </c>
      <c r="F11" s="440">
        <v>150</v>
      </c>
      <c r="G11" s="434">
        <v>183.333</v>
      </c>
      <c r="H11" s="434">
        <v>1154</v>
      </c>
      <c r="I11" s="434">
        <v>1192</v>
      </c>
      <c r="J11" s="434">
        <v>100</v>
      </c>
      <c r="K11" s="435">
        <f t="shared" si="0"/>
        <v>7507.3329999999996</v>
      </c>
      <c r="L11" s="554"/>
      <c r="N11" s="434">
        <v>6025.1994000000004</v>
      </c>
      <c r="O11" s="434"/>
      <c r="P11" s="434"/>
      <c r="Q11" s="552"/>
      <c r="R11" s="434">
        <f t="shared" si="2"/>
        <v>6025.1994000000004</v>
      </c>
      <c r="T11" s="434">
        <f t="shared" si="1"/>
        <v>-1482.1335999999992</v>
      </c>
      <c r="U11" s="553">
        <f t="shared" si="3"/>
        <v>-0.24598913689063953</v>
      </c>
      <c r="Y11" s="434">
        <f t="shared" si="4"/>
        <v>6025.1994000000004</v>
      </c>
      <c r="Z11" s="434">
        <f t="shared" si="5"/>
        <v>1482.1335999999992</v>
      </c>
      <c r="AD11" s="568"/>
      <c r="AE11" s="568"/>
      <c r="AF11" s="568"/>
      <c r="AG11" s="568">
        <f>+AG10-AG9</f>
        <v>182295.41899999999</v>
      </c>
      <c r="AH11" s="568"/>
    </row>
    <row r="12" spans="1:35" s="446" customFormat="1" x14ac:dyDescent="0.25">
      <c r="A12" t="s">
        <v>280</v>
      </c>
      <c r="B12" s="441">
        <f t="shared" si="6"/>
        <v>45390</v>
      </c>
      <c r="C12" s="442">
        <v>3500</v>
      </c>
      <c r="D12" s="443">
        <v>867</v>
      </c>
      <c r="E12" s="443">
        <v>350</v>
      </c>
      <c r="F12" s="443">
        <v>150</v>
      </c>
      <c r="G12" s="444">
        <v>183.333</v>
      </c>
      <c r="H12" s="444">
        <v>1154</v>
      </c>
      <c r="I12" s="444">
        <v>1192</v>
      </c>
      <c r="J12" s="444">
        <v>100</v>
      </c>
      <c r="K12" s="445">
        <f t="shared" si="0"/>
        <v>7496.3329999999996</v>
      </c>
      <c r="L12" s="547"/>
      <c r="N12" s="444">
        <v>6025.1994000000004</v>
      </c>
      <c r="O12" s="444"/>
      <c r="P12" s="444"/>
      <c r="Q12" s="548"/>
      <c r="R12" s="444">
        <f t="shared" si="2"/>
        <v>6025.1994000000004</v>
      </c>
      <c r="T12" s="444">
        <f t="shared" si="1"/>
        <v>-1471.1335999999992</v>
      </c>
      <c r="U12" s="549">
        <f t="shared" si="3"/>
        <v>-0.24416347117076309</v>
      </c>
      <c r="V12"/>
      <c r="W12"/>
      <c r="X12"/>
      <c r="Y12" s="444">
        <f t="shared" si="4"/>
        <v>6025.1994000000004</v>
      </c>
      <c r="Z12" s="444">
        <f t="shared" si="5"/>
        <v>1471.1335999999992</v>
      </c>
      <c r="AD12" s="1"/>
      <c r="AE12" s="1"/>
      <c r="AF12" s="1"/>
      <c r="AG12" s="1"/>
      <c r="AH12" s="1"/>
    </row>
    <row r="13" spans="1:35" s="446" customFormat="1" x14ac:dyDescent="0.25">
      <c r="A13" s="446" t="s">
        <v>282</v>
      </c>
      <c r="B13" s="441">
        <f t="shared" si="6"/>
        <v>45391</v>
      </c>
      <c r="C13" s="442">
        <v>3500</v>
      </c>
      <c r="D13" s="443">
        <v>878</v>
      </c>
      <c r="E13" s="443">
        <v>350</v>
      </c>
      <c r="F13" s="443">
        <v>150</v>
      </c>
      <c r="G13" s="444">
        <v>183.333</v>
      </c>
      <c r="H13" s="444">
        <v>1154</v>
      </c>
      <c r="I13" s="444">
        <v>1192</v>
      </c>
      <c r="J13" s="444">
        <v>100</v>
      </c>
      <c r="K13" s="445">
        <f t="shared" si="0"/>
        <v>7507.3329999999996</v>
      </c>
      <c r="L13" s="547"/>
      <c r="N13" s="444">
        <v>6025.1994000000004</v>
      </c>
      <c r="O13" s="444"/>
      <c r="P13" s="444"/>
      <c r="Q13" s="548"/>
      <c r="R13" s="444">
        <f t="shared" si="2"/>
        <v>6025.1994000000004</v>
      </c>
      <c r="T13" s="444">
        <f t="shared" si="1"/>
        <v>-1482.1335999999992</v>
      </c>
      <c r="U13" s="549">
        <f t="shared" si="3"/>
        <v>-0.24598913689063953</v>
      </c>
      <c r="Y13" s="444">
        <f t="shared" si="4"/>
        <v>6025.1994000000004</v>
      </c>
      <c r="Z13" s="444">
        <f t="shared" si="5"/>
        <v>1482.1335999999992</v>
      </c>
      <c r="AD13" s="82"/>
      <c r="AE13" s="82"/>
      <c r="AF13" s="82"/>
      <c r="AG13" s="82"/>
      <c r="AH13" s="82"/>
    </row>
    <row r="14" spans="1:35" s="446" customFormat="1" x14ac:dyDescent="0.25">
      <c r="A14" s="446" t="s">
        <v>283</v>
      </c>
      <c r="B14" s="441">
        <f t="shared" si="6"/>
        <v>45392</v>
      </c>
      <c r="C14" s="442">
        <v>3700</v>
      </c>
      <c r="D14" s="443">
        <v>867</v>
      </c>
      <c r="E14" s="443">
        <v>350</v>
      </c>
      <c r="F14" s="443">
        <v>150</v>
      </c>
      <c r="G14" s="444">
        <v>183.333</v>
      </c>
      <c r="H14" s="444">
        <v>1154</v>
      </c>
      <c r="I14" s="444">
        <v>1192</v>
      </c>
      <c r="J14" s="444">
        <v>100</v>
      </c>
      <c r="K14" s="445">
        <f t="shared" si="0"/>
        <v>7696.3329999999996</v>
      </c>
      <c r="L14" s="547"/>
      <c r="N14" s="444">
        <v>6025.1994000000004</v>
      </c>
      <c r="O14" s="444"/>
      <c r="P14" s="444"/>
      <c r="Q14" s="548"/>
      <c r="R14" s="444">
        <f t="shared" si="2"/>
        <v>6025.1994000000004</v>
      </c>
      <c r="T14" s="444">
        <f t="shared" si="1"/>
        <v>-1671.1335999999992</v>
      </c>
      <c r="U14" s="549">
        <f t="shared" si="3"/>
        <v>-0.27735739335033444</v>
      </c>
      <c r="Y14" s="444">
        <f t="shared" si="4"/>
        <v>6025.1994000000004</v>
      </c>
      <c r="Z14" s="444">
        <f t="shared" si="5"/>
        <v>1671.1335999999992</v>
      </c>
      <c r="AD14" s="82"/>
      <c r="AE14" s="82"/>
      <c r="AF14" s="82"/>
      <c r="AG14" s="82"/>
      <c r="AH14" s="82"/>
    </row>
    <row r="15" spans="1:35" x14ac:dyDescent="0.25">
      <c r="A15" t="s">
        <v>284</v>
      </c>
      <c r="B15" s="557">
        <f t="shared" si="6"/>
        <v>45393</v>
      </c>
      <c r="C15" s="558">
        <v>3600</v>
      </c>
      <c r="D15" s="559">
        <v>878</v>
      </c>
      <c r="E15" s="559">
        <v>350</v>
      </c>
      <c r="F15" s="559">
        <v>150</v>
      </c>
      <c r="G15" s="560">
        <v>183.333</v>
      </c>
      <c r="H15" s="444">
        <v>1154</v>
      </c>
      <c r="I15" s="560">
        <v>1192</v>
      </c>
      <c r="J15" s="560">
        <v>100</v>
      </c>
      <c r="K15" s="445">
        <f t="shared" si="0"/>
        <v>7607.3329999999996</v>
      </c>
      <c r="L15" s="431"/>
      <c r="N15" s="444">
        <v>6025.1994000000004</v>
      </c>
      <c r="O15" s="444"/>
      <c r="P15" s="444"/>
      <c r="Q15" s="561"/>
      <c r="R15" s="560">
        <f t="shared" si="2"/>
        <v>6025.1994000000004</v>
      </c>
      <c r="T15" s="444">
        <f t="shared" si="1"/>
        <v>-1582.1335999999992</v>
      </c>
      <c r="U15" s="562">
        <f t="shared" si="3"/>
        <v>-0.2625860979804252</v>
      </c>
      <c r="Y15" s="444">
        <f t="shared" si="4"/>
        <v>6025.1994000000004</v>
      </c>
      <c r="Z15" s="444">
        <f t="shared" si="5"/>
        <v>1582.1335999999992</v>
      </c>
      <c r="AD15" s="1"/>
      <c r="AE15" s="1"/>
      <c r="AF15" s="1"/>
      <c r="AG15" s="1"/>
      <c r="AH15" s="1"/>
    </row>
    <row r="16" spans="1:35" s="446" customFormat="1" x14ac:dyDescent="0.25">
      <c r="A16" t="s">
        <v>273</v>
      </c>
      <c r="B16" s="441">
        <f t="shared" si="6"/>
        <v>45394</v>
      </c>
      <c r="C16" s="442">
        <v>3500</v>
      </c>
      <c r="D16" s="443">
        <v>867</v>
      </c>
      <c r="E16" s="443">
        <v>350</v>
      </c>
      <c r="F16" s="443">
        <v>150</v>
      </c>
      <c r="G16" s="444">
        <v>183.333</v>
      </c>
      <c r="H16" s="444">
        <v>1154</v>
      </c>
      <c r="I16" s="444">
        <v>1192</v>
      </c>
      <c r="J16" s="444">
        <v>100</v>
      </c>
      <c r="K16" s="445">
        <f t="shared" si="0"/>
        <v>7496.3329999999996</v>
      </c>
      <c r="L16" s="547"/>
      <c r="N16" s="444">
        <v>6025.1994000000004</v>
      </c>
      <c r="O16" s="444"/>
      <c r="P16" s="444"/>
      <c r="Q16" s="548"/>
      <c r="R16" s="444">
        <f t="shared" si="2"/>
        <v>6025.1994000000004</v>
      </c>
      <c r="T16" s="444">
        <f t="shared" si="1"/>
        <v>-1471.1335999999992</v>
      </c>
      <c r="U16" s="549">
        <f t="shared" si="3"/>
        <v>-0.24416347117076309</v>
      </c>
      <c r="V16"/>
      <c r="W16"/>
      <c r="X16"/>
      <c r="Y16" s="444">
        <f t="shared" si="4"/>
        <v>6025.1994000000004</v>
      </c>
      <c r="Z16" s="444">
        <f t="shared" si="5"/>
        <v>1471.1335999999992</v>
      </c>
      <c r="AD16" s="1"/>
      <c r="AE16" s="1"/>
      <c r="AF16" s="1"/>
      <c r="AG16" s="1"/>
      <c r="AH16" s="1"/>
    </row>
    <row r="17" spans="1:34" s="447" customFormat="1" x14ac:dyDescent="0.25">
      <c r="A17" s="447" t="s">
        <v>276</v>
      </c>
      <c r="B17" s="432">
        <f t="shared" si="6"/>
        <v>45395</v>
      </c>
      <c r="C17" s="433">
        <v>3500</v>
      </c>
      <c r="D17" s="440">
        <v>878</v>
      </c>
      <c r="E17" s="440">
        <v>350</v>
      </c>
      <c r="F17" s="440">
        <v>150</v>
      </c>
      <c r="G17" s="434">
        <v>183.333</v>
      </c>
      <c r="H17" s="434">
        <v>1154</v>
      </c>
      <c r="I17" s="434">
        <v>1192</v>
      </c>
      <c r="J17" s="434">
        <v>100</v>
      </c>
      <c r="K17" s="435">
        <f t="shared" si="0"/>
        <v>7507.3329999999996</v>
      </c>
      <c r="L17" s="551"/>
      <c r="N17" s="434">
        <v>6025.1994000000004</v>
      </c>
      <c r="O17" s="434"/>
      <c r="P17" s="434"/>
      <c r="Q17" s="552"/>
      <c r="R17" s="434">
        <f t="shared" si="2"/>
        <v>6025.1994000000004</v>
      </c>
      <c r="T17" s="434">
        <f t="shared" si="1"/>
        <v>-1482.1335999999992</v>
      </c>
      <c r="U17" s="553">
        <f t="shared" si="3"/>
        <v>-0.24598913689063953</v>
      </c>
      <c r="Y17" s="434">
        <f t="shared" si="4"/>
        <v>6025.1994000000004</v>
      </c>
      <c r="Z17" s="434">
        <f t="shared" si="5"/>
        <v>1482.1335999999992</v>
      </c>
      <c r="AD17" s="568"/>
      <c r="AE17" s="568"/>
      <c r="AF17" s="568"/>
      <c r="AG17" s="568"/>
      <c r="AH17" s="568"/>
    </row>
    <row r="18" spans="1:34" s="447" customFormat="1" x14ac:dyDescent="0.25">
      <c r="A18" s="447" t="s">
        <v>278</v>
      </c>
      <c r="B18" s="432">
        <f t="shared" si="6"/>
        <v>45396</v>
      </c>
      <c r="C18" s="433">
        <v>3400</v>
      </c>
      <c r="D18" s="440">
        <v>878</v>
      </c>
      <c r="E18" s="440">
        <v>350</v>
      </c>
      <c r="F18" s="440">
        <v>150</v>
      </c>
      <c r="G18" s="434">
        <v>183.333</v>
      </c>
      <c r="H18" s="434">
        <v>1154</v>
      </c>
      <c r="I18" s="434">
        <v>1192</v>
      </c>
      <c r="J18" s="434">
        <v>100</v>
      </c>
      <c r="K18" s="435">
        <f t="shared" si="0"/>
        <v>7407.3329999999996</v>
      </c>
      <c r="L18" s="551"/>
      <c r="N18" s="434">
        <v>6025.1994000000004</v>
      </c>
      <c r="O18" s="434"/>
      <c r="P18" s="434"/>
      <c r="Q18" s="552"/>
      <c r="R18" s="434">
        <f t="shared" si="2"/>
        <v>6025.1994000000004</v>
      </c>
      <c r="T18" s="434">
        <f t="shared" si="1"/>
        <v>-1382.1335999999992</v>
      </c>
      <c r="U18" s="553">
        <f t="shared" si="3"/>
        <v>-0.22939217580085386</v>
      </c>
      <c r="Y18" s="434">
        <f t="shared" si="4"/>
        <v>6025.1994000000004</v>
      </c>
      <c r="Z18" s="434">
        <f t="shared" si="5"/>
        <v>1382.1335999999992</v>
      </c>
      <c r="AD18" s="568"/>
      <c r="AE18" s="568"/>
      <c r="AF18" s="568"/>
      <c r="AG18" s="568"/>
      <c r="AH18" s="568"/>
    </row>
    <row r="19" spans="1:34" s="446" customFormat="1" x14ac:dyDescent="0.25">
      <c r="A19" t="s">
        <v>280</v>
      </c>
      <c r="B19" s="441">
        <f t="shared" si="6"/>
        <v>45397</v>
      </c>
      <c r="C19" s="442">
        <v>3400</v>
      </c>
      <c r="D19" s="443">
        <v>867</v>
      </c>
      <c r="E19" s="443">
        <v>350</v>
      </c>
      <c r="F19" s="443">
        <v>150</v>
      </c>
      <c r="G19" s="444">
        <v>183.333</v>
      </c>
      <c r="H19" s="444">
        <v>1154</v>
      </c>
      <c r="I19" s="444">
        <v>1192</v>
      </c>
      <c r="J19" s="444">
        <v>100</v>
      </c>
      <c r="K19" s="445">
        <f t="shared" si="0"/>
        <v>7396.3329999999996</v>
      </c>
      <c r="L19" s="547"/>
      <c r="N19" s="444">
        <v>6025.1994000000004</v>
      </c>
      <c r="O19" s="444"/>
      <c r="P19" s="444"/>
      <c r="Q19" s="548"/>
      <c r="R19" s="444">
        <f t="shared" si="2"/>
        <v>6025.1994000000004</v>
      </c>
      <c r="T19" s="444">
        <f t="shared" si="1"/>
        <v>-1371.1335999999992</v>
      </c>
      <c r="U19" s="549">
        <f t="shared" si="3"/>
        <v>-0.22756651008097742</v>
      </c>
      <c r="V19"/>
      <c r="W19"/>
      <c r="X19"/>
      <c r="Y19" s="444">
        <f t="shared" si="4"/>
        <v>6025.1994000000004</v>
      </c>
      <c r="Z19" s="444">
        <f t="shared" si="5"/>
        <v>1371.1335999999992</v>
      </c>
      <c r="AD19" s="366"/>
      <c r="AE19" s="366"/>
      <c r="AF19" s="366"/>
      <c r="AG19" s="366"/>
      <c r="AH19" s="366"/>
    </row>
    <row r="20" spans="1:34" s="446" customFormat="1" x14ac:dyDescent="0.25">
      <c r="A20" s="446" t="s">
        <v>282</v>
      </c>
      <c r="B20" s="441">
        <f t="shared" si="6"/>
        <v>45398</v>
      </c>
      <c r="C20" s="442">
        <v>3300</v>
      </c>
      <c r="D20" s="443">
        <v>878</v>
      </c>
      <c r="E20" s="443">
        <v>350</v>
      </c>
      <c r="F20" s="443">
        <v>150</v>
      </c>
      <c r="G20" s="444">
        <v>183.333</v>
      </c>
      <c r="H20" s="444">
        <v>1154</v>
      </c>
      <c r="I20" s="444">
        <v>1192</v>
      </c>
      <c r="J20" s="444">
        <v>100</v>
      </c>
      <c r="K20" s="445">
        <f t="shared" si="0"/>
        <v>7307.3329999999996</v>
      </c>
      <c r="L20" s="547" t="s">
        <v>245</v>
      </c>
      <c r="N20" s="444">
        <v>6025.1994000000004</v>
      </c>
      <c r="O20" s="444"/>
      <c r="P20" s="444"/>
      <c r="Q20" s="548"/>
      <c r="R20" s="444">
        <f t="shared" si="2"/>
        <v>6025.1994000000004</v>
      </c>
      <c r="T20" s="444">
        <f t="shared" si="1"/>
        <v>-1282.1335999999992</v>
      </c>
      <c r="U20" s="549">
        <f t="shared" si="3"/>
        <v>-0.21279521471106816</v>
      </c>
      <c r="Y20" s="444">
        <f t="shared" si="4"/>
        <v>6025.1994000000004</v>
      </c>
      <c r="Z20" s="444">
        <f t="shared" si="5"/>
        <v>1282.1335999999992</v>
      </c>
      <c r="AD20" s="82"/>
      <c r="AE20" s="82"/>
      <c r="AF20" s="82"/>
      <c r="AG20" s="82"/>
      <c r="AH20" s="82"/>
    </row>
    <row r="21" spans="1:34" s="446" customFormat="1" x14ac:dyDescent="0.25">
      <c r="A21" s="446" t="s">
        <v>283</v>
      </c>
      <c r="B21" s="441">
        <f t="shared" si="6"/>
        <v>45399</v>
      </c>
      <c r="C21" s="442">
        <v>3300</v>
      </c>
      <c r="D21" s="443">
        <v>867</v>
      </c>
      <c r="E21" s="443">
        <v>350</v>
      </c>
      <c r="F21" s="443">
        <v>150</v>
      </c>
      <c r="G21" s="444">
        <v>183.333</v>
      </c>
      <c r="H21" s="444">
        <v>1154</v>
      </c>
      <c r="I21" s="444">
        <v>1192</v>
      </c>
      <c r="J21" s="444">
        <v>100</v>
      </c>
      <c r="K21" s="445">
        <f t="shared" si="0"/>
        <v>7296.3329999999996</v>
      </c>
      <c r="L21" s="547"/>
      <c r="N21" s="444">
        <v>6025.1994000000004</v>
      </c>
      <c r="O21" s="444"/>
      <c r="P21" s="444"/>
      <c r="Q21" s="548"/>
      <c r="R21" s="444">
        <f t="shared" si="2"/>
        <v>6025.1994000000004</v>
      </c>
      <c r="T21" s="444">
        <f t="shared" si="1"/>
        <v>-1271.1335999999992</v>
      </c>
      <c r="U21" s="549">
        <f t="shared" si="3"/>
        <v>-0.21096954899119175</v>
      </c>
      <c r="Y21" s="444">
        <f t="shared" si="4"/>
        <v>6025.1994000000004</v>
      </c>
      <c r="Z21" s="444">
        <f t="shared" si="5"/>
        <v>1271.1335999999992</v>
      </c>
      <c r="AD21" s="82"/>
      <c r="AE21" s="82"/>
      <c r="AF21" s="82"/>
      <c r="AG21" s="82"/>
      <c r="AH21" s="82"/>
    </row>
    <row r="22" spans="1:34" x14ac:dyDescent="0.25">
      <c r="A22" t="s">
        <v>284</v>
      </c>
      <c r="B22" s="557">
        <f t="shared" si="6"/>
        <v>45400</v>
      </c>
      <c r="C22" s="558">
        <v>3300</v>
      </c>
      <c r="D22" s="559">
        <v>878</v>
      </c>
      <c r="E22" s="559">
        <v>350</v>
      </c>
      <c r="F22" s="559">
        <v>150</v>
      </c>
      <c r="G22" s="560">
        <v>183.333</v>
      </c>
      <c r="H22" s="444">
        <v>1154</v>
      </c>
      <c r="I22" s="560">
        <v>1192</v>
      </c>
      <c r="J22" s="560">
        <v>100</v>
      </c>
      <c r="K22" s="445">
        <f t="shared" si="0"/>
        <v>7307.3329999999996</v>
      </c>
      <c r="L22" s="431"/>
      <c r="N22" s="444">
        <v>6025.1994000000004</v>
      </c>
      <c r="O22" s="444"/>
      <c r="P22" s="444"/>
      <c r="Q22" s="561"/>
      <c r="R22" s="560">
        <f t="shared" si="2"/>
        <v>6025.1994000000004</v>
      </c>
      <c r="T22" s="444">
        <f t="shared" si="1"/>
        <v>-1282.1335999999992</v>
      </c>
      <c r="U22" s="562">
        <f t="shared" si="3"/>
        <v>-0.21279521471106816</v>
      </c>
      <c r="Y22" s="444">
        <f t="shared" si="4"/>
        <v>6025.1994000000004</v>
      </c>
      <c r="Z22" s="444">
        <f t="shared" si="5"/>
        <v>1282.1335999999992</v>
      </c>
      <c r="AD22" s="28"/>
      <c r="AE22" s="28"/>
      <c r="AF22" s="28"/>
      <c r="AG22" s="28"/>
      <c r="AH22" s="28"/>
    </row>
    <row r="23" spans="1:34" s="446" customFormat="1" x14ac:dyDescent="0.25">
      <c r="A23" t="s">
        <v>273</v>
      </c>
      <c r="B23" s="441">
        <f t="shared" si="6"/>
        <v>45401</v>
      </c>
      <c r="C23" s="442">
        <v>3300</v>
      </c>
      <c r="D23" s="443">
        <v>867</v>
      </c>
      <c r="E23" s="443">
        <v>350</v>
      </c>
      <c r="F23" s="443">
        <v>150</v>
      </c>
      <c r="G23" s="444">
        <v>183.333</v>
      </c>
      <c r="H23" s="444">
        <v>1154</v>
      </c>
      <c r="I23" s="444">
        <v>1192</v>
      </c>
      <c r="J23" s="444">
        <v>100</v>
      </c>
      <c r="K23" s="445">
        <f t="shared" si="0"/>
        <v>7296.3329999999996</v>
      </c>
      <c r="L23" s="547"/>
      <c r="N23" s="444">
        <v>6025.1994000000004</v>
      </c>
      <c r="O23" s="444"/>
      <c r="P23" s="444"/>
      <c r="Q23" s="548"/>
      <c r="R23" s="444">
        <f t="shared" si="2"/>
        <v>6025.1994000000004</v>
      </c>
      <c r="T23" s="444">
        <f t="shared" si="1"/>
        <v>-1271.1335999999992</v>
      </c>
      <c r="U23" s="549">
        <f t="shared" si="3"/>
        <v>-0.21096954899119175</v>
      </c>
      <c r="V23"/>
      <c r="W23"/>
      <c r="X23"/>
      <c r="Y23" s="444">
        <f t="shared" si="4"/>
        <v>6025.1994000000004</v>
      </c>
      <c r="Z23" s="444">
        <f t="shared" si="5"/>
        <v>1271.1335999999992</v>
      </c>
      <c r="AD23" s="1"/>
      <c r="AE23" s="1"/>
      <c r="AF23" s="1"/>
      <c r="AG23" s="1"/>
      <c r="AH23" s="1"/>
    </row>
    <row r="24" spans="1:34" s="447" customFormat="1" x14ac:dyDescent="0.25">
      <c r="A24" s="447" t="s">
        <v>276</v>
      </c>
      <c r="B24" s="432">
        <f t="shared" si="6"/>
        <v>45402</v>
      </c>
      <c r="C24" s="433">
        <v>3300</v>
      </c>
      <c r="D24" s="440">
        <v>878</v>
      </c>
      <c r="E24" s="440">
        <v>350</v>
      </c>
      <c r="F24" s="440">
        <v>150</v>
      </c>
      <c r="G24" s="434">
        <v>183.333</v>
      </c>
      <c r="H24" s="434">
        <v>1154</v>
      </c>
      <c r="I24" s="434">
        <v>1192</v>
      </c>
      <c r="J24" s="434">
        <v>100</v>
      </c>
      <c r="K24" s="435">
        <f t="shared" si="0"/>
        <v>7307.3329999999996</v>
      </c>
      <c r="L24" s="551"/>
      <c r="N24" s="434">
        <v>6025.1994000000004</v>
      </c>
      <c r="O24" s="434"/>
      <c r="P24" s="434"/>
      <c r="Q24" s="552"/>
      <c r="R24" s="434">
        <f t="shared" si="2"/>
        <v>6025.1994000000004</v>
      </c>
      <c r="T24" s="434">
        <f t="shared" si="1"/>
        <v>-1282.1335999999992</v>
      </c>
      <c r="U24" s="553">
        <f t="shared" si="3"/>
        <v>-0.21279521471106816</v>
      </c>
      <c r="Y24" s="434">
        <f t="shared" si="4"/>
        <v>6025.1994000000004</v>
      </c>
      <c r="Z24" s="434">
        <f t="shared" si="5"/>
        <v>1282.1335999999992</v>
      </c>
      <c r="AD24" s="568"/>
      <c r="AE24" s="568"/>
      <c r="AF24" s="568"/>
      <c r="AG24" s="568"/>
      <c r="AH24" s="568"/>
    </row>
    <row r="25" spans="1:34" s="447" customFormat="1" x14ac:dyDescent="0.25">
      <c r="A25" s="447" t="s">
        <v>278</v>
      </c>
      <c r="B25" s="432">
        <f t="shared" si="6"/>
        <v>45403</v>
      </c>
      <c r="C25" s="433">
        <v>2600</v>
      </c>
      <c r="D25" s="440">
        <v>878</v>
      </c>
      <c r="E25" s="440">
        <v>350</v>
      </c>
      <c r="F25" s="440">
        <v>150</v>
      </c>
      <c r="G25" s="434">
        <v>183.333</v>
      </c>
      <c r="H25" s="434">
        <v>1154</v>
      </c>
      <c r="I25" s="434">
        <v>1192</v>
      </c>
      <c r="J25" s="434">
        <v>100</v>
      </c>
      <c r="K25" s="435">
        <f t="shared" si="0"/>
        <v>6607.3329999999996</v>
      </c>
      <c r="L25" s="551"/>
      <c r="N25" s="434">
        <v>6025.1994000000004</v>
      </c>
      <c r="O25" s="434"/>
      <c r="P25" s="434"/>
      <c r="Q25" s="552"/>
      <c r="R25" s="434">
        <f t="shared" si="2"/>
        <v>6025.1994000000004</v>
      </c>
      <c r="T25" s="434">
        <f t="shared" si="1"/>
        <v>-582.13359999999921</v>
      </c>
      <c r="U25" s="553">
        <f t="shared" si="3"/>
        <v>-9.6616487082568453E-2</v>
      </c>
      <c r="Y25" s="434">
        <f t="shared" si="4"/>
        <v>6025.1994000000004</v>
      </c>
      <c r="Z25" s="434">
        <f t="shared" si="5"/>
        <v>582.13359999999921</v>
      </c>
      <c r="AD25" s="568"/>
      <c r="AE25" s="568"/>
      <c r="AF25" s="568"/>
      <c r="AG25" s="568"/>
      <c r="AH25" s="568"/>
    </row>
    <row r="26" spans="1:34" s="446" customFormat="1" x14ac:dyDescent="0.25">
      <c r="A26" t="s">
        <v>280</v>
      </c>
      <c r="B26" s="441">
        <f t="shared" si="6"/>
        <v>45404</v>
      </c>
      <c r="C26" s="442">
        <v>2500</v>
      </c>
      <c r="D26" s="443">
        <v>867</v>
      </c>
      <c r="E26" s="443">
        <v>350</v>
      </c>
      <c r="F26" s="443">
        <v>150</v>
      </c>
      <c r="G26" s="444">
        <v>183.333</v>
      </c>
      <c r="H26" s="444">
        <v>1154</v>
      </c>
      <c r="I26" s="560">
        <v>1192</v>
      </c>
      <c r="J26" s="444">
        <v>100</v>
      </c>
      <c r="K26" s="445">
        <f t="shared" si="0"/>
        <v>6496.3330000000005</v>
      </c>
      <c r="L26" s="547"/>
      <c r="N26" s="444">
        <v>6025.1994000000004</v>
      </c>
      <c r="O26" s="444"/>
      <c r="P26" s="444"/>
      <c r="Q26" s="548"/>
      <c r="R26" s="444">
        <f t="shared" si="2"/>
        <v>6025.1994000000004</v>
      </c>
      <c r="T26" s="444">
        <f t="shared" si="1"/>
        <v>-471.13360000000011</v>
      </c>
      <c r="U26" s="549">
        <f t="shared" si="3"/>
        <v>-7.8193860272906507E-2</v>
      </c>
      <c r="V26"/>
      <c r="W26"/>
      <c r="X26"/>
      <c r="Y26" s="444">
        <f t="shared" si="4"/>
        <v>6025.1994000000004</v>
      </c>
      <c r="Z26" s="444">
        <f t="shared" si="5"/>
        <v>471.13360000000011</v>
      </c>
      <c r="AD26" s="82"/>
      <c r="AE26" s="82"/>
      <c r="AF26" s="82"/>
      <c r="AG26" s="82"/>
      <c r="AH26" s="82"/>
    </row>
    <row r="27" spans="1:34" s="446" customFormat="1" x14ac:dyDescent="0.25">
      <c r="A27" s="446" t="s">
        <v>282</v>
      </c>
      <c r="B27" s="441">
        <f t="shared" si="6"/>
        <v>45405</v>
      </c>
      <c r="C27" s="442">
        <v>2500</v>
      </c>
      <c r="D27" s="443">
        <v>878</v>
      </c>
      <c r="E27" s="443">
        <v>350</v>
      </c>
      <c r="F27" s="443">
        <v>150</v>
      </c>
      <c r="G27" s="444">
        <v>183.333</v>
      </c>
      <c r="H27" s="444">
        <v>1154</v>
      </c>
      <c r="I27" s="444">
        <v>1192</v>
      </c>
      <c r="J27" s="444">
        <v>100</v>
      </c>
      <c r="K27" s="445">
        <f t="shared" si="0"/>
        <v>6507.3330000000005</v>
      </c>
      <c r="L27" s="547"/>
      <c r="N27" s="444">
        <v>6025.1994000000004</v>
      </c>
      <c r="O27" s="444"/>
      <c r="P27" s="444"/>
      <c r="Q27" s="548"/>
      <c r="R27" s="444">
        <f t="shared" si="2"/>
        <v>6025.1994000000004</v>
      </c>
      <c r="T27" s="444">
        <f t="shared" si="1"/>
        <v>-482.13360000000011</v>
      </c>
      <c r="U27" s="549">
        <f t="shared" si="3"/>
        <v>-8.0019525992782919E-2</v>
      </c>
      <c r="Y27" s="444">
        <f t="shared" si="4"/>
        <v>6025.1994000000004</v>
      </c>
      <c r="Z27" s="444">
        <f t="shared" si="5"/>
        <v>482.13360000000011</v>
      </c>
      <c r="AD27" s="82"/>
      <c r="AE27" s="82"/>
      <c r="AF27" s="82"/>
      <c r="AG27" s="82"/>
      <c r="AH27" s="82"/>
    </row>
    <row r="28" spans="1:34" s="446" customFormat="1" x14ac:dyDescent="0.25">
      <c r="A28" s="446" t="s">
        <v>283</v>
      </c>
      <c r="B28" s="441">
        <f t="shared" si="6"/>
        <v>45406</v>
      </c>
      <c r="C28" s="442">
        <v>2500</v>
      </c>
      <c r="D28" s="443">
        <v>867</v>
      </c>
      <c r="E28" s="443">
        <v>350</v>
      </c>
      <c r="F28" s="443">
        <v>150</v>
      </c>
      <c r="G28" s="444">
        <v>183.333</v>
      </c>
      <c r="H28" s="444">
        <v>1154</v>
      </c>
      <c r="I28" s="444">
        <v>1192</v>
      </c>
      <c r="J28" s="444">
        <v>100</v>
      </c>
      <c r="K28" s="445">
        <f t="shared" si="0"/>
        <v>6496.3330000000005</v>
      </c>
      <c r="L28" s="547"/>
      <c r="N28" s="444">
        <v>6025.1994000000004</v>
      </c>
      <c r="O28" s="444"/>
      <c r="P28" s="444"/>
      <c r="Q28" s="548"/>
      <c r="R28" s="444">
        <f t="shared" si="2"/>
        <v>6025.1994000000004</v>
      </c>
      <c r="T28" s="444">
        <f t="shared" si="1"/>
        <v>-471.13360000000011</v>
      </c>
      <c r="U28" s="549">
        <f t="shared" si="3"/>
        <v>-7.8193860272906507E-2</v>
      </c>
      <c r="Y28" s="444">
        <f t="shared" si="4"/>
        <v>6025.1994000000004</v>
      </c>
      <c r="Z28" s="444">
        <f t="shared" si="5"/>
        <v>471.13360000000011</v>
      </c>
      <c r="AD28" s="82"/>
      <c r="AE28" s="82"/>
      <c r="AF28" s="82"/>
      <c r="AG28" s="82"/>
      <c r="AH28" s="82"/>
    </row>
    <row r="29" spans="1:34" x14ac:dyDescent="0.25">
      <c r="A29" t="s">
        <v>284</v>
      </c>
      <c r="B29" s="557">
        <f t="shared" si="6"/>
        <v>45407</v>
      </c>
      <c r="C29" s="558">
        <v>2500</v>
      </c>
      <c r="D29" s="559">
        <v>878</v>
      </c>
      <c r="E29" s="559">
        <v>350</v>
      </c>
      <c r="F29" s="559">
        <v>150</v>
      </c>
      <c r="G29" s="560">
        <v>183.333</v>
      </c>
      <c r="H29" s="444">
        <v>1154</v>
      </c>
      <c r="I29" s="560">
        <v>1192</v>
      </c>
      <c r="J29" s="560">
        <v>100</v>
      </c>
      <c r="K29" s="445">
        <f t="shared" si="0"/>
        <v>6507.3330000000005</v>
      </c>
      <c r="L29" s="431"/>
      <c r="N29" s="444">
        <v>6025.1994000000004</v>
      </c>
      <c r="O29" s="444"/>
      <c r="P29" s="444"/>
      <c r="Q29" s="561"/>
      <c r="R29" s="560">
        <f t="shared" si="2"/>
        <v>6025.1994000000004</v>
      </c>
      <c r="T29" s="444">
        <f t="shared" si="1"/>
        <v>-482.13360000000011</v>
      </c>
      <c r="U29" s="562">
        <f t="shared" si="3"/>
        <v>-8.0019525992782919E-2</v>
      </c>
      <c r="Y29" s="444">
        <f t="shared" si="4"/>
        <v>6025.1994000000004</v>
      </c>
      <c r="Z29" s="444">
        <f t="shared" si="5"/>
        <v>482.13360000000011</v>
      </c>
      <c r="AD29" s="1"/>
      <c r="AE29" s="1"/>
      <c r="AF29" s="1"/>
      <c r="AG29" s="1"/>
      <c r="AH29" s="1"/>
    </row>
    <row r="30" spans="1:34" s="446" customFormat="1" x14ac:dyDescent="0.25">
      <c r="A30" t="s">
        <v>273</v>
      </c>
      <c r="B30" s="441">
        <f t="shared" si="6"/>
        <v>45408</v>
      </c>
      <c r="C30" s="442">
        <v>2500</v>
      </c>
      <c r="D30" s="443">
        <v>867</v>
      </c>
      <c r="E30" s="443">
        <v>350</v>
      </c>
      <c r="F30" s="443">
        <v>150</v>
      </c>
      <c r="G30" s="444">
        <v>183.333</v>
      </c>
      <c r="H30" s="444">
        <v>0</v>
      </c>
      <c r="I30" s="560">
        <v>1192</v>
      </c>
      <c r="J30" s="444">
        <v>100</v>
      </c>
      <c r="K30" s="445">
        <f t="shared" si="0"/>
        <v>5342.3330000000005</v>
      </c>
      <c r="L30" s="547"/>
      <c r="N30" s="444">
        <v>4786.7993999999999</v>
      </c>
      <c r="O30" s="444"/>
      <c r="P30" s="444"/>
      <c r="Q30" s="548"/>
      <c r="R30" s="444">
        <f t="shared" si="2"/>
        <v>4786.7993999999999</v>
      </c>
      <c r="T30" s="444">
        <f t="shared" si="1"/>
        <v>-555.53360000000066</v>
      </c>
      <c r="U30" s="549">
        <f t="shared" si="3"/>
        <v>-0.11605533334026921</v>
      </c>
      <c r="V30"/>
      <c r="W30"/>
      <c r="X30"/>
      <c r="Y30" s="444">
        <f t="shared" si="4"/>
        <v>4786.7993999999999</v>
      </c>
      <c r="Z30" s="444">
        <f t="shared" si="5"/>
        <v>555.53360000000066</v>
      </c>
      <c r="AD30" s="1"/>
      <c r="AE30" s="1"/>
      <c r="AF30" s="1"/>
      <c r="AG30" s="1"/>
      <c r="AH30" s="1"/>
    </row>
    <row r="31" spans="1:34" s="447" customFormat="1" x14ac:dyDescent="0.25">
      <c r="A31" s="447" t="s">
        <v>276</v>
      </c>
      <c r="B31" s="432">
        <f t="shared" si="6"/>
        <v>45409</v>
      </c>
      <c r="C31" s="433">
        <v>2500</v>
      </c>
      <c r="D31" s="440">
        <v>878</v>
      </c>
      <c r="E31" s="440">
        <v>350</v>
      </c>
      <c r="F31" s="440">
        <v>150</v>
      </c>
      <c r="G31" s="434">
        <v>183.333</v>
      </c>
      <c r="H31" s="434">
        <v>0</v>
      </c>
      <c r="I31" s="434">
        <v>1192</v>
      </c>
      <c r="J31" s="434">
        <v>100</v>
      </c>
      <c r="K31" s="435">
        <f t="shared" si="0"/>
        <v>5353.3330000000005</v>
      </c>
      <c r="L31" s="551"/>
      <c r="N31" s="434">
        <v>4786.7993999999999</v>
      </c>
      <c r="O31" s="434"/>
      <c r="P31" s="434"/>
      <c r="Q31" s="552"/>
      <c r="R31" s="434">
        <f t="shared" si="2"/>
        <v>4786.7993999999999</v>
      </c>
      <c r="T31" s="434">
        <f t="shared" si="1"/>
        <v>-566.53360000000066</v>
      </c>
      <c r="U31" s="553">
        <f t="shared" si="3"/>
        <v>-0.11835331975682972</v>
      </c>
      <c r="Y31" s="434">
        <f t="shared" si="4"/>
        <v>4786.7993999999999</v>
      </c>
      <c r="Z31" s="434">
        <f t="shared" si="5"/>
        <v>566.53360000000066</v>
      </c>
      <c r="AD31" s="568"/>
      <c r="AE31" s="568"/>
      <c r="AF31" s="568"/>
      <c r="AG31" s="568"/>
      <c r="AH31" s="568"/>
    </row>
    <row r="32" spans="1:34" s="447" customFormat="1" x14ac:dyDescent="0.25">
      <c r="A32" s="447" t="s">
        <v>278</v>
      </c>
      <c r="B32" s="432">
        <f t="shared" si="6"/>
        <v>45410</v>
      </c>
      <c r="C32" s="433">
        <v>2500</v>
      </c>
      <c r="D32" s="440">
        <v>878</v>
      </c>
      <c r="E32" s="440">
        <v>350</v>
      </c>
      <c r="F32" s="440">
        <v>150</v>
      </c>
      <c r="G32" s="434">
        <v>183.333</v>
      </c>
      <c r="H32" s="434">
        <v>0</v>
      </c>
      <c r="I32" s="434">
        <v>1192</v>
      </c>
      <c r="J32" s="434">
        <v>100</v>
      </c>
      <c r="K32" s="435">
        <f t="shared" si="0"/>
        <v>5353.3330000000005</v>
      </c>
      <c r="L32" s="551"/>
      <c r="N32" s="434">
        <v>4786.7993999999999</v>
      </c>
      <c r="O32" s="434"/>
      <c r="P32" s="434"/>
      <c r="Q32" s="552"/>
      <c r="R32" s="434">
        <f t="shared" si="2"/>
        <v>4786.7993999999999</v>
      </c>
      <c r="T32" s="434">
        <f t="shared" si="1"/>
        <v>-566.53360000000066</v>
      </c>
      <c r="U32" s="553">
        <f t="shared" si="3"/>
        <v>-0.11835331975682972</v>
      </c>
      <c r="Y32" s="434">
        <f t="shared" si="4"/>
        <v>4786.7993999999999</v>
      </c>
      <c r="Z32" s="434">
        <f t="shared" si="5"/>
        <v>566.53360000000066</v>
      </c>
      <c r="AD32" s="568"/>
      <c r="AE32" s="568"/>
      <c r="AF32" s="568"/>
      <c r="AG32" s="568"/>
      <c r="AH32" s="568"/>
    </row>
    <row r="33" spans="1:34" s="446" customFormat="1" x14ac:dyDescent="0.25">
      <c r="A33" t="s">
        <v>280</v>
      </c>
      <c r="B33" s="441">
        <f t="shared" si="6"/>
        <v>45411</v>
      </c>
      <c r="C33" s="442">
        <v>2500</v>
      </c>
      <c r="D33" s="443">
        <v>867</v>
      </c>
      <c r="E33" s="443">
        <v>350</v>
      </c>
      <c r="F33" s="443">
        <v>150</v>
      </c>
      <c r="G33" s="444">
        <v>183.333</v>
      </c>
      <c r="H33" s="444">
        <v>0</v>
      </c>
      <c r="I33" s="560">
        <v>1192</v>
      </c>
      <c r="J33" s="444">
        <v>100</v>
      </c>
      <c r="K33" s="445">
        <f t="shared" si="0"/>
        <v>5342.3330000000005</v>
      </c>
      <c r="L33" s="547"/>
      <c r="N33" s="444">
        <v>4786.7993999999999</v>
      </c>
      <c r="O33" s="444"/>
      <c r="P33" s="444"/>
      <c r="Q33" s="548"/>
      <c r="R33" s="444">
        <f t="shared" si="2"/>
        <v>4786.7993999999999</v>
      </c>
      <c r="T33" s="444">
        <f t="shared" si="1"/>
        <v>-555.53360000000066</v>
      </c>
      <c r="U33" s="549">
        <f t="shared" si="3"/>
        <v>-0.11605533334026921</v>
      </c>
      <c r="V33"/>
      <c r="W33"/>
      <c r="X33"/>
      <c r="Y33" s="444">
        <f t="shared" si="4"/>
        <v>4786.7993999999999</v>
      </c>
      <c r="Z33" s="444">
        <f t="shared" si="5"/>
        <v>555.53360000000066</v>
      </c>
      <c r="AD33" s="1"/>
      <c r="AE33" s="1"/>
      <c r="AF33" s="1"/>
      <c r="AG33" s="1"/>
      <c r="AH33" s="1"/>
    </row>
    <row r="34" spans="1:34" s="446" customFormat="1" ht="15.75" thickBot="1" x14ac:dyDescent="0.3">
      <c r="A34" s="446" t="s">
        <v>282</v>
      </c>
      <c r="B34" s="441">
        <f t="shared" si="6"/>
        <v>45412</v>
      </c>
      <c r="C34" s="442">
        <v>2500</v>
      </c>
      <c r="D34" s="443">
        <v>878</v>
      </c>
      <c r="E34" s="443">
        <v>350</v>
      </c>
      <c r="F34" s="443">
        <v>150</v>
      </c>
      <c r="G34" s="444">
        <v>183.333</v>
      </c>
      <c r="H34" s="444"/>
      <c r="I34" s="444">
        <v>1192</v>
      </c>
      <c r="J34" s="444">
        <v>100</v>
      </c>
      <c r="K34" s="445">
        <f t="shared" si="0"/>
        <v>5353.3330000000005</v>
      </c>
      <c r="L34" s="547"/>
      <c r="N34" s="444">
        <v>4786.7993999999999</v>
      </c>
      <c r="O34" s="444"/>
      <c r="P34" s="444"/>
      <c r="Q34" s="548"/>
      <c r="R34" s="444">
        <f t="shared" si="2"/>
        <v>4786.7993999999999</v>
      </c>
      <c r="T34" s="444">
        <f t="shared" si="1"/>
        <v>-566.53360000000066</v>
      </c>
      <c r="U34" s="549">
        <f t="shared" si="3"/>
        <v>-0.11835331975682972</v>
      </c>
      <c r="Y34" s="444">
        <f t="shared" si="4"/>
        <v>4786.7993999999999</v>
      </c>
      <c r="Z34" s="444">
        <f t="shared" si="5"/>
        <v>566.53360000000066</v>
      </c>
      <c r="AD34" s="82"/>
      <c r="AE34" s="82"/>
      <c r="AF34" s="82"/>
      <c r="AG34" s="82"/>
      <c r="AH34" s="82"/>
    </row>
    <row r="35" spans="1:34" ht="15.75" thickBot="1" x14ac:dyDescent="0.3">
      <c r="A35" s="446"/>
      <c r="B35" s="436" t="s">
        <v>158</v>
      </c>
      <c r="C35" s="437">
        <f t="shared" ref="C35:K35" si="7">SUM(C5:C34)</f>
        <v>95000</v>
      </c>
      <c r="D35" s="438">
        <f t="shared" si="7"/>
        <v>26197</v>
      </c>
      <c r="E35" s="438">
        <f t="shared" si="7"/>
        <v>10500</v>
      </c>
      <c r="F35" s="438">
        <f t="shared" si="7"/>
        <v>4500</v>
      </c>
      <c r="G35" s="438">
        <f t="shared" si="7"/>
        <v>5499.9899999999989</v>
      </c>
      <c r="H35" s="438">
        <f t="shared" si="7"/>
        <v>28850</v>
      </c>
      <c r="I35" s="438">
        <f t="shared" si="7"/>
        <v>33376</v>
      </c>
      <c r="J35" s="438">
        <f t="shared" si="7"/>
        <v>3000</v>
      </c>
      <c r="K35" s="439">
        <f t="shared" si="7"/>
        <v>206922.99000000017</v>
      </c>
      <c r="N35" s="438">
        <f>SUM(N5:N34)</f>
        <v>172418.38199999995</v>
      </c>
      <c r="O35" s="438">
        <f>SUM(O5:O34)</f>
        <v>0</v>
      </c>
      <c r="P35" s="438">
        <f>SUM(P5:P34)</f>
        <v>0</v>
      </c>
      <c r="Q35" s="563">
        <f>SUM(Q5:Q34)</f>
        <v>0</v>
      </c>
      <c r="R35" s="438">
        <f>SUM(R5:R34)</f>
        <v>172418.38199999995</v>
      </c>
      <c r="T35" s="438">
        <f>SUM(T5:T34)</f>
        <v>-34504.608000000015</v>
      </c>
      <c r="U35" s="564">
        <f t="shared" si="3"/>
        <v>-0.200121400048865</v>
      </c>
      <c r="Y35" s="438">
        <f>SUM(Y5:Y34)</f>
        <v>172418.38199999995</v>
      </c>
      <c r="Z35" s="438">
        <f>SUM(Z5:Z34)</f>
        <v>34504.608000000015</v>
      </c>
      <c r="AD35" s="1"/>
      <c r="AE35" s="1"/>
      <c r="AF35" s="1"/>
      <c r="AG35" s="1"/>
      <c r="AH35" s="1"/>
    </row>
    <row r="36" spans="1:34" x14ac:dyDescent="0.25">
      <c r="P36" s="431"/>
      <c r="X36" s="431"/>
    </row>
    <row r="37" spans="1:34" x14ac:dyDescent="0.25">
      <c r="P37" s="431"/>
      <c r="X37" s="431"/>
    </row>
    <row r="38" spans="1:34" x14ac:dyDescent="0.25">
      <c r="P38" s="431"/>
      <c r="X38" s="431"/>
    </row>
    <row r="39" spans="1:34" x14ac:dyDescent="0.25">
      <c r="P39" s="431"/>
      <c r="X39" s="431"/>
    </row>
    <row r="40" spans="1:34" ht="15.75" thickBot="1" x14ac:dyDescent="0.3">
      <c r="B40" s="737" t="s">
        <v>246</v>
      </c>
      <c r="C40" s="737"/>
      <c r="D40" s="737"/>
      <c r="E40" s="737"/>
      <c r="F40" s="737"/>
      <c r="G40" s="737"/>
      <c r="H40" s="737"/>
      <c r="I40" s="737"/>
      <c r="J40" s="737"/>
      <c r="K40" s="737"/>
      <c r="N40" s="737" t="s">
        <v>247</v>
      </c>
      <c r="O40" s="737"/>
      <c r="P40" s="737"/>
      <c r="Q40" s="737"/>
      <c r="R40" s="737"/>
    </row>
    <row r="41" spans="1:34" ht="90.75" thickBot="1" x14ac:dyDescent="0.3">
      <c r="B41" s="427" t="s">
        <v>8</v>
      </c>
      <c r="C41" s="428" t="s">
        <v>14</v>
      </c>
      <c r="D41" s="429" t="s">
        <v>15</v>
      </c>
      <c r="E41" s="429" t="s">
        <v>16</v>
      </c>
      <c r="F41" s="429" t="s">
        <v>17</v>
      </c>
      <c r="G41" s="429" t="s">
        <v>240</v>
      </c>
      <c r="H41" s="429" t="s">
        <v>38</v>
      </c>
      <c r="I41" s="429" t="s">
        <v>75</v>
      </c>
      <c r="J41" s="429" t="s">
        <v>241</v>
      </c>
      <c r="K41" s="427" t="s">
        <v>158</v>
      </c>
      <c r="N41" s="429" t="s">
        <v>18</v>
      </c>
      <c r="O41" s="429" t="s">
        <v>242</v>
      </c>
      <c r="P41" s="429" t="s">
        <v>251</v>
      </c>
      <c r="Q41" s="429" t="s">
        <v>269</v>
      </c>
      <c r="R41" s="429" t="s">
        <v>158</v>
      </c>
      <c r="T41" s="430" t="s">
        <v>248</v>
      </c>
      <c r="U41" s="430" t="s">
        <v>249</v>
      </c>
      <c r="V41" s="430" t="s">
        <v>250</v>
      </c>
      <c r="Y41" s="430" t="s">
        <v>243</v>
      </c>
      <c r="Z41" s="430" t="s">
        <v>244</v>
      </c>
    </row>
    <row r="42" spans="1:34" x14ac:dyDescent="0.25">
      <c r="A42" t="s">
        <v>280</v>
      </c>
      <c r="B42" s="441">
        <v>45383</v>
      </c>
      <c r="C42" s="442">
        <f>+Плевен!H4+Плевен!K4</f>
        <v>3130.3580000000002</v>
      </c>
      <c r="D42" s="443">
        <f>+Бургас!E4+Бургас!H4</f>
        <v>854.822</v>
      </c>
      <c r="E42" s="443">
        <f>+'Враца 1'!E4+'Враца 1'!H4</f>
        <v>311.63499999999999</v>
      </c>
      <c r="F42" s="443">
        <f>+'Враца 2'!E4+'Враца 2'!H4</f>
        <v>120.126</v>
      </c>
      <c r="G42" s="444">
        <f>+'Велико Търново'!C4+'Велико Търново'!E4</f>
        <v>77.426000000000002</v>
      </c>
      <c r="H42" s="444">
        <f>+Перник!E4+Перник!G4</f>
        <v>1131.337</v>
      </c>
      <c r="I42" s="444">
        <f>+Русе!E4+Русе!G4</f>
        <v>79.614000000000004</v>
      </c>
      <c r="J42" s="444">
        <f>+'Русе Кемикълс'!E4+Труд!E4+Берус!E4+'Бултекс 1'!E4+'Доминекс про'!E4+РВД!E4+'Тенекс С'!E4+Декотекс!E4+'Нова пауър'!E4+ЕМИ!D4+Алуком!E4+Илинден!E4+'Ваптех АМ'!E4</f>
        <v>82.325999999999993</v>
      </c>
      <c r="K42" s="445">
        <f t="shared" ref="K42:K69" si="8">SUM(C42:J42)</f>
        <v>5787.6440000000011</v>
      </c>
      <c r="L42" s="431"/>
      <c r="N42" s="444">
        <f>+Плевен!H4+Бургас!E4+'Враца 1'!E4+'Враца 2'!E4+Перник!E4+Русе!E4+'Велико Търново'!C4</f>
        <v>4523.6980000000012</v>
      </c>
      <c r="O42" s="444">
        <f>+Цени!E3</f>
        <v>0</v>
      </c>
      <c r="P42" s="444">
        <f>+Цени!C3+Цени!D3+Цени!F3</f>
        <v>15</v>
      </c>
      <c r="Q42" s="444"/>
      <c r="R42" s="444">
        <f>SUM(N42:Q42)</f>
        <v>4538.6980000000012</v>
      </c>
      <c r="S42" s="446"/>
      <c r="T42" s="444">
        <f>+'Борса и балансиране'!C4</f>
        <v>1280</v>
      </c>
      <c r="U42" s="444">
        <f>+('Борса и балансиране'!J4+'Борса и балансиране'!K4)*-1</f>
        <v>-31.054000000000087</v>
      </c>
      <c r="V42" s="444">
        <f t="shared" ref="V42:V71" si="9">+K42-R42-T42-U42</f>
        <v>0</v>
      </c>
      <c r="W42" s="431"/>
      <c r="Y42" s="444">
        <f t="shared" ref="Y42:Y71" si="10">+N42+O42</f>
        <v>4523.6980000000012</v>
      </c>
      <c r="Z42" s="444">
        <f t="shared" ref="Z42:Z71" si="11">+P42+T42</f>
        <v>1295</v>
      </c>
    </row>
    <row r="43" spans="1:34" s="446" customFormat="1" x14ac:dyDescent="0.25">
      <c r="A43" s="446" t="s">
        <v>282</v>
      </c>
      <c r="B43" s="441">
        <f>+B42+1</f>
        <v>45384</v>
      </c>
      <c r="C43" s="442">
        <f>+Плевен!H5+Плевен!K5</f>
        <v>3118.1030000000001</v>
      </c>
      <c r="D43" s="443">
        <f>+Бургас!E5+Бургас!H5</f>
        <v>887.34900000000005</v>
      </c>
      <c r="E43" s="443">
        <f>+'Враца 1'!E5+'Враца 1'!H5</f>
        <v>333.03899999999999</v>
      </c>
      <c r="F43" s="443">
        <f>+'Враца 2'!E5+'Враца 2'!H5</f>
        <v>116.379</v>
      </c>
      <c r="G43" s="444">
        <f>+'Велико Търново'!C5+'Велико Търново'!E5</f>
        <v>0</v>
      </c>
      <c r="H43" s="444">
        <f>+Перник!E5+Перник!G5</f>
        <v>1159.07</v>
      </c>
      <c r="I43" s="444">
        <f>+Русе!E5+Русе!G5</f>
        <v>148.11600000000001</v>
      </c>
      <c r="J43" s="444">
        <f>+'Русе Кемикълс'!E5+Труд!E5+Берус!E5+'Бултекс 1'!E5+'Доминекс про'!E5+РВД!E5+'Тенекс С'!E5+Декотекс!E5+'Нова пауър'!E5+ЕМИ!D5+Алуком!E5+Илинден!E5+'Ваптех АМ'!E5</f>
        <v>70.7</v>
      </c>
      <c r="K43" s="445">
        <f t="shared" si="8"/>
        <v>5832.7559999999994</v>
      </c>
      <c r="N43" s="444">
        <f>+Плевен!H5+Бургас!E5+'Враца 1'!E5+'Враца 2'!E5+Перник!E5+Русе!E5+'Велико Търново'!C5</f>
        <v>4559.1639999999998</v>
      </c>
      <c r="O43" s="444">
        <f>+Цени!E4</f>
        <v>0</v>
      </c>
      <c r="P43" s="444">
        <f>+Цени!C4+Цени!D4+Цени!F4</f>
        <v>15</v>
      </c>
      <c r="Q43" s="444"/>
      <c r="R43" s="444">
        <f t="shared" ref="R43:R71" si="12">SUM(N43:Q43)</f>
        <v>4574.1639999999998</v>
      </c>
      <c r="T43" s="444">
        <f>+'Борса и балансиране'!C5</f>
        <v>1100</v>
      </c>
      <c r="U43" s="444">
        <f>+('Борса и балансиране'!J5+'Борса и балансиране'!K5)*-1</f>
        <v>158.5920000000001</v>
      </c>
      <c r="V43" s="444">
        <f t="shared" si="9"/>
        <v>-4.5474735088646412E-13</v>
      </c>
      <c r="Y43" s="444">
        <f t="shared" si="10"/>
        <v>4559.1639999999998</v>
      </c>
      <c r="Z43" s="444">
        <f t="shared" si="11"/>
        <v>1115</v>
      </c>
    </row>
    <row r="44" spans="1:34" s="446" customFormat="1" x14ac:dyDescent="0.25">
      <c r="A44" s="446" t="s">
        <v>283</v>
      </c>
      <c r="B44" s="441">
        <f t="shared" ref="B44:B71" si="13">+B43+1</f>
        <v>45385</v>
      </c>
      <c r="C44" s="442">
        <f>+Плевен!H6+Плевен!K6</f>
        <v>3151.1640000000002</v>
      </c>
      <c r="D44" s="443">
        <f>+Бургас!E6+Бургас!H6</f>
        <v>862.64699999999993</v>
      </c>
      <c r="E44" s="443">
        <f>+'Враца 1'!E6+'Враца 1'!H6</f>
        <v>337.30900000000003</v>
      </c>
      <c r="F44" s="443">
        <f>+'Враца 2'!E6+'Враца 2'!H6</f>
        <v>116.358</v>
      </c>
      <c r="G44" s="444">
        <f>+'Велико Търново'!C6+'Велико Търново'!E6</f>
        <v>0</v>
      </c>
      <c r="H44" s="444">
        <f>+Перник!E6+Перник!G6</f>
        <v>1157.223</v>
      </c>
      <c r="I44" s="444">
        <f>+Русе!E6+Русе!G6</f>
        <v>1093.269</v>
      </c>
      <c r="J44" s="444">
        <f>+'Русе Кемикълс'!E6+Труд!E6+Берус!E6+'Бултекс 1'!E6+'Доминекс про'!E6+РВД!E6+'Тенекс С'!E6+Декотекс!E6+'Нова пауър'!E6+ЕМИ!D6+Алуком!E6+Илинден!E6+'Ваптех АМ'!E6</f>
        <v>68.150000000000006</v>
      </c>
      <c r="K44" s="445">
        <f t="shared" si="8"/>
        <v>6786.12</v>
      </c>
      <c r="N44" s="444">
        <f>+Плевен!H6+Бургас!E6+'Враца 1'!E6+'Враца 2'!E6+Перник!E6+Русе!E6+'Велико Търново'!C6</f>
        <v>5502.2080000000005</v>
      </c>
      <c r="O44" s="444">
        <f>+Цени!E5</f>
        <v>0</v>
      </c>
      <c r="P44" s="444">
        <f>+Цени!C5+Цени!D5+Цени!F5</f>
        <v>15</v>
      </c>
      <c r="Q44" s="444"/>
      <c r="R44" s="444">
        <f t="shared" si="12"/>
        <v>5517.2080000000005</v>
      </c>
      <c r="T44" s="444">
        <f>+'Борса и балансиране'!C6</f>
        <v>1250</v>
      </c>
      <c r="U44" s="444">
        <f>+('Борса и балансиране'!J6+'Борса и балансиране'!K6)*-1</f>
        <v>18.912000000000035</v>
      </c>
      <c r="V44" s="444">
        <f t="shared" si="9"/>
        <v>-6.8212102632969618E-13</v>
      </c>
      <c r="Y44" s="444">
        <f t="shared" si="10"/>
        <v>5502.2080000000005</v>
      </c>
      <c r="Z44" s="444">
        <f t="shared" si="11"/>
        <v>1265</v>
      </c>
    </row>
    <row r="45" spans="1:34" s="446" customFormat="1" x14ac:dyDescent="0.25">
      <c r="A45" s="446" t="s">
        <v>284</v>
      </c>
      <c r="B45" s="441">
        <f t="shared" si="13"/>
        <v>45386</v>
      </c>
      <c r="C45" s="442">
        <f>+Плевен!H7+Плевен!K7</f>
        <v>3152.509</v>
      </c>
      <c r="D45" s="443">
        <f>+Бургас!E7+Бургас!H7</f>
        <v>833.98399999999992</v>
      </c>
      <c r="E45" s="443">
        <f>+'Враца 1'!E7+'Враца 1'!H7</f>
        <v>340.351</v>
      </c>
      <c r="F45" s="443">
        <f>+'Враца 2'!E7+'Враца 2'!H7</f>
        <v>115.504</v>
      </c>
      <c r="G45" s="444">
        <f>+'Велико Търново'!C7+'Велико Търново'!E7</f>
        <v>0</v>
      </c>
      <c r="H45" s="444">
        <f>+Перник!E7+Перник!G7</f>
        <v>1155.056</v>
      </c>
      <c r="I45" s="444">
        <f>+Русе!E7+Русе!G7</f>
        <v>1256.682</v>
      </c>
      <c r="J45" s="444">
        <f>+'Русе Кемикълс'!E7+Труд!E7+Берус!E7+'Бултекс 1'!E7+'Доминекс про'!E7+РВД!E7+'Тенекс С'!E7+Декотекс!E7+'Нова пауър'!E7+ЕМИ!D7+Алуком!E7+Илинден!E7+'Ваптех АМ'!E7</f>
        <v>81.493000000000009</v>
      </c>
      <c r="K45" s="445">
        <f t="shared" si="8"/>
        <v>6935.5790000000006</v>
      </c>
      <c r="N45" s="444">
        <f>+Плевен!H7+Бургас!E7+'Враца 1'!E7+'Враца 2'!E7+Перник!E7+Русе!E7+'Велико Търново'!C7</f>
        <v>5505.9760000000006</v>
      </c>
      <c r="O45" s="444">
        <f>+Цени!E6</f>
        <v>0</v>
      </c>
      <c r="P45" s="444">
        <f>+Цени!C6+Цени!D6+Цени!F6</f>
        <v>15</v>
      </c>
      <c r="Q45" s="444"/>
      <c r="R45" s="444">
        <f t="shared" si="12"/>
        <v>5520.9760000000006</v>
      </c>
      <c r="T45" s="444">
        <f>+'Борса и балансиране'!C7</f>
        <v>1440</v>
      </c>
      <c r="U45" s="444">
        <f>+('Борса и балансиране'!J7+'Борса и балансиране'!K7)*-1</f>
        <v>-25.396999999999935</v>
      </c>
      <c r="V45" s="444">
        <f t="shared" si="9"/>
        <v>0</v>
      </c>
      <c r="Y45" s="444">
        <f t="shared" si="10"/>
        <v>5505.9760000000006</v>
      </c>
      <c r="Z45" s="444">
        <f t="shared" si="11"/>
        <v>1455</v>
      </c>
    </row>
    <row r="46" spans="1:34" x14ac:dyDescent="0.25">
      <c r="A46" t="s">
        <v>273</v>
      </c>
      <c r="B46" s="441">
        <f t="shared" si="13"/>
        <v>45387</v>
      </c>
      <c r="C46" s="442">
        <f>+Плевен!H8+Плевен!K8</f>
        <v>3164.7959999999998</v>
      </c>
      <c r="D46" s="443">
        <f>+Бургас!E8+Бургас!H8</f>
        <v>857.245</v>
      </c>
      <c r="E46" s="443">
        <f>+'Враца 1'!E8+'Враца 1'!H8</f>
        <v>329.82499999999999</v>
      </c>
      <c r="F46" s="443">
        <f>+'Враца 2'!E8+'Враца 2'!H8</f>
        <v>119.24</v>
      </c>
      <c r="G46" s="444">
        <f>+'Велико Търново'!C8+'Велико Търново'!E8</f>
        <v>118.535</v>
      </c>
      <c r="H46" s="444">
        <f>+Перник!E8+Перник!G8</f>
        <v>1104.6379999999999</v>
      </c>
      <c r="I46" s="444">
        <f>+Русе!E8+Русе!G8</f>
        <v>1257.067</v>
      </c>
      <c r="J46" s="444">
        <f>+'Русе Кемикълс'!E8+Труд!E8+Берус!E8+'Бултекс 1'!E8+'Доминекс про'!E8+РВД!E8+'Тенекс С'!E8+Декотекс!E8+'Нова пауър'!E8+ЕМИ!D8+Алуком!E8+Илинден!E8+'Ваптех АМ'!E8</f>
        <v>68.234000000000009</v>
      </c>
      <c r="K46" s="445">
        <f t="shared" si="8"/>
        <v>7019.58</v>
      </c>
      <c r="N46" s="444">
        <f>+Плевен!H8+Бургас!E8+'Враца 1'!E8+'Враца 2'!E8+Перник!E8+Русе!E8+'Велико Търново'!C8</f>
        <v>5561.1579999999994</v>
      </c>
      <c r="O46" s="444">
        <f>+Цени!E7</f>
        <v>0</v>
      </c>
      <c r="P46" s="444">
        <f>+Цени!C7+Цени!D7+Цени!F7</f>
        <v>15</v>
      </c>
      <c r="Q46" s="444"/>
      <c r="R46" s="444">
        <f t="shared" si="12"/>
        <v>5576.1579999999994</v>
      </c>
      <c r="S46" s="446"/>
      <c r="T46" s="444">
        <f>+'Борса и балансиране'!C8</f>
        <v>1327</v>
      </c>
      <c r="U46" s="444">
        <f>+('Борса и балансиране'!J8+'Борса и балансиране'!K8)*-1</f>
        <v>116.42200000000003</v>
      </c>
      <c r="V46" s="444">
        <f t="shared" si="9"/>
        <v>4.5474735088646412E-13</v>
      </c>
      <c r="Y46" s="444">
        <f t="shared" si="10"/>
        <v>5561.1579999999994</v>
      </c>
      <c r="Z46" s="444">
        <f t="shared" si="11"/>
        <v>1342</v>
      </c>
    </row>
    <row r="47" spans="1:34" s="447" customFormat="1" x14ac:dyDescent="0.25">
      <c r="A47" s="447" t="s">
        <v>276</v>
      </c>
      <c r="B47" s="432">
        <f t="shared" si="13"/>
        <v>45388</v>
      </c>
      <c r="C47" s="433">
        <f>+Плевен!H9+Плевен!K9</f>
        <v>3131.7030000000004</v>
      </c>
      <c r="D47" s="440">
        <f>+Бургас!E9+Бургас!H9</f>
        <v>884.56299999999999</v>
      </c>
      <c r="E47" s="440">
        <f>+'Враца 1'!E9+'Враца 1'!H9</f>
        <v>332.04599999999999</v>
      </c>
      <c r="F47" s="440">
        <f>+'Враца 2'!E9+'Враца 2'!H9</f>
        <v>118.226</v>
      </c>
      <c r="G47" s="434">
        <f>+'Велико Търново'!C9+'Велико Търново'!E9</f>
        <v>212.79499999999999</v>
      </c>
      <c r="H47" s="434">
        <f>+Перник!E9+Перник!G9</f>
        <v>1154.0419999999999</v>
      </c>
      <c r="I47" s="434">
        <f>+Русе!E9+Русе!G9</f>
        <v>1228.33</v>
      </c>
      <c r="J47" s="434">
        <f>+'Русе Кемикълс'!E9+Труд!E9+Берус!E9+'Бултекс 1'!E9+'Доминекс про'!E9+РВД!E9+'Тенекс С'!E9+Декотекс!E9+'Нова пауър'!E9+ЕМИ!D9+Алуком!E9+Илинден!E9+'Ваптех АМ'!E9</f>
        <v>67.69</v>
      </c>
      <c r="K47" s="435">
        <f t="shared" si="8"/>
        <v>7129.3949999999995</v>
      </c>
      <c r="N47" s="434">
        <f>+Плевен!H9+Бургас!E9+'Враца 1'!E9+'Враца 2'!E9+Перник!E9+Русе!E9+'Велико Търново'!C9</f>
        <v>5624.0869999999995</v>
      </c>
      <c r="O47" s="434">
        <f>+Цени!E8</f>
        <v>0</v>
      </c>
      <c r="P47" s="434">
        <f>+Цени!C8+Цени!D8+Цени!F8</f>
        <v>15</v>
      </c>
      <c r="Q47" s="434"/>
      <c r="R47" s="434">
        <f t="shared" si="12"/>
        <v>5639.0869999999995</v>
      </c>
      <c r="T47" s="434">
        <f>+'Борса и балансиране'!C9</f>
        <v>1435</v>
      </c>
      <c r="U47" s="434">
        <f>+('Борса и балансиране'!J9+'Борса и балансиране'!K9)*-1</f>
        <v>55.307999999999993</v>
      </c>
      <c r="V47" s="434">
        <f t="shared" si="9"/>
        <v>0</v>
      </c>
      <c r="Y47" s="434">
        <f t="shared" si="10"/>
        <v>5624.0869999999995</v>
      </c>
      <c r="Z47" s="434">
        <f t="shared" si="11"/>
        <v>1450</v>
      </c>
    </row>
    <row r="48" spans="1:34" s="447" customFormat="1" x14ac:dyDescent="0.25">
      <c r="A48" s="447" t="s">
        <v>278</v>
      </c>
      <c r="B48" s="432">
        <f t="shared" si="13"/>
        <v>45389</v>
      </c>
      <c r="C48" s="433">
        <f>+Плевен!H10+Плевен!K10</f>
        <v>3125.6190000000001</v>
      </c>
      <c r="D48" s="440">
        <f>+Бургас!E10+Бургас!H10</f>
        <v>871.63499999999999</v>
      </c>
      <c r="E48" s="440">
        <f>+'Враца 1'!E10+'Враца 1'!H10</f>
        <v>341.226</v>
      </c>
      <c r="F48" s="440">
        <f>+'Враца 2'!E10+'Враца 2'!H10</f>
        <v>116.21899999999999</v>
      </c>
      <c r="G48" s="434">
        <f>+'Велико Търново'!C10+'Велико Търново'!E10</f>
        <v>217.20400000000001</v>
      </c>
      <c r="H48" s="434">
        <f>+Перник!E10+Перник!G10</f>
        <v>1153.818</v>
      </c>
      <c r="I48" s="434">
        <f>+Русе!E10+Русе!G10</f>
        <v>1213.78</v>
      </c>
      <c r="J48" s="434">
        <f>+'Русе Кемикълс'!E10+Труд!E10+Берус!E10+'Бултекс 1'!E10+'Доминекс про'!E10+РВД!E10+'Тенекс С'!E10+Декотекс!E10+'Нова пауър'!E10+ЕМИ!D10+Алуком!E10+Илинден!E10+'Ваптех АМ'!E10</f>
        <v>44.878</v>
      </c>
      <c r="K48" s="435">
        <f t="shared" si="8"/>
        <v>7084.378999999999</v>
      </c>
      <c r="N48" s="434">
        <f>+Плевен!H10+Бургас!E10+'Враца 1'!E10+'Враца 2'!E10+Перник!E10+Русе!E10+'Велико Търново'!C10</f>
        <v>5614.4050000000007</v>
      </c>
      <c r="O48" s="434">
        <f>+Цени!E9</f>
        <v>0</v>
      </c>
      <c r="P48" s="434">
        <f>+Цени!C9+Цени!D9+Цени!F9</f>
        <v>15</v>
      </c>
      <c r="Q48" s="434"/>
      <c r="R48" s="434">
        <f t="shared" si="12"/>
        <v>5629.4050000000007</v>
      </c>
      <c r="T48" s="434">
        <f>+'Борса и балансиране'!C10</f>
        <v>1400</v>
      </c>
      <c r="U48" s="434">
        <f>+('Борса и балансиране'!J10+'Борса и балансиране'!K10)*-1</f>
        <v>54.973999999999933</v>
      </c>
      <c r="V48" s="434">
        <f t="shared" si="9"/>
        <v>-1.5916157281026244E-12</v>
      </c>
      <c r="Y48" s="434">
        <f t="shared" si="10"/>
        <v>5614.4050000000007</v>
      </c>
      <c r="Z48" s="434">
        <f t="shared" si="11"/>
        <v>1415</v>
      </c>
    </row>
    <row r="49" spans="1:29" x14ac:dyDescent="0.25">
      <c r="A49" t="s">
        <v>280</v>
      </c>
      <c r="B49" s="441">
        <f t="shared" si="13"/>
        <v>45390</v>
      </c>
      <c r="C49" s="442">
        <f>+Плевен!H11+Плевен!K11</f>
        <v>3157.5050000000001</v>
      </c>
      <c r="D49" s="443">
        <f>+Бургас!E11+Бургас!H11</f>
        <v>741.45399999999995</v>
      </c>
      <c r="E49" s="443">
        <f>+'Враца 1'!E11+'Враца 1'!H11</f>
        <v>333.65800000000002</v>
      </c>
      <c r="F49" s="443">
        <f>+'Враца 2'!E11+'Враца 2'!H11</f>
        <v>114.92700000000001</v>
      </c>
      <c r="G49" s="444">
        <f>+'Велико Търново'!C11+'Велико Търново'!E11</f>
        <v>208.995</v>
      </c>
      <c r="H49" s="444">
        <f>+Перник!E11+Перник!G11</f>
        <v>1133.482</v>
      </c>
      <c r="I49" s="444">
        <f>+Русе!E11+Русе!G11</f>
        <v>1295.7529999999999</v>
      </c>
      <c r="J49" s="444">
        <f>+'Русе Кемикълс'!E11+Труд!E11+Берус!E11+'Бултекс 1'!E11+'Доминекс про'!E11+РВД!E11+'Тенекс С'!E11+Декотекс!E11+'Нова пауър'!E11+ЕМИ!D11+Алуком!E11+Илинден!E11+'Ваптех АМ'!E11</f>
        <v>74.191000000000003</v>
      </c>
      <c r="K49" s="445">
        <f t="shared" si="8"/>
        <v>7059.9649999999992</v>
      </c>
      <c r="L49" s="431"/>
      <c r="N49" s="444">
        <f>+Плевен!H11+Бургас!E11+'Враца 1'!E11+'Враца 2'!E11+Перник!E11+Русе!E11+'Велико Търново'!C11</f>
        <v>5664.0780000000004</v>
      </c>
      <c r="O49" s="444">
        <f>+Цени!E10</f>
        <v>0</v>
      </c>
      <c r="P49" s="444">
        <f>+Цени!C10+Цени!D10+Цени!F10</f>
        <v>15</v>
      </c>
      <c r="Q49" s="444"/>
      <c r="R49" s="444">
        <f t="shared" si="12"/>
        <v>5679.0780000000004</v>
      </c>
      <c r="S49" s="446"/>
      <c r="T49" s="444">
        <f>+'Борса и балансиране'!C11</f>
        <v>1300</v>
      </c>
      <c r="U49" s="444">
        <f>+('Борса и балансиране'!J11+'Борса и балансиране'!K11)*-1</f>
        <v>80.887000000000171</v>
      </c>
      <c r="V49" s="444">
        <f t="shared" si="9"/>
        <v>-1.3642420526593924E-12</v>
      </c>
      <c r="Y49" s="444">
        <f t="shared" si="10"/>
        <v>5664.0780000000004</v>
      </c>
      <c r="Z49" s="444">
        <f t="shared" si="11"/>
        <v>1315</v>
      </c>
    </row>
    <row r="50" spans="1:29" s="446" customFormat="1" x14ac:dyDescent="0.25">
      <c r="A50" s="446" t="s">
        <v>282</v>
      </c>
      <c r="B50" s="441">
        <f t="shared" si="13"/>
        <v>45391</v>
      </c>
      <c r="C50" s="442">
        <f>+Плевен!H12+Плевен!K12</f>
        <v>3150.1610000000001</v>
      </c>
      <c r="D50" s="443">
        <f>+Бургас!E12+Бургас!H12</f>
        <v>725.27</v>
      </c>
      <c r="E50" s="443">
        <f>+'Враца 1'!E12+'Враца 1'!H12</f>
        <v>327.89299999999997</v>
      </c>
      <c r="F50" s="443">
        <f>+'Враца 2'!E12+'Враца 2'!H12</f>
        <v>120.47799999999999</v>
      </c>
      <c r="G50" s="444">
        <f>+'Велико Търново'!C12+'Велико Търново'!E12</f>
        <v>216.07300000000001</v>
      </c>
      <c r="H50" s="444">
        <f>+Перник!E12+Перник!G12</f>
        <v>1171.934</v>
      </c>
      <c r="I50" s="444">
        <f>+Русе!E12+Русе!G12</f>
        <v>1269.8019999999999</v>
      </c>
      <c r="J50" s="444">
        <f>+'Русе Кемикълс'!E12+Труд!E12+Берус!E12+'Бултекс 1'!E12+'Доминекс про'!E12+РВД!E12+'Тенекс С'!E12+Декотекс!E12+'Нова пауър'!E12+ЕМИ!D12+Алуком!E12+Илинден!E12+'Ваптех АМ'!E12</f>
        <v>65.384</v>
      </c>
      <c r="K50" s="445">
        <f t="shared" si="8"/>
        <v>7046.9949999999999</v>
      </c>
      <c r="N50" s="444">
        <f>+Плевен!H12+Бургас!E12+'Враца 1'!E12+'Враца 2'!E12+Перник!E12+Русе!E12+'Велико Търново'!C12</f>
        <v>5645.5650000000005</v>
      </c>
      <c r="O50" s="444">
        <f>+Цени!E11</f>
        <v>0</v>
      </c>
      <c r="P50" s="444">
        <f>+Цени!C11+Цени!D11+Цени!F11</f>
        <v>15</v>
      </c>
      <c r="Q50" s="444"/>
      <c r="R50" s="444">
        <f t="shared" si="12"/>
        <v>5660.5650000000005</v>
      </c>
      <c r="T50" s="444">
        <f>+'Борса и балансиране'!C12</f>
        <v>1380</v>
      </c>
      <c r="U50" s="444">
        <f>+('Борса и балансиране'!J12+'Борса и балансиране'!K12)*-1</f>
        <v>6.4300000000000637</v>
      </c>
      <c r="V50" s="444">
        <f t="shared" si="9"/>
        <v>-6.8212102632969618E-13</v>
      </c>
      <c r="Y50" s="444">
        <f t="shared" si="10"/>
        <v>5645.5650000000005</v>
      </c>
      <c r="Z50" s="444">
        <f t="shared" si="11"/>
        <v>1395</v>
      </c>
    </row>
    <row r="51" spans="1:29" s="446" customFormat="1" x14ac:dyDescent="0.25">
      <c r="A51" s="446" t="s">
        <v>283</v>
      </c>
      <c r="B51" s="441">
        <f t="shared" si="13"/>
        <v>45392</v>
      </c>
      <c r="C51" s="442">
        <f>+Плевен!H13+Плевен!K13</f>
        <v>3155.6050000000005</v>
      </c>
      <c r="D51" s="443">
        <f>+Бургас!E13+Бургас!H13</f>
        <v>733.82099999999991</v>
      </c>
      <c r="E51" s="443">
        <f>+'Враца 1'!E13+'Враца 1'!H13</f>
        <v>331.608</v>
      </c>
      <c r="F51" s="443">
        <f>+'Враца 2'!E13+'Враца 2'!H13</f>
        <v>102.83199999999999</v>
      </c>
      <c r="G51" s="444">
        <f>+'Велико Търново'!C13+'Велико Търново'!E13</f>
        <v>213.703</v>
      </c>
      <c r="H51" s="444">
        <f>+Перник!E13+Перник!G13</f>
        <v>1152.43</v>
      </c>
      <c r="I51" s="444">
        <f>+Русе!E13+Русе!G13</f>
        <v>1253.5119999999999</v>
      </c>
      <c r="J51" s="444">
        <f>+'Русе Кемикълс'!E13+Труд!E13+Берус!E13+'Бултекс 1'!E13+'Доминекс про'!E13+РВД!E13+'Тенекс С'!E13+Декотекс!E13+'Нова пауър'!E13+ЕМИ!D13+Алуком!E13+Илинден!E13+'Ваптех АМ'!E13</f>
        <v>71.361999999999995</v>
      </c>
      <c r="K51" s="445">
        <f t="shared" si="8"/>
        <v>7014.8730000000014</v>
      </c>
      <c r="N51" s="444">
        <f>+Плевен!H13+Бургас!E13+'Враца 1'!E13+'Враца 2'!E13+Перник!E13+Русе!E13+'Велико Търново'!C13</f>
        <v>5622.3690000000006</v>
      </c>
      <c r="O51" s="444">
        <f>+Цени!E12</f>
        <v>0</v>
      </c>
      <c r="P51" s="444">
        <f>+Цени!C12+Цени!D12+Цени!F12</f>
        <v>15</v>
      </c>
      <c r="Q51" s="444"/>
      <c r="R51" s="444">
        <f t="shared" si="12"/>
        <v>5637.3690000000006</v>
      </c>
      <c r="T51" s="444">
        <f>+'Борса и балансиране'!C13</f>
        <v>1300</v>
      </c>
      <c r="U51" s="444">
        <f>+('Борса и балансиране'!J13+'Борса и балансиране'!K13)*-1</f>
        <v>77.504000000000133</v>
      </c>
      <c r="V51" s="444">
        <f t="shared" si="9"/>
        <v>6.8212102632969618E-13</v>
      </c>
      <c r="Y51" s="444">
        <f t="shared" si="10"/>
        <v>5622.3690000000006</v>
      </c>
      <c r="Z51" s="444">
        <f t="shared" si="11"/>
        <v>1315</v>
      </c>
    </row>
    <row r="52" spans="1:29" s="446" customFormat="1" x14ac:dyDescent="0.25">
      <c r="A52" t="s">
        <v>284</v>
      </c>
      <c r="B52" s="441">
        <f t="shared" si="13"/>
        <v>45393</v>
      </c>
      <c r="C52" s="442">
        <f>+Плевен!H14+Плевен!K14</f>
        <v>3152.6469999999999</v>
      </c>
      <c r="D52" s="443">
        <f>+Бургас!E14+Бургас!H14</f>
        <v>728.548</v>
      </c>
      <c r="E52" s="443">
        <f>+'Враца 1'!E14+'Враца 1'!H14</f>
        <v>332.71800000000002</v>
      </c>
      <c r="F52" s="443">
        <f>+'Враца 2'!E14+'Враца 2'!H14</f>
        <v>121.941</v>
      </c>
      <c r="G52" s="444">
        <f>+'Велико Търново'!C14+'Велико Търново'!E14</f>
        <v>212.208</v>
      </c>
      <c r="H52" s="444">
        <f>+Перник!E14+Перник!G14</f>
        <v>1157.0419999999999</v>
      </c>
      <c r="I52" s="444">
        <f>+Русе!E14+Русе!G14</f>
        <v>1286.434</v>
      </c>
      <c r="J52" s="444">
        <f>+'Русе Кемикълс'!E14+Труд!E14+Берус!E14+'Бултекс 1'!E14+'Доминекс про'!E14+РВД!E14+'Тенекс С'!E14+Декотекс!E14+'Нова пауър'!E14+ЕМИ!D14+Алуком!E14+Илинден!E14+'Ваптех АМ'!E14</f>
        <v>74.213000000000008</v>
      </c>
      <c r="K52" s="445">
        <f t="shared" si="8"/>
        <v>7065.7509999999993</v>
      </c>
      <c r="N52" s="444">
        <f>+Плевен!H14+Бургас!E14+'Враца 1'!E14+'Враца 2'!E14+Перник!E14+Русе!E14+'Велико Търново'!C14</f>
        <v>5672.0509999999995</v>
      </c>
      <c r="O52" s="444">
        <f>+Цени!E13</f>
        <v>0</v>
      </c>
      <c r="P52" s="444">
        <f>+Цени!C13+Цени!D13+Цени!F13</f>
        <v>15</v>
      </c>
      <c r="Q52" s="444"/>
      <c r="R52" s="444">
        <f t="shared" si="12"/>
        <v>5687.0509999999995</v>
      </c>
      <c r="T52" s="444">
        <f>+'Борса и балансиране'!C14</f>
        <v>1350</v>
      </c>
      <c r="U52" s="444">
        <f>+('Борса и балансиране'!J14+'Борса и балансиране'!K14)*-1</f>
        <v>28.699999999999818</v>
      </c>
      <c r="V52" s="444">
        <f t="shared" si="9"/>
        <v>0</v>
      </c>
      <c r="Y52" s="444">
        <f t="shared" si="10"/>
        <v>5672.0509999999995</v>
      </c>
      <c r="Z52" s="444">
        <f t="shared" si="11"/>
        <v>1365</v>
      </c>
    </row>
    <row r="53" spans="1:29" x14ac:dyDescent="0.25">
      <c r="A53" t="s">
        <v>273</v>
      </c>
      <c r="B53" s="441">
        <f t="shared" si="13"/>
        <v>45394</v>
      </c>
      <c r="C53" s="442">
        <f>+Плевен!H15+Плевен!K15</f>
        <v>2772.308</v>
      </c>
      <c r="D53" s="443">
        <f>+Бургас!E15+Бургас!H15</f>
        <v>735.0809999999999</v>
      </c>
      <c r="E53" s="443">
        <f>+'Враца 1'!E15+'Враца 1'!H15</f>
        <v>330.61500000000001</v>
      </c>
      <c r="F53" s="443">
        <f>+'Враца 2'!E15+'Враца 2'!H15</f>
        <v>117.233</v>
      </c>
      <c r="G53" s="444">
        <f>+'Велико Търново'!C15+'Велико Търново'!E15</f>
        <v>206.41200000000001</v>
      </c>
      <c r="H53" s="444">
        <f>+Перник!E15+Перник!G15</f>
        <v>1152.3019999999999</v>
      </c>
      <c r="I53" s="444">
        <f>+Русе!E15+Русе!G15</f>
        <v>1260.0239999999999</v>
      </c>
      <c r="J53" s="444">
        <f>+'Русе Кемикълс'!E15+Труд!E15+Берус!E15+'Бултекс 1'!E15+'Доминекс про'!E15+РВД!E15+'Тенекс С'!E15+Декотекс!E15+'Нова пауър'!E15+ЕМИ!D15+Алуком!E15+Илинден!E15+'Ваптех АМ'!E15</f>
        <v>113.01599999999999</v>
      </c>
      <c r="K53" s="445">
        <f t="shared" si="8"/>
        <v>6686.991</v>
      </c>
      <c r="N53" s="444">
        <f>+Плевен!H15+Бургас!E15+'Враца 1'!E15+'Враца 2'!E15+Перник!E15+Русе!E15+'Велико Търново'!C15</f>
        <v>5641.2220000000007</v>
      </c>
      <c r="O53" s="444">
        <f>+Цени!E14</f>
        <v>0</v>
      </c>
      <c r="P53" s="444">
        <f>+Цени!C14+Цени!D14+Цени!F14</f>
        <v>15</v>
      </c>
      <c r="Q53" s="444"/>
      <c r="R53" s="444">
        <f t="shared" si="12"/>
        <v>5656.2220000000007</v>
      </c>
      <c r="S53" s="446"/>
      <c r="T53" s="444">
        <f>+'Борса и балансиране'!C15</f>
        <v>1180</v>
      </c>
      <c r="U53" s="444">
        <f>+('Борса и балансиране'!J15+'Борса и балансиране'!K15)*-1</f>
        <v>0.76899999999977808</v>
      </c>
      <c r="V53" s="444">
        <f t="shared" si="9"/>
        <v>-150.00000000000045</v>
      </c>
      <c r="Y53" s="444">
        <f t="shared" si="10"/>
        <v>5641.2220000000007</v>
      </c>
      <c r="Z53" s="444">
        <f t="shared" si="11"/>
        <v>1195</v>
      </c>
    </row>
    <row r="54" spans="1:29" s="447" customFormat="1" x14ac:dyDescent="0.25">
      <c r="A54" s="447" t="s">
        <v>276</v>
      </c>
      <c r="B54" s="432">
        <f t="shared" si="13"/>
        <v>45395</v>
      </c>
      <c r="C54" s="433">
        <f>+Плевен!H16+Плевен!K16</f>
        <v>1953.258</v>
      </c>
      <c r="D54" s="440">
        <f>+Бургас!E16+Бургас!H16</f>
        <v>734.952</v>
      </c>
      <c r="E54" s="440">
        <f>+'Враца 1'!E16+'Враца 1'!H16</f>
        <v>324.81900000000002</v>
      </c>
      <c r="F54" s="440">
        <f>+'Враца 2'!E16+'Враца 2'!H16</f>
        <v>120.20099999999999</v>
      </c>
      <c r="G54" s="434">
        <f>+'Велико Търново'!C16+'Велико Търново'!E16</f>
        <v>220.69499999999999</v>
      </c>
      <c r="H54" s="434">
        <f>+Перник!E16+Перник!G16</f>
        <v>1147.2</v>
      </c>
      <c r="I54" s="434">
        <f>+Русе!E16+Русе!G16</f>
        <v>1200.8630000000001</v>
      </c>
      <c r="J54" s="434">
        <f>+'Русе Кемикълс'!E16+Труд!E16+Берус!E16+'Бултекс 1'!E16+'Доминекс про'!E16+РВД!E16+'Тенекс С'!E16+Декотекс!E16+'Нова пауър'!E16+ЕМИ!D16+Алуком!E16+Илинден!E16+'Ваптех АМ'!E16</f>
        <v>34.683</v>
      </c>
      <c r="K54" s="435">
        <f t="shared" si="8"/>
        <v>5736.6710000000003</v>
      </c>
      <c r="N54" s="434">
        <f>+Плевен!H16+Бургас!E16+'Враца 1'!E16+'Враца 2'!E16+Перник!E16+Русе!E16+'Велико Търново'!C16</f>
        <v>5458.5470000000005</v>
      </c>
      <c r="O54" s="434">
        <f>+Цени!E15</f>
        <v>0</v>
      </c>
      <c r="P54" s="434">
        <f>+Цени!C15+Цени!D15+Цени!F15</f>
        <v>15</v>
      </c>
      <c r="Q54" s="434"/>
      <c r="R54" s="434">
        <f t="shared" si="12"/>
        <v>5473.5470000000005</v>
      </c>
      <c r="T54" s="434">
        <f>+'Борса и балансиране'!C16</f>
        <v>230</v>
      </c>
      <c r="U54" s="434">
        <f>+('Борса и балансиране'!J16+'Борса и балансиране'!K16)*-1</f>
        <v>33.123999999999967</v>
      </c>
      <c r="V54" s="434">
        <f t="shared" si="9"/>
        <v>-1.7053025658242404E-13</v>
      </c>
      <c r="Y54" s="434">
        <f t="shared" si="10"/>
        <v>5458.5470000000005</v>
      </c>
      <c r="Z54" s="434">
        <f t="shared" si="11"/>
        <v>245</v>
      </c>
    </row>
    <row r="55" spans="1:29" s="447" customFormat="1" x14ac:dyDescent="0.25">
      <c r="A55" s="447" t="s">
        <v>278</v>
      </c>
      <c r="B55" s="432">
        <f t="shared" si="13"/>
        <v>45396</v>
      </c>
      <c r="C55" s="433">
        <f>+Плевен!H17+Плевен!K17</f>
        <v>1979.3910000000001</v>
      </c>
      <c r="D55" s="440">
        <f>+Бургас!E17+Бургас!H17</f>
        <v>732.89199999999994</v>
      </c>
      <c r="E55" s="440">
        <f>+'Враца 1'!E17+'Враца 1'!H17</f>
        <v>334.27699999999999</v>
      </c>
      <c r="F55" s="440">
        <f>+'Враца 2'!E17+'Враца 2'!H17</f>
        <v>119.806</v>
      </c>
      <c r="G55" s="434">
        <f>+'Велико Търново'!C17+'Велико Търново'!E17</f>
        <v>219.71299999999999</v>
      </c>
      <c r="H55" s="434">
        <f>+Перник!E17+Перник!G17</f>
        <v>1153.8389999999999</v>
      </c>
      <c r="I55" s="434">
        <f>+Русе!E17+Русе!G17</f>
        <v>1181.7650000000001</v>
      </c>
      <c r="J55" s="434">
        <f>+'Русе Кемикълс'!E17+Труд!E17+Берус!E17+'Бултекс 1'!E17+'Доминекс про'!E17+РВД!E17+'Тенекс С'!E17+Декотекс!E17+'Нова пауър'!E17+ЕМИ!D17+Алуком!E17+Илинден!E17+'Ваптех АМ'!E17</f>
        <v>17.881</v>
      </c>
      <c r="K55" s="435">
        <f t="shared" si="8"/>
        <v>5739.5640000000003</v>
      </c>
      <c r="N55" s="434">
        <f>+Плевен!H17+Бургас!E17+'Враца 1'!E17+'Враца 2'!E17+Перник!E17+Русе!E17+'Велико Търново'!C17</f>
        <v>5482.1779999999999</v>
      </c>
      <c r="O55" s="434">
        <f>+Цени!E16</f>
        <v>0</v>
      </c>
      <c r="P55" s="434">
        <f>+Цени!C16+Цени!D16+Цени!F16</f>
        <v>15</v>
      </c>
      <c r="Q55" s="434"/>
      <c r="R55" s="434">
        <f t="shared" si="12"/>
        <v>5497.1779999999999</v>
      </c>
      <c r="T55" s="434">
        <f>+'Борса и балансиране'!C17</f>
        <v>210</v>
      </c>
      <c r="U55" s="434">
        <f>+('Борса и балансиране'!J17+'Борса и балансиране'!K17)*-1</f>
        <v>32.385999999999967</v>
      </c>
      <c r="V55" s="434">
        <f t="shared" si="9"/>
        <v>4.5474735088646412E-13</v>
      </c>
      <c r="Y55" s="434">
        <f t="shared" si="10"/>
        <v>5482.1779999999999</v>
      </c>
      <c r="Z55" s="434">
        <f t="shared" si="11"/>
        <v>225</v>
      </c>
    </row>
    <row r="56" spans="1:29" x14ac:dyDescent="0.25">
      <c r="A56" t="s">
        <v>280</v>
      </c>
      <c r="B56" s="441">
        <f t="shared" si="13"/>
        <v>45397</v>
      </c>
      <c r="C56" s="442">
        <f>+Плевен!H18+Плевен!K18</f>
        <v>1972.345</v>
      </c>
      <c r="D56" s="443">
        <f>+Бургас!E18+Бургас!H18</f>
        <v>676.37899999999991</v>
      </c>
      <c r="E56" s="443">
        <f>+'Враца 1'!E18+'Враца 1'!H18</f>
        <v>309.10500000000002</v>
      </c>
      <c r="F56" s="443">
        <f>+'Враца 2'!E18+'Враца 2'!H18</f>
        <v>121.471</v>
      </c>
      <c r="G56" s="444">
        <f>+'Велико Търново'!C18+'Велико Търново'!E18</f>
        <v>206.15600000000001</v>
      </c>
      <c r="H56" s="444">
        <f>+Перник!E18+Перник!G18</f>
        <v>1151.3409999999999</v>
      </c>
      <c r="I56" s="444">
        <f>+Русе!E18+Русе!G18</f>
        <v>1207.4390000000001</v>
      </c>
      <c r="J56" s="444">
        <f>+'Русе Кемикълс'!E18+Труд!E18+Берус!E18+'Бултекс 1'!E18+'Доминекс про'!E18+РВД!E18+'Тенекс С'!E18+Декотекс!E18+'Нова пауър'!E18+ЕМИ!D18+Алуком!E18+Илинден!E18+'Ваптех АМ'!E18</f>
        <v>84.472999999999999</v>
      </c>
      <c r="K56" s="445">
        <f t="shared" si="8"/>
        <v>5728.7090000000007</v>
      </c>
      <c r="N56" s="444">
        <f>+Плевен!H18+Бургас!E18+'Враца 1'!E18+'Враца 2'!E18+Перник!E18+Русе!E18+'Велико Търново'!C18</f>
        <v>5425.0909999999994</v>
      </c>
      <c r="O56" s="444">
        <f>+Цени!E17</f>
        <v>0</v>
      </c>
      <c r="P56" s="444">
        <f>+Цени!C17+Цени!D17+Цени!F17</f>
        <v>15</v>
      </c>
      <c r="Q56" s="444"/>
      <c r="R56" s="444">
        <f t="shared" si="12"/>
        <v>5440.0909999999994</v>
      </c>
      <c r="S56" s="446"/>
      <c r="T56" s="444">
        <f>+'Борса и балансиране'!C18</f>
        <v>280</v>
      </c>
      <c r="U56" s="444">
        <f>+('Борса и балансиране'!J18+'Борса и балансиране'!K18)*-1</f>
        <v>8.617999999999995</v>
      </c>
      <c r="V56" s="444">
        <f t="shared" si="9"/>
        <v>1.3073986337985843E-12</v>
      </c>
      <c r="Y56" s="444">
        <f t="shared" si="10"/>
        <v>5425.0909999999994</v>
      </c>
      <c r="Z56" s="444">
        <f t="shared" si="11"/>
        <v>295</v>
      </c>
      <c r="AA56" s="431"/>
      <c r="AC56" s="431"/>
    </row>
    <row r="57" spans="1:29" s="446" customFormat="1" x14ac:dyDescent="0.25">
      <c r="A57" s="446" t="s">
        <v>282</v>
      </c>
      <c r="B57" s="441">
        <f t="shared" si="13"/>
        <v>45398</v>
      </c>
      <c r="C57" s="442">
        <f>+Плевен!H19+Плевен!K19</f>
        <v>0</v>
      </c>
      <c r="D57" s="443">
        <f>+Бургас!E19+Бургас!H19</f>
        <v>0</v>
      </c>
      <c r="E57" s="443">
        <f>+'Враца 1'!E19+'Враца 1'!H19</f>
        <v>0</v>
      </c>
      <c r="F57" s="443">
        <f>+'Враца 2'!E19+'Враца 2'!H19</f>
        <v>0</v>
      </c>
      <c r="G57" s="444">
        <f>+'Велико Търново'!C19+'Велико Търново'!E19</f>
        <v>0</v>
      </c>
      <c r="H57" s="444">
        <f>+Перник!E19+Перник!G19</f>
        <v>0</v>
      </c>
      <c r="I57" s="444">
        <f>+Русе!E19+Русе!G19</f>
        <v>0</v>
      </c>
      <c r="J57" s="444">
        <f>+'Русе Кемикълс'!E19+Труд!E19+Берус!E19+'Бултекс 1'!E19+'Доминекс про'!E19+РВД!E19+'Тенекс С'!E19+Декотекс!E19+'Нова пауър'!E19+ЕМИ!D19+Алуком!E19+Илинден!E19+'Ваптех АМ'!E19</f>
        <v>0</v>
      </c>
      <c r="K57" s="445">
        <f t="shared" si="8"/>
        <v>0</v>
      </c>
      <c r="L57" s="446" t="s">
        <v>245</v>
      </c>
      <c r="N57" s="444">
        <f>+Плевен!H19+Бургас!E19+'Враца 1'!E19+'Враца 2'!E19+Перник!E19+Русе!E19+'Велико Търново'!C19</f>
        <v>0</v>
      </c>
      <c r="O57" s="444">
        <f>+Цени!E18</f>
        <v>0</v>
      </c>
      <c r="P57" s="444">
        <f>+Цени!C18+Цени!D18+Цени!F18</f>
        <v>0</v>
      </c>
      <c r="Q57" s="444"/>
      <c r="R57" s="444">
        <f t="shared" si="12"/>
        <v>0</v>
      </c>
      <c r="T57" s="444">
        <f>+'Борса и балансиране'!C19</f>
        <v>0</v>
      </c>
      <c r="U57" s="444">
        <f>+('Борса и балансиране'!J19+'Борса и балансиране'!K19)*-1</f>
        <v>0</v>
      </c>
      <c r="V57" s="444">
        <f t="shared" si="9"/>
        <v>0</v>
      </c>
      <c r="Y57" s="444">
        <f t="shared" si="10"/>
        <v>0</v>
      </c>
      <c r="Z57" s="444">
        <f t="shared" si="11"/>
        <v>0</v>
      </c>
      <c r="AA57" s="547"/>
      <c r="AC57" s="547"/>
    </row>
    <row r="58" spans="1:29" s="446" customFormat="1" x14ac:dyDescent="0.25">
      <c r="A58" s="446" t="s">
        <v>283</v>
      </c>
      <c r="B58" s="441">
        <f t="shared" si="13"/>
        <v>45399</v>
      </c>
      <c r="C58" s="442">
        <f>+Плевен!H20+Плевен!K20</f>
        <v>0</v>
      </c>
      <c r="D58" s="443">
        <f>+Бургас!E20+Бургас!H20</f>
        <v>0</v>
      </c>
      <c r="E58" s="443">
        <f>+'Враца 1'!E20+'Враца 1'!H20</f>
        <v>0</v>
      </c>
      <c r="F58" s="443">
        <f>+'Враца 2'!E20+'Враца 2'!H20</f>
        <v>0</v>
      </c>
      <c r="G58" s="444">
        <f>+'Велико Търново'!C20+'Велико Търново'!E20</f>
        <v>0</v>
      </c>
      <c r="H58" s="444">
        <f>+Перник!E20+Перник!G20</f>
        <v>0</v>
      </c>
      <c r="I58" s="444">
        <f>+Русе!E20+Русе!G20</f>
        <v>0</v>
      </c>
      <c r="J58" s="444">
        <f>+'Русе Кемикълс'!E20+Труд!E20+Берус!E20+'Бултекс 1'!E20+'Доминекс про'!E20+РВД!E20+'Тенекс С'!E20+Декотекс!E20+'Нова пауър'!E20+ЕМИ!D20+Алуком!E20+Илинден!E20+'Ваптех АМ'!E20</f>
        <v>0</v>
      </c>
      <c r="K58" s="445">
        <f t="shared" si="8"/>
        <v>0</v>
      </c>
      <c r="N58" s="444">
        <f>+Плевен!H20+Бургас!E20+'Враца 1'!E20+'Враца 2'!E20+Перник!E20+Русе!E20+'Велико Търново'!C20</f>
        <v>0</v>
      </c>
      <c r="O58" s="444">
        <f>+Цени!E19</f>
        <v>0</v>
      </c>
      <c r="P58" s="444">
        <f>+Цени!C19+Цени!D19+Цени!F19</f>
        <v>0</v>
      </c>
      <c r="Q58" s="444"/>
      <c r="R58" s="444">
        <f t="shared" si="12"/>
        <v>0</v>
      </c>
      <c r="T58" s="444">
        <f>+'Борса и балансиране'!C20</f>
        <v>0</v>
      </c>
      <c r="U58" s="444">
        <f>+('Борса и балансиране'!J20+'Борса и балансиране'!K20)*-1</f>
        <v>0</v>
      </c>
      <c r="V58" s="444">
        <f t="shared" si="9"/>
        <v>0</v>
      </c>
      <c r="Y58" s="444">
        <f t="shared" si="10"/>
        <v>0</v>
      </c>
      <c r="Z58" s="444">
        <f t="shared" si="11"/>
        <v>0</v>
      </c>
      <c r="AA58" s="547"/>
      <c r="AC58" s="547"/>
    </row>
    <row r="59" spans="1:29" s="446" customFormat="1" x14ac:dyDescent="0.25">
      <c r="A59" t="s">
        <v>284</v>
      </c>
      <c r="B59" s="441">
        <f t="shared" si="13"/>
        <v>45400</v>
      </c>
      <c r="C59" s="442">
        <f>+Плевен!H21+Плевен!K21</f>
        <v>0</v>
      </c>
      <c r="D59" s="443">
        <f>+Бургас!E21+Бургас!H21</f>
        <v>0</v>
      </c>
      <c r="E59" s="443">
        <f>+'Враца 1'!E21+'Враца 1'!H21</f>
        <v>0</v>
      </c>
      <c r="F59" s="443">
        <f>+'Враца 2'!E21+'Враца 2'!H21</f>
        <v>0</v>
      </c>
      <c r="G59" s="444">
        <f>+'Велико Търново'!C21+'Велико Търново'!E21</f>
        <v>0</v>
      </c>
      <c r="H59" s="444">
        <f>+Перник!E21+Перник!G21</f>
        <v>0</v>
      </c>
      <c r="I59" s="444">
        <f>+Русе!E21+Русе!G21</f>
        <v>0</v>
      </c>
      <c r="J59" s="444">
        <f>+'Русе Кемикълс'!E21+Труд!E21+Берус!E21+'Бултекс 1'!E21+'Доминекс про'!E21+РВД!E21+'Тенекс С'!E21+Декотекс!E21+'Нова пауър'!E21+ЕМИ!D21+Алуком!E21+Илинден!E21+'Ваптех АМ'!E21</f>
        <v>0</v>
      </c>
      <c r="K59" s="445">
        <f t="shared" si="8"/>
        <v>0</v>
      </c>
      <c r="N59" s="444">
        <f>+Плевен!H21+Бургас!E21+'Враца 1'!E21+'Враца 2'!E21+Перник!E21+Русе!E21+'Велико Търново'!C21</f>
        <v>0</v>
      </c>
      <c r="O59" s="444">
        <f>+Цени!E20</f>
        <v>0</v>
      </c>
      <c r="P59" s="444">
        <f>+Цени!C20+Цени!D20+Цени!F20</f>
        <v>0</v>
      </c>
      <c r="Q59" s="444"/>
      <c r="R59" s="444">
        <f t="shared" si="12"/>
        <v>0</v>
      </c>
      <c r="T59" s="444">
        <f>+'Борса и балансиране'!C21</f>
        <v>0</v>
      </c>
      <c r="U59" s="444">
        <f>+('Борса и балансиране'!J21+'Борса и балансиране'!K21)*-1</f>
        <v>0</v>
      </c>
      <c r="V59" s="444">
        <f t="shared" si="9"/>
        <v>0</v>
      </c>
      <c r="Y59" s="444">
        <f t="shared" si="10"/>
        <v>0</v>
      </c>
      <c r="Z59" s="444">
        <f t="shared" si="11"/>
        <v>0</v>
      </c>
      <c r="AA59" s="547"/>
      <c r="AC59" s="547"/>
    </row>
    <row r="60" spans="1:29" x14ac:dyDescent="0.25">
      <c r="A60" t="s">
        <v>273</v>
      </c>
      <c r="B60" s="441">
        <f t="shared" si="13"/>
        <v>45401</v>
      </c>
      <c r="C60" s="442">
        <f>+Плевен!H22+Плевен!K22</f>
        <v>0</v>
      </c>
      <c r="D60" s="443">
        <f>+Бургас!E22+Бургас!H22</f>
        <v>0</v>
      </c>
      <c r="E60" s="443">
        <f>+'Враца 1'!E22+'Враца 1'!H22</f>
        <v>0</v>
      </c>
      <c r="F60" s="443">
        <f>+'Враца 2'!E22+'Враца 2'!H22</f>
        <v>0</v>
      </c>
      <c r="G60" s="444">
        <f>+'Велико Търново'!C22+'Велико Търново'!E22</f>
        <v>0</v>
      </c>
      <c r="H60" s="444">
        <f>+Перник!E22+Перник!G22</f>
        <v>0</v>
      </c>
      <c r="I60" s="444">
        <f>+Русе!E22+Русе!G22</f>
        <v>0</v>
      </c>
      <c r="J60" s="444">
        <f>+'Русе Кемикълс'!E22+Труд!E22+Берус!E22+'Бултекс 1'!E22+'Доминекс про'!E22+РВД!E22+'Тенекс С'!E22+Декотекс!E22+'Нова пауър'!E22+ЕМИ!D22+Алуком!E22+Илинден!E22+'Ваптех АМ'!E22</f>
        <v>0</v>
      </c>
      <c r="K60" s="445">
        <f t="shared" si="8"/>
        <v>0</v>
      </c>
      <c r="N60" s="444">
        <f>+Плевен!H22+Бургас!E22+'Враца 1'!E22+'Враца 2'!E22+Перник!E22+Русе!E22+'Велико Търново'!C22</f>
        <v>0</v>
      </c>
      <c r="O60" s="444">
        <f>+Цени!E21</f>
        <v>0</v>
      </c>
      <c r="P60" s="444">
        <f>+Цени!C21+Цени!D21+Цени!F21</f>
        <v>0</v>
      </c>
      <c r="Q60" s="444"/>
      <c r="R60" s="444">
        <f t="shared" si="12"/>
        <v>0</v>
      </c>
      <c r="S60" s="446"/>
      <c r="T60" s="444">
        <f>+'Борса и балансиране'!C22</f>
        <v>0</v>
      </c>
      <c r="U60" s="444">
        <f>+('Борса и балансиране'!J22+'Борса и балансиране'!K22)*-1</f>
        <v>0</v>
      </c>
      <c r="V60" s="444">
        <f t="shared" si="9"/>
        <v>0</v>
      </c>
      <c r="Y60" s="444">
        <f t="shared" si="10"/>
        <v>0</v>
      </c>
      <c r="Z60" s="444">
        <f t="shared" si="11"/>
        <v>0</v>
      </c>
      <c r="AA60" s="431"/>
      <c r="AC60" s="431"/>
    </row>
    <row r="61" spans="1:29" s="447" customFormat="1" x14ac:dyDescent="0.25">
      <c r="A61" s="447" t="s">
        <v>276</v>
      </c>
      <c r="B61" s="432">
        <f t="shared" si="13"/>
        <v>45402</v>
      </c>
      <c r="C61" s="433">
        <f>+Плевен!H23+Плевен!K23</f>
        <v>0</v>
      </c>
      <c r="D61" s="440">
        <f>+Бургас!E23+Бургас!H23</f>
        <v>0</v>
      </c>
      <c r="E61" s="440">
        <f>+'Враца 1'!E23+'Враца 1'!H23</f>
        <v>0</v>
      </c>
      <c r="F61" s="440">
        <f>+'Враца 2'!E23+'Враца 2'!H23</f>
        <v>0</v>
      </c>
      <c r="G61" s="434">
        <f>+'Велико Търново'!C23+'Велико Търново'!E23</f>
        <v>0</v>
      </c>
      <c r="H61" s="434">
        <f>+Перник!E23+Перник!G23</f>
        <v>0</v>
      </c>
      <c r="I61" s="434">
        <f>+Русе!E23+Русе!G23</f>
        <v>0</v>
      </c>
      <c r="J61" s="434">
        <f>+'Русе Кемикълс'!E23+Труд!E23+Берус!E23+'Бултекс 1'!E23+'Доминекс про'!E23+РВД!E23+'Тенекс С'!E23+Декотекс!E23+'Нова пауър'!E23+ЕМИ!D23+Алуком!E23+Илинден!E23+'Ваптех АМ'!E23</f>
        <v>0</v>
      </c>
      <c r="K61" s="435">
        <f t="shared" si="8"/>
        <v>0</v>
      </c>
      <c r="N61" s="434">
        <f>+Плевен!H23+Бургас!E23+'Враца 1'!E23+'Враца 2'!E23+Перник!E23+Русе!E23+'Велико Търново'!C23</f>
        <v>0</v>
      </c>
      <c r="O61" s="434">
        <f>+Цени!E22</f>
        <v>0</v>
      </c>
      <c r="P61" s="434">
        <f>+Цени!C22+Цени!D22+Цени!F22</f>
        <v>0</v>
      </c>
      <c r="Q61" s="434"/>
      <c r="R61" s="434">
        <f t="shared" si="12"/>
        <v>0</v>
      </c>
      <c r="T61" s="434">
        <f>+'Борса и балансиране'!C23</f>
        <v>0</v>
      </c>
      <c r="U61" s="434">
        <f>+('Борса и балансиране'!J23+'Борса и балансиране'!K23)*-1</f>
        <v>0</v>
      </c>
      <c r="V61" s="434">
        <f t="shared" si="9"/>
        <v>0</v>
      </c>
      <c r="Y61" s="434">
        <f t="shared" si="10"/>
        <v>0</v>
      </c>
      <c r="Z61" s="434">
        <f t="shared" si="11"/>
        <v>0</v>
      </c>
      <c r="AA61" s="551"/>
      <c r="AC61" s="551"/>
    </row>
    <row r="62" spans="1:29" s="447" customFormat="1" x14ac:dyDescent="0.25">
      <c r="A62" s="447" t="s">
        <v>278</v>
      </c>
      <c r="B62" s="432">
        <f t="shared" si="13"/>
        <v>45403</v>
      </c>
      <c r="C62" s="433">
        <f>+Плевен!H24+Плевен!K24</f>
        <v>0</v>
      </c>
      <c r="D62" s="440">
        <f>+Бургас!E24+Бургас!H24</f>
        <v>0</v>
      </c>
      <c r="E62" s="440">
        <f>+'Враца 1'!E24+'Враца 1'!H24</f>
        <v>0</v>
      </c>
      <c r="F62" s="440">
        <f>+'Враца 2'!E24+'Враца 2'!H24</f>
        <v>0</v>
      </c>
      <c r="G62" s="434">
        <f>+'Велико Търново'!C24+'Велико Търново'!E24</f>
        <v>0</v>
      </c>
      <c r="H62" s="434">
        <f>+Перник!E24+Перник!G24</f>
        <v>0</v>
      </c>
      <c r="I62" s="434">
        <f>+Русе!E24+Русе!G24</f>
        <v>0</v>
      </c>
      <c r="J62" s="434">
        <f>+'Русе Кемикълс'!E24+Труд!E24+Берус!E24+'Бултекс 1'!E24+'Доминекс про'!E24+РВД!E24+'Тенекс С'!E24+Декотекс!E24+'Нова пауър'!E24+ЕМИ!D24+Алуком!E24+Илинден!E24+'Ваптех АМ'!E24</f>
        <v>0</v>
      </c>
      <c r="K62" s="435">
        <f t="shared" si="8"/>
        <v>0</v>
      </c>
      <c r="N62" s="434">
        <f>+Плевен!H24+Бургас!E24+'Враца 1'!E24+'Враца 2'!E24+Перник!E24+Русе!E24+'Велико Търново'!C24</f>
        <v>0</v>
      </c>
      <c r="O62" s="434">
        <f>+Цени!E23</f>
        <v>0</v>
      </c>
      <c r="P62" s="434">
        <f>+Цени!C23+Цени!D23+Цени!F23</f>
        <v>0</v>
      </c>
      <c r="Q62" s="434"/>
      <c r="R62" s="434">
        <f t="shared" si="12"/>
        <v>0</v>
      </c>
      <c r="T62" s="434">
        <f>+'Борса и балансиране'!C24</f>
        <v>0</v>
      </c>
      <c r="U62" s="434">
        <f>+('Борса и балансиране'!J24+'Борса и балансиране'!K24)*-1</f>
        <v>0</v>
      </c>
      <c r="V62" s="434">
        <f t="shared" si="9"/>
        <v>0</v>
      </c>
      <c r="Y62" s="434">
        <f t="shared" si="10"/>
        <v>0</v>
      </c>
      <c r="Z62" s="434">
        <f t="shared" si="11"/>
        <v>0</v>
      </c>
      <c r="AA62" s="551"/>
      <c r="AC62" s="551"/>
    </row>
    <row r="63" spans="1:29" x14ac:dyDescent="0.25">
      <c r="A63" t="s">
        <v>280</v>
      </c>
      <c r="B63" s="441">
        <f t="shared" si="13"/>
        <v>45404</v>
      </c>
      <c r="C63" s="442">
        <f>+Плевен!H25+Плевен!K25</f>
        <v>0</v>
      </c>
      <c r="D63" s="443">
        <f>+Бургас!E25+Бургас!H25</f>
        <v>0</v>
      </c>
      <c r="E63" s="443">
        <f>+'Враца 1'!E25+'Враца 1'!H25</f>
        <v>0</v>
      </c>
      <c r="F63" s="443">
        <f>+'Враца 2'!E25+'Враца 2'!H25</f>
        <v>0</v>
      </c>
      <c r="G63" s="444">
        <f>+'Велико Търново'!C25+'Велико Търново'!E25</f>
        <v>0</v>
      </c>
      <c r="H63" s="444">
        <f>+Перник!E25+Перник!G25</f>
        <v>0</v>
      </c>
      <c r="I63" s="444">
        <f>+Русе!E25+Русе!G25</f>
        <v>0</v>
      </c>
      <c r="J63" s="444">
        <f>+'Русе Кемикълс'!E25+Труд!E25+Берус!E25+'Бултекс 1'!E25+'Доминекс про'!E25+РВД!E25+'Тенекс С'!E25+Декотекс!E25+'Нова пауър'!E25+ЕМИ!D25+Алуком!E25+Илинден!E25+'Ваптех АМ'!E25</f>
        <v>0</v>
      </c>
      <c r="K63" s="445">
        <f t="shared" si="8"/>
        <v>0</v>
      </c>
      <c r="N63" s="444">
        <f>+Плевен!H25+Бургас!E25+'Враца 1'!E25+'Враца 2'!E25+Перник!E25+Русе!E25+'Велико Търново'!C25</f>
        <v>0</v>
      </c>
      <c r="O63" s="444">
        <f>+Цени!E24</f>
        <v>0</v>
      </c>
      <c r="P63" s="444">
        <f>+Цени!C24+Цени!D24+Цени!F24</f>
        <v>0</v>
      </c>
      <c r="Q63" s="444"/>
      <c r="R63" s="444">
        <f t="shared" si="12"/>
        <v>0</v>
      </c>
      <c r="S63" s="446"/>
      <c r="T63" s="444">
        <f>+'Борса и балансиране'!C25</f>
        <v>0</v>
      </c>
      <c r="U63" s="444">
        <f>+('Борса и балансиране'!J25+'Борса и балансиране'!K25)*-1</f>
        <v>0</v>
      </c>
      <c r="V63" s="444">
        <f t="shared" si="9"/>
        <v>0</v>
      </c>
      <c r="Y63" s="444">
        <f t="shared" si="10"/>
        <v>0</v>
      </c>
      <c r="Z63" s="444">
        <f t="shared" si="11"/>
        <v>0</v>
      </c>
      <c r="AA63" s="431"/>
      <c r="AC63" s="431"/>
    </row>
    <row r="64" spans="1:29" s="446" customFormat="1" x14ac:dyDescent="0.25">
      <c r="A64" s="446" t="s">
        <v>282</v>
      </c>
      <c r="B64" s="441">
        <f t="shared" si="13"/>
        <v>45405</v>
      </c>
      <c r="C64" s="442">
        <f>+Плевен!H26+Плевен!K26</f>
        <v>0</v>
      </c>
      <c r="D64" s="443">
        <f>+Бургас!E26+Бургас!H26</f>
        <v>0</v>
      </c>
      <c r="E64" s="443">
        <f>+'Враца 1'!E26+'Враца 1'!H26</f>
        <v>0</v>
      </c>
      <c r="F64" s="443">
        <f>+'Враца 2'!E26+'Враца 2'!H26</f>
        <v>0</v>
      </c>
      <c r="G64" s="444">
        <f>+'Велико Търново'!C26+'Велико Търново'!E26</f>
        <v>0</v>
      </c>
      <c r="H64" s="444">
        <f>+Перник!E26+Перник!G26</f>
        <v>0</v>
      </c>
      <c r="I64" s="444">
        <f>+Русе!E26+Русе!G26</f>
        <v>0</v>
      </c>
      <c r="J64" s="444">
        <f>+'Русе Кемикълс'!E26+Труд!E26+Берус!E26+'Бултекс 1'!E26+'Доминекс про'!E26+РВД!E26+'Тенекс С'!E26+Декотекс!E26+'Нова пауър'!E26+ЕМИ!D26+Алуком!E26+Илинден!E26+'Ваптех АМ'!E26</f>
        <v>0</v>
      </c>
      <c r="K64" s="445">
        <f t="shared" si="8"/>
        <v>0</v>
      </c>
      <c r="N64" s="444">
        <f>+Плевен!H26+Бургас!E26+'Враца 1'!E26+'Враца 2'!E26+Перник!E26+Русе!E26+'Велико Търново'!C26</f>
        <v>0</v>
      </c>
      <c r="O64" s="444">
        <f>+Цени!E25</f>
        <v>0</v>
      </c>
      <c r="P64" s="444">
        <f>+Цени!C25+Цени!D25+Цени!F25</f>
        <v>0</v>
      </c>
      <c r="Q64" s="444"/>
      <c r="R64" s="444">
        <f t="shared" si="12"/>
        <v>0</v>
      </c>
      <c r="T64" s="444">
        <f>+'Борса и балансиране'!C26</f>
        <v>0</v>
      </c>
      <c r="U64" s="444">
        <f>+('Борса и балансиране'!J26+'Борса и балансиране'!K26)*-1</f>
        <v>0</v>
      </c>
      <c r="V64" s="444">
        <f t="shared" si="9"/>
        <v>0</v>
      </c>
      <c r="Y64" s="444">
        <f t="shared" si="10"/>
        <v>0</v>
      </c>
      <c r="Z64" s="444">
        <f t="shared" si="11"/>
        <v>0</v>
      </c>
      <c r="AA64" s="547"/>
      <c r="AC64" s="547"/>
    </row>
    <row r="65" spans="1:29" s="446" customFormat="1" x14ac:dyDescent="0.25">
      <c r="A65" s="446" t="s">
        <v>283</v>
      </c>
      <c r="B65" s="441">
        <f t="shared" si="13"/>
        <v>45406</v>
      </c>
      <c r="C65" s="442">
        <f>+Плевен!H27+Плевен!K27</f>
        <v>0</v>
      </c>
      <c r="D65" s="443">
        <f>+Бургас!E27+Бургас!H27</f>
        <v>0</v>
      </c>
      <c r="E65" s="443">
        <f>+'Враца 1'!E27+'Враца 1'!H27</f>
        <v>0</v>
      </c>
      <c r="F65" s="443">
        <f>+'Враца 2'!E27+'Враца 2'!H27</f>
        <v>0</v>
      </c>
      <c r="G65" s="444">
        <f>+'Велико Търново'!C27+'Велико Търново'!E27</f>
        <v>0</v>
      </c>
      <c r="H65" s="444">
        <f>+Перник!E27+Перник!G27</f>
        <v>0</v>
      </c>
      <c r="I65" s="444">
        <f>+Русе!E27+Русе!G27</f>
        <v>0</v>
      </c>
      <c r="J65" s="444">
        <f>+'Русе Кемикълс'!E27+Труд!E27+Берус!E27+'Бултекс 1'!E27+'Доминекс про'!E27+РВД!E27+'Тенекс С'!E27+Декотекс!E27+'Нова пауър'!E27+ЕМИ!D27+Алуком!E27+Илинден!E27+'Ваптех АМ'!E27</f>
        <v>0</v>
      </c>
      <c r="K65" s="445">
        <f t="shared" si="8"/>
        <v>0</v>
      </c>
      <c r="N65" s="444">
        <f>+Плевен!H27+Бургас!E27+'Враца 1'!E27+'Враца 2'!E27+Перник!E27+Русе!E27+'Велико Търново'!C27</f>
        <v>0</v>
      </c>
      <c r="O65" s="444">
        <f>+Цени!E26</f>
        <v>0</v>
      </c>
      <c r="P65" s="444">
        <f>+Цени!C26+Цени!D26+Цени!F26</f>
        <v>0</v>
      </c>
      <c r="Q65" s="444"/>
      <c r="R65" s="444">
        <f t="shared" si="12"/>
        <v>0</v>
      </c>
      <c r="T65" s="444">
        <f>+'Борса и балансиране'!C27</f>
        <v>0</v>
      </c>
      <c r="U65" s="444">
        <f>+('Борса и балансиране'!J27+'Борса и балансиране'!K27)*-1</f>
        <v>0</v>
      </c>
      <c r="V65" s="444">
        <f t="shared" si="9"/>
        <v>0</v>
      </c>
      <c r="Y65" s="444">
        <f t="shared" si="10"/>
        <v>0</v>
      </c>
      <c r="Z65" s="444">
        <f t="shared" si="11"/>
        <v>0</v>
      </c>
      <c r="AA65" s="547"/>
      <c r="AC65" s="547"/>
    </row>
    <row r="66" spans="1:29" s="446" customFormat="1" x14ac:dyDescent="0.25">
      <c r="A66" t="s">
        <v>284</v>
      </c>
      <c r="B66" s="441">
        <f t="shared" si="13"/>
        <v>45407</v>
      </c>
      <c r="C66" s="442">
        <f>+Плевен!H28+Плевен!K28</f>
        <v>0</v>
      </c>
      <c r="D66" s="443">
        <f>+Бургас!E28+Бургас!H28</f>
        <v>0</v>
      </c>
      <c r="E66" s="443">
        <f>+'Враца 1'!E28+'Враца 1'!H28</f>
        <v>0</v>
      </c>
      <c r="F66" s="443">
        <f>+'Враца 2'!E28+'Враца 2'!H28</f>
        <v>0</v>
      </c>
      <c r="G66" s="444">
        <f>+'Велико Търново'!C28+'Велико Търново'!E28</f>
        <v>0</v>
      </c>
      <c r="H66" s="444">
        <f>+Перник!E28+Перник!G28</f>
        <v>0</v>
      </c>
      <c r="I66" s="444">
        <f>+Русе!E28+Русе!G28</f>
        <v>0</v>
      </c>
      <c r="J66" s="444">
        <f>+'Русе Кемикълс'!E28+Труд!E28+Берус!E28+'Бултекс 1'!E28+'Доминекс про'!E28+РВД!E28+'Тенекс С'!E28+Декотекс!E28+'Нова пауър'!E28+ЕМИ!D28+Алуком!E28+Илинден!E28+'Ваптех АМ'!E28</f>
        <v>0</v>
      </c>
      <c r="K66" s="445">
        <f t="shared" si="8"/>
        <v>0</v>
      </c>
      <c r="N66" s="444">
        <f>+Плевен!H28+Бургас!E28+'Враца 1'!E28+'Враца 2'!E28+Перник!E28+Русе!E28+'Велико Търново'!C28</f>
        <v>0</v>
      </c>
      <c r="O66" s="444">
        <f>+Цени!E27</f>
        <v>0</v>
      </c>
      <c r="P66" s="444">
        <f>+Цени!C27+Цени!D27+Цени!F27</f>
        <v>0</v>
      </c>
      <c r="Q66" s="444"/>
      <c r="R66" s="444">
        <f t="shared" si="12"/>
        <v>0</v>
      </c>
      <c r="T66" s="444">
        <f>+'Борса и балансиране'!C28</f>
        <v>0</v>
      </c>
      <c r="U66" s="444">
        <f>+('Борса и балансиране'!J28+'Борса и балансиране'!K28)*-1</f>
        <v>0</v>
      </c>
      <c r="V66" s="444">
        <f t="shared" si="9"/>
        <v>0</v>
      </c>
      <c r="Y66" s="444">
        <f t="shared" si="10"/>
        <v>0</v>
      </c>
      <c r="Z66" s="444">
        <f t="shared" si="11"/>
        <v>0</v>
      </c>
      <c r="AA66" s="547"/>
      <c r="AC66" s="547"/>
    </row>
    <row r="67" spans="1:29" x14ac:dyDescent="0.25">
      <c r="A67" t="s">
        <v>273</v>
      </c>
      <c r="B67" s="441">
        <f t="shared" si="13"/>
        <v>45408</v>
      </c>
      <c r="C67" s="442">
        <f>+Плевен!H29+Плевен!K29</f>
        <v>0</v>
      </c>
      <c r="D67" s="443">
        <f>+Бургас!E29+Бургас!H29</f>
        <v>0</v>
      </c>
      <c r="E67" s="443">
        <f>+'Враца 1'!E29+'Враца 1'!H29</f>
        <v>0</v>
      </c>
      <c r="F67" s="443">
        <f>+'Враца 2'!E29+'Враца 2'!H29</f>
        <v>0</v>
      </c>
      <c r="G67" s="444">
        <f>+'Велико Търново'!C29+'Велико Търново'!E29</f>
        <v>0</v>
      </c>
      <c r="H67" s="444">
        <f>+Перник!E29+Перник!G29</f>
        <v>0</v>
      </c>
      <c r="I67" s="444">
        <f>+Русе!E29+Русе!G29</f>
        <v>0</v>
      </c>
      <c r="J67" s="444">
        <f>+'Русе Кемикълс'!E29+Труд!E29+Берус!E29+'Бултекс 1'!E29+'Доминекс про'!E29+РВД!E29+'Тенекс С'!E29+Декотекс!E29+'Нова пауър'!E29+ЕМИ!D29+Алуком!E29+Илинден!E29+'Ваптех АМ'!E29</f>
        <v>0</v>
      </c>
      <c r="K67" s="445">
        <f t="shared" si="8"/>
        <v>0</v>
      </c>
      <c r="N67" s="444">
        <f>+Плевен!H29+Бургас!E29+'Враца 1'!E29+'Враца 2'!E29+Перник!E29+Русе!E29+'Велико Търново'!C29</f>
        <v>0</v>
      </c>
      <c r="O67" s="444">
        <f>+Цени!E28</f>
        <v>0</v>
      </c>
      <c r="P67" s="444">
        <f>+Цени!C28+Цени!D28+Цени!F28</f>
        <v>0</v>
      </c>
      <c r="Q67" s="444"/>
      <c r="R67" s="444">
        <f t="shared" si="12"/>
        <v>0</v>
      </c>
      <c r="S67" s="446"/>
      <c r="T67" s="444">
        <f>+'Борса и балансиране'!C29</f>
        <v>0</v>
      </c>
      <c r="U67" s="444">
        <f>+('Борса и балансиране'!J29+'Борса и балансиране'!K29)*-1</f>
        <v>0</v>
      </c>
      <c r="V67" s="444">
        <f t="shared" si="9"/>
        <v>0</v>
      </c>
      <c r="Y67" s="444">
        <f t="shared" si="10"/>
        <v>0</v>
      </c>
      <c r="Z67" s="444">
        <f t="shared" si="11"/>
        <v>0</v>
      </c>
      <c r="AA67" s="431"/>
      <c r="AC67" s="431"/>
    </row>
    <row r="68" spans="1:29" s="447" customFormat="1" x14ac:dyDescent="0.25">
      <c r="A68" s="447" t="s">
        <v>276</v>
      </c>
      <c r="B68" s="432">
        <f t="shared" si="13"/>
        <v>45409</v>
      </c>
      <c r="C68" s="433">
        <f>+Плевен!H30+Плевен!K30</f>
        <v>0</v>
      </c>
      <c r="D68" s="440">
        <f>+Бургас!E30+Бургас!H30</f>
        <v>0</v>
      </c>
      <c r="E68" s="440">
        <f>+'Враца 1'!E30+'Враца 1'!H30</f>
        <v>0</v>
      </c>
      <c r="F68" s="440">
        <f>+'Враца 2'!E30+'Враца 2'!H30</f>
        <v>0</v>
      </c>
      <c r="G68" s="434">
        <f>+'Велико Търново'!C30+'Велико Търново'!E30</f>
        <v>0</v>
      </c>
      <c r="H68" s="434">
        <f>+Перник!E30+Перник!G30</f>
        <v>0</v>
      </c>
      <c r="I68" s="434">
        <f>+Русе!E30+Русе!G30</f>
        <v>0</v>
      </c>
      <c r="J68" s="434">
        <f>+'Русе Кемикълс'!E30+Труд!E30+Берус!E30+'Бултекс 1'!E30+'Доминекс про'!E30+РВД!E30+'Тенекс С'!E30+Декотекс!E30+'Нова пауър'!E30+ЕМИ!D30+Алуком!E30+Илинден!E30+'Ваптех АМ'!E30</f>
        <v>0</v>
      </c>
      <c r="K68" s="435">
        <f t="shared" si="8"/>
        <v>0</v>
      </c>
      <c r="N68" s="434">
        <f>+Плевен!H30+Бургас!E30+'Враца 1'!E30+'Враца 2'!E30+Перник!E30+Русе!E30+'Велико Търново'!C30</f>
        <v>0</v>
      </c>
      <c r="O68" s="434">
        <f>+Цени!E29</f>
        <v>0</v>
      </c>
      <c r="P68" s="434">
        <f>+Цени!C29+Цени!D29+Цени!F29</f>
        <v>0</v>
      </c>
      <c r="Q68" s="434"/>
      <c r="R68" s="434">
        <f t="shared" si="12"/>
        <v>0</v>
      </c>
      <c r="T68" s="434">
        <f>+'Борса и балансиране'!C30</f>
        <v>0</v>
      </c>
      <c r="U68" s="434">
        <f>+('Борса и балансиране'!J30+'Борса и балансиране'!K30)*-1</f>
        <v>0</v>
      </c>
      <c r="V68" s="434">
        <f t="shared" si="9"/>
        <v>0</v>
      </c>
      <c r="Y68" s="434">
        <f t="shared" si="10"/>
        <v>0</v>
      </c>
      <c r="Z68" s="434">
        <f t="shared" si="11"/>
        <v>0</v>
      </c>
      <c r="AA68" s="551"/>
      <c r="AC68" s="551"/>
    </row>
    <row r="69" spans="1:29" s="447" customFormat="1" x14ac:dyDescent="0.25">
      <c r="A69" s="447" t="s">
        <v>278</v>
      </c>
      <c r="B69" s="432">
        <f t="shared" si="13"/>
        <v>45410</v>
      </c>
      <c r="C69" s="433">
        <f>+Плевен!H31+Плевен!K31</f>
        <v>0</v>
      </c>
      <c r="D69" s="440">
        <f>+Бургас!E31+Бургас!H31</f>
        <v>0</v>
      </c>
      <c r="E69" s="440">
        <f>+'Враца 1'!E31+'Враца 1'!H31</f>
        <v>0</v>
      </c>
      <c r="F69" s="440">
        <f>+'Враца 2'!E31+'Враца 2'!H31</f>
        <v>0</v>
      </c>
      <c r="G69" s="434">
        <f>+'Велико Търново'!C31+'Велико Търново'!E31</f>
        <v>0</v>
      </c>
      <c r="H69" s="434">
        <f>+Перник!E31+Перник!G31</f>
        <v>0</v>
      </c>
      <c r="I69" s="434">
        <f>+Русе!E31+Русе!G31</f>
        <v>0</v>
      </c>
      <c r="J69" s="434">
        <f>+'Русе Кемикълс'!E31+Труд!E31+Берус!E31+'Бултекс 1'!E31+'Доминекс про'!E31+РВД!E31+'Тенекс С'!E31+Декотекс!E31+'Нова пауър'!E31+ЕМИ!D31+Алуком!E31+Илинден!E31+'Ваптех АМ'!E31</f>
        <v>0</v>
      </c>
      <c r="K69" s="435">
        <f t="shared" si="8"/>
        <v>0</v>
      </c>
      <c r="N69" s="434">
        <f>+Плевен!H31+Бургас!E31+'Враца 1'!E31+'Враца 2'!E31+Перник!E31+Русе!E31+'Велико Търново'!C31</f>
        <v>0</v>
      </c>
      <c r="O69" s="434">
        <f>+Цени!E30</f>
        <v>0</v>
      </c>
      <c r="P69" s="434">
        <f>+Цени!C30+Цени!D30+Цени!F30</f>
        <v>0</v>
      </c>
      <c r="Q69" s="434"/>
      <c r="R69" s="434">
        <f t="shared" si="12"/>
        <v>0</v>
      </c>
      <c r="T69" s="434">
        <f>+'Борса и балансиране'!C31</f>
        <v>0</v>
      </c>
      <c r="U69" s="434">
        <f>+('Борса и балансиране'!J31+'Борса и балансиране'!K31)*-1</f>
        <v>0</v>
      </c>
      <c r="V69" s="434">
        <f t="shared" si="9"/>
        <v>0</v>
      </c>
      <c r="Y69" s="434">
        <f t="shared" si="10"/>
        <v>0</v>
      </c>
      <c r="Z69" s="434">
        <f t="shared" si="11"/>
        <v>0</v>
      </c>
      <c r="AA69" s="551"/>
      <c r="AC69" s="551"/>
    </row>
    <row r="70" spans="1:29" x14ac:dyDescent="0.25">
      <c r="A70" t="s">
        <v>280</v>
      </c>
      <c r="B70" s="441">
        <f t="shared" si="13"/>
        <v>45411</v>
      </c>
      <c r="C70" s="442">
        <f>+Плевен!H32+Плевен!K32</f>
        <v>0</v>
      </c>
      <c r="D70" s="443">
        <f>+Бургас!E32+Бургас!H32</f>
        <v>0</v>
      </c>
      <c r="E70" s="443">
        <f>+'Враца 1'!E32+'Враца 1'!H32</f>
        <v>0</v>
      </c>
      <c r="F70" s="443">
        <f>+'Враца 2'!E32+'Враца 2'!H32</f>
        <v>0</v>
      </c>
      <c r="G70" s="444">
        <f>+'Велико Търново'!C32+'Велико Търново'!E32</f>
        <v>0</v>
      </c>
      <c r="H70" s="444">
        <f>+Перник!E32+Перник!G32</f>
        <v>0</v>
      </c>
      <c r="I70" s="444">
        <f>+Русе!E32+Русе!G32</f>
        <v>0</v>
      </c>
      <c r="J70" s="444">
        <f>+'Русе Кемикълс'!E32+Труд!E32+Берус!E32+'Бултекс 1'!E32+'Доминекс про'!E32+РВД!E32+'Тенекс С'!E32+Декотекс!E32+'Нова пауър'!E32+ЕМИ!D32+Алуком!E32+Илинден!E32+'Ваптех АМ'!E32</f>
        <v>0</v>
      </c>
      <c r="K70" s="445">
        <f t="shared" ref="K70:K71" si="14">SUM(C70:J70)</f>
        <v>0</v>
      </c>
      <c r="N70" s="444">
        <f>+Плевен!H32+Бургас!E32+'Враца 1'!E32+'Враца 2'!E32+Перник!E32+Русе!E32+'Велико Търново'!C32</f>
        <v>0</v>
      </c>
      <c r="O70" s="444">
        <f>+Цени!E31</f>
        <v>0</v>
      </c>
      <c r="P70" s="444">
        <f>+Цени!C31+Цени!D31+Цени!F31</f>
        <v>0</v>
      </c>
      <c r="Q70" s="444"/>
      <c r="R70" s="444">
        <f t="shared" si="12"/>
        <v>0</v>
      </c>
      <c r="S70" s="446"/>
      <c r="T70" s="444">
        <f>+'Борса и балансиране'!C32</f>
        <v>0</v>
      </c>
      <c r="U70" s="444">
        <f>+('Борса и балансиране'!J32+'Борса и балансиране'!K32)*-1</f>
        <v>0</v>
      </c>
      <c r="V70" s="444">
        <f t="shared" si="9"/>
        <v>0</v>
      </c>
      <c r="Y70" s="444">
        <f t="shared" si="10"/>
        <v>0</v>
      </c>
      <c r="Z70" s="444">
        <f t="shared" si="11"/>
        <v>0</v>
      </c>
      <c r="AA70" s="431"/>
      <c r="AC70" s="431"/>
    </row>
    <row r="71" spans="1:29" s="446" customFormat="1" ht="15.75" thickBot="1" x14ac:dyDescent="0.3">
      <c r="A71" s="446" t="s">
        <v>282</v>
      </c>
      <c r="B71" s="441">
        <f t="shared" si="13"/>
        <v>45412</v>
      </c>
      <c r="C71" s="442">
        <f>+Плевен!H33+Плевен!K33</f>
        <v>0</v>
      </c>
      <c r="D71" s="443">
        <f>+Бургас!E33+Бургас!H33</f>
        <v>0</v>
      </c>
      <c r="E71" s="443">
        <f>+'Враца 1'!E33+'Враца 1'!H33</f>
        <v>0</v>
      </c>
      <c r="F71" s="443">
        <f>+'Враца 2'!E33+'Враца 2'!H33</f>
        <v>0</v>
      </c>
      <c r="G71" s="444">
        <f>+'Велико Търново'!C33+'Велико Търново'!E33</f>
        <v>0</v>
      </c>
      <c r="H71" s="444">
        <f>+Перник!E33+Перник!G33</f>
        <v>0</v>
      </c>
      <c r="I71" s="444">
        <f>+Русе!E33+Русе!G33</f>
        <v>0</v>
      </c>
      <c r="J71" s="444">
        <f>+'Русе Кемикълс'!E33+Труд!E33+Берус!E33+'Бултекс 1'!E33+'Доминекс про'!E33+РВД!E33+'Тенекс С'!E33+Декотекс!E33+'Нова пауър'!E33+ЕМИ!D33+Алуком!E33+Илинден!E33+'Ваптех АМ'!E33</f>
        <v>0</v>
      </c>
      <c r="K71" s="445">
        <f t="shared" si="14"/>
        <v>0</v>
      </c>
      <c r="N71" s="444">
        <f>+Плевен!H33+Бургас!E33+'Враца 1'!E33+'Враца 2'!E33+Перник!E33+Русе!E33+'Велико Търново'!C33</f>
        <v>0</v>
      </c>
      <c r="O71" s="444">
        <f>+Цени!E32</f>
        <v>0</v>
      </c>
      <c r="P71" s="444">
        <f>+Цени!C32+Цени!D32+Цени!F32</f>
        <v>0</v>
      </c>
      <c r="Q71" s="444"/>
      <c r="R71" s="444">
        <f t="shared" si="12"/>
        <v>0</v>
      </c>
      <c r="T71" s="444">
        <f>+'Борса и балансиране'!C33</f>
        <v>0</v>
      </c>
      <c r="U71" s="444">
        <f>+('Борса и балансиране'!J33+'Борса и балансиране'!K33)*-1</f>
        <v>0</v>
      </c>
      <c r="V71" s="444">
        <f t="shared" si="9"/>
        <v>0</v>
      </c>
      <c r="Y71" s="444">
        <f t="shared" si="10"/>
        <v>0</v>
      </c>
      <c r="Z71" s="444">
        <f t="shared" si="11"/>
        <v>0</v>
      </c>
      <c r="AA71" s="547"/>
      <c r="AC71" s="547"/>
    </row>
    <row r="72" spans="1:29" ht="15.75" thickBot="1" x14ac:dyDescent="0.3">
      <c r="A72" s="446"/>
      <c r="B72" s="436" t="s">
        <v>158</v>
      </c>
      <c r="C72" s="437">
        <f t="shared" ref="C72:K72" si="15">SUM(C42:C71)</f>
        <v>43267.472000000002</v>
      </c>
      <c r="D72" s="438">
        <f t="shared" si="15"/>
        <v>11860.642</v>
      </c>
      <c r="E72" s="438">
        <f t="shared" si="15"/>
        <v>4950.1239999999998</v>
      </c>
      <c r="F72" s="438">
        <f t="shared" si="15"/>
        <v>1760.9409999999998</v>
      </c>
      <c r="G72" s="438">
        <f t="shared" si="15"/>
        <v>2329.915</v>
      </c>
      <c r="H72" s="438">
        <f t="shared" si="15"/>
        <v>17234.754000000001</v>
      </c>
      <c r="I72" s="438">
        <f t="shared" si="15"/>
        <v>16232.449999999997</v>
      </c>
      <c r="J72" s="438">
        <f t="shared" si="15"/>
        <v>1018.6739999999999</v>
      </c>
      <c r="K72" s="439">
        <f t="shared" si="15"/>
        <v>98654.972000000009</v>
      </c>
      <c r="N72" s="438">
        <f>SUM(N42:N71)</f>
        <v>81501.797000000006</v>
      </c>
      <c r="O72" s="438">
        <f>SUM(O42:O71)</f>
        <v>0</v>
      </c>
      <c r="P72" s="438">
        <f>SUM(P42:P71)</f>
        <v>225</v>
      </c>
      <c r="Q72" s="438"/>
      <c r="R72" s="438">
        <f>SUM(R42:R71)</f>
        <v>81726.797000000006</v>
      </c>
      <c r="T72" s="438">
        <f>SUM(T42:T71)</f>
        <v>16462</v>
      </c>
      <c r="U72" s="438">
        <f t="shared" ref="U72" si="16">+T72/R72</f>
        <v>0.20142720141106227</v>
      </c>
      <c r="V72" s="438">
        <f>SUM(V42:V71)</f>
        <v>-150.0000000000025</v>
      </c>
      <c r="Y72" s="438">
        <f>SUM(Y42:Y71)</f>
        <v>81501.797000000006</v>
      </c>
      <c r="Z72" s="438">
        <f>SUM(Z42:Z71)</f>
        <v>16687</v>
      </c>
      <c r="AA72" s="431"/>
      <c r="AC72" s="431"/>
    </row>
  </sheetData>
  <mergeCells count="4">
    <mergeCell ref="B40:K40"/>
    <mergeCell ref="N40:R40"/>
    <mergeCell ref="B3:K3"/>
    <mergeCell ref="N3:R3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B2:U38"/>
  <sheetViews>
    <sheetView view="pageBreakPreview" zoomScaleNormal="100" zoomScaleSheetLayoutView="100" workbookViewId="0">
      <selection activeCell="J21" sqref="J21"/>
    </sheetView>
  </sheetViews>
  <sheetFormatPr defaultColWidth="9.140625" defaultRowHeight="15" x14ac:dyDescent="0.25"/>
  <cols>
    <col min="1" max="1" width="9.140625" style="513"/>
    <col min="2" max="2" width="9.28515625" style="513" bestFit="1" customWidth="1"/>
    <col min="3" max="3" width="12.140625" style="513" customWidth="1"/>
    <col min="4" max="4" width="12" style="513" customWidth="1"/>
    <col min="5" max="5" width="10.5703125" style="513" customWidth="1"/>
    <col min="6" max="6" width="12.28515625" style="513" customWidth="1"/>
    <col min="7" max="7" width="9.7109375" style="513" customWidth="1"/>
    <col min="8" max="8" width="9.42578125" style="513" customWidth="1"/>
    <col min="9" max="9" width="13.85546875" style="513" customWidth="1"/>
    <col min="10" max="11" width="9.140625" style="513"/>
    <col min="12" max="13" width="9.28515625" style="513" bestFit="1" customWidth="1"/>
    <col min="14" max="18" width="9.140625" style="513"/>
    <col min="19" max="19" width="12" style="513" customWidth="1"/>
    <col min="20" max="20" width="9.140625" style="513"/>
    <col min="21" max="21" width="18" style="513" bestFit="1" customWidth="1"/>
    <col min="22" max="16384" width="9.140625" style="513"/>
  </cols>
  <sheetData>
    <row r="2" spans="2:21" ht="16.5" thickBot="1" x14ac:dyDescent="0.3">
      <c r="B2" s="569" t="s">
        <v>254</v>
      </c>
      <c r="C2" s="570"/>
      <c r="D2" s="570"/>
      <c r="E2" s="570"/>
      <c r="F2" s="570"/>
      <c r="G2" s="570"/>
      <c r="H2" s="570"/>
      <c r="I2" s="570"/>
      <c r="J2" s="570"/>
      <c r="K2" s="571"/>
      <c r="L2" s="571"/>
      <c r="M2" s="572"/>
      <c r="N2" s="572"/>
      <c r="O2" s="572"/>
      <c r="P2" s="572"/>
      <c r="Q2" s="572"/>
      <c r="R2" s="572"/>
      <c r="S2" s="572"/>
      <c r="T2" s="572"/>
      <c r="U2" s="572"/>
    </row>
    <row r="3" spans="2:21" ht="16.5" customHeight="1" thickBot="1" x14ac:dyDescent="0.3">
      <c r="B3" s="746" t="s">
        <v>255</v>
      </c>
      <c r="C3" s="748" t="s">
        <v>256</v>
      </c>
      <c r="D3" s="749"/>
      <c r="E3" s="749"/>
      <c r="F3" s="749"/>
      <c r="G3" s="749"/>
      <c r="H3" s="750"/>
      <c r="I3" s="751" t="s">
        <v>257</v>
      </c>
      <c r="J3" s="752"/>
      <c r="K3" s="753"/>
      <c r="L3" s="754" t="s">
        <v>253</v>
      </c>
      <c r="M3" s="571"/>
      <c r="N3" s="741" t="s">
        <v>290</v>
      </c>
      <c r="O3" s="743" t="s">
        <v>291</v>
      </c>
      <c r="P3" s="743" t="s">
        <v>292</v>
      </c>
      <c r="Q3" s="571"/>
      <c r="R3" s="571"/>
      <c r="S3" s="571"/>
      <c r="T3" s="571"/>
      <c r="U3" s="571"/>
    </row>
    <row r="4" spans="2:21" ht="48" thickBot="1" x14ac:dyDescent="0.3">
      <c r="B4" s="747"/>
      <c r="C4" s="573" t="s">
        <v>293</v>
      </c>
      <c r="D4" s="574" t="s">
        <v>294</v>
      </c>
      <c r="E4" s="574" t="s">
        <v>260</v>
      </c>
      <c r="F4" s="574" t="s">
        <v>295</v>
      </c>
      <c r="G4" s="575" t="s">
        <v>296</v>
      </c>
      <c r="H4" s="576" t="s">
        <v>262</v>
      </c>
      <c r="I4" s="577" t="s">
        <v>263</v>
      </c>
      <c r="J4" s="578" t="s">
        <v>258</v>
      </c>
      <c r="K4" s="579" t="s">
        <v>260</v>
      </c>
      <c r="L4" s="755"/>
      <c r="M4" s="571"/>
      <c r="N4" s="742"/>
      <c r="O4" s="744"/>
      <c r="P4" s="745"/>
      <c r="Q4" s="571"/>
      <c r="R4" s="571"/>
      <c r="S4" s="571"/>
      <c r="T4" s="571"/>
      <c r="U4" s="571"/>
    </row>
    <row r="5" spans="2:21" ht="15.75" x14ac:dyDescent="0.25">
      <c r="B5" s="580">
        <v>45292</v>
      </c>
      <c r="C5" s="581">
        <v>3083.9513161290315</v>
      </c>
      <c r="D5" s="582">
        <v>303.02045806451611</v>
      </c>
      <c r="E5" s="582">
        <v>1319.3548387096773</v>
      </c>
      <c r="F5" s="582">
        <v>2459.8709677419356</v>
      </c>
      <c r="G5" s="583">
        <v>0</v>
      </c>
      <c r="H5" s="584">
        <v>1332.1737096774204</v>
      </c>
      <c r="I5" s="581">
        <v>8216.9912903225813</v>
      </c>
      <c r="J5" s="582">
        <v>281.38</v>
      </c>
      <c r="K5" s="585">
        <v>0</v>
      </c>
      <c r="L5" s="586">
        <v>0</v>
      </c>
      <c r="M5" s="571"/>
      <c r="N5" s="587">
        <v>8498.3712903225805</v>
      </c>
      <c r="O5" s="588">
        <v>8498.3712903225805</v>
      </c>
      <c r="P5" s="589">
        <v>31</v>
      </c>
      <c r="Q5" s="571"/>
      <c r="R5" s="571"/>
      <c r="S5" s="571"/>
      <c r="T5" s="571"/>
      <c r="U5" s="571"/>
    </row>
    <row r="6" spans="2:21" ht="15.75" x14ac:dyDescent="0.25">
      <c r="B6" s="590">
        <v>45323</v>
      </c>
      <c r="C6" s="591">
        <v>2675.8590999999992</v>
      </c>
      <c r="D6" s="592">
        <v>261.26200344827583</v>
      </c>
      <c r="E6" s="592">
        <v>2558.6206896551726</v>
      </c>
      <c r="F6" s="592">
        <v>1937.9310344827586</v>
      </c>
      <c r="G6" s="593">
        <v>0</v>
      </c>
      <c r="H6" s="594">
        <v>306.04341379310335</v>
      </c>
      <c r="I6" s="591">
        <v>7526.379310344827</v>
      </c>
      <c r="J6" s="592">
        <v>213.33693103448275</v>
      </c>
      <c r="K6" s="595">
        <v>0</v>
      </c>
      <c r="L6" s="596">
        <v>0</v>
      </c>
      <c r="M6" s="571"/>
      <c r="N6" s="591">
        <v>7739.7162413793094</v>
      </c>
      <c r="O6" s="593">
        <v>7739.7162413793094</v>
      </c>
      <c r="P6" s="589">
        <v>29</v>
      </c>
      <c r="Q6" s="571"/>
      <c r="R6" s="571"/>
      <c r="S6" s="571"/>
      <c r="T6" s="571"/>
      <c r="U6" s="571"/>
    </row>
    <row r="7" spans="2:21" ht="15.75" x14ac:dyDescent="0.25">
      <c r="B7" s="590">
        <v>45352</v>
      </c>
      <c r="C7" s="591">
        <v>4921.5907516129027</v>
      </c>
      <c r="D7" s="592">
        <v>524.08892580645158</v>
      </c>
      <c r="E7" s="592">
        <v>800</v>
      </c>
      <c r="F7" s="592">
        <v>1099.895935483871</v>
      </c>
      <c r="G7" s="593">
        <v>0</v>
      </c>
      <c r="H7" s="594">
        <v>914.48196774193457</v>
      </c>
      <c r="I7" s="591">
        <v>8044.5220322580635</v>
      </c>
      <c r="J7" s="592">
        <v>215.53554838709681</v>
      </c>
      <c r="K7" s="595">
        <v>0</v>
      </c>
      <c r="L7" s="596">
        <v>0</v>
      </c>
      <c r="M7" s="571"/>
      <c r="N7" s="591">
        <v>8260.0575806451598</v>
      </c>
      <c r="O7" s="593">
        <v>8260.0575806451598</v>
      </c>
      <c r="P7" s="589">
        <v>31</v>
      </c>
      <c r="Q7" s="571"/>
      <c r="R7" s="571"/>
      <c r="S7" s="571"/>
      <c r="T7" s="571"/>
      <c r="U7" s="571"/>
    </row>
    <row r="8" spans="2:21" ht="15.75" x14ac:dyDescent="0.25">
      <c r="B8" s="590">
        <v>45383</v>
      </c>
      <c r="C8" s="591">
        <v>5805.6430333333392</v>
      </c>
      <c r="D8" s="592">
        <v>620.25663333333409</v>
      </c>
      <c r="E8" s="592">
        <v>0</v>
      </c>
      <c r="F8" s="592">
        <v>0</v>
      </c>
      <c r="G8" s="593">
        <v>0</v>
      </c>
      <c r="H8" s="594">
        <v>460.83766666665906</v>
      </c>
      <c r="I8" s="591">
        <v>6736.7373333333326</v>
      </c>
      <c r="J8" s="592">
        <v>150</v>
      </c>
      <c r="K8" s="595">
        <v>0</v>
      </c>
      <c r="L8" s="596">
        <v>0</v>
      </c>
      <c r="M8" s="571"/>
      <c r="N8" s="591">
        <v>6886.7373333333326</v>
      </c>
      <c r="O8" s="593">
        <v>6886.7373333333326</v>
      </c>
      <c r="P8" s="589">
        <v>30</v>
      </c>
      <c r="Q8" s="571"/>
      <c r="R8" s="571"/>
      <c r="S8" s="571"/>
      <c r="T8" s="571"/>
      <c r="U8" s="571"/>
    </row>
    <row r="9" spans="2:21" ht="15.75" x14ac:dyDescent="0.25">
      <c r="B9" s="590">
        <v>45413</v>
      </c>
      <c r="C9" s="591">
        <v>4282.9677419354875</v>
      </c>
      <c r="D9" s="592">
        <v>451.87096774193583</v>
      </c>
      <c r="E9" s="592">
        <v>0</v>
      </c>
      <c r="F9" s="592">
        <v>0</v>
      </c>
      <c r="G9" s="593">
        <v>0</v>
      </c>
      <c r="H9" s="594">
        <v>1011.2893225806411</v>
      </c>
      <c r="I9" s="591">
        <v>5596.1280322580642</v>
      </c>
      <c r="J9" s="592">
        <v>150</v>
      </c>
      <c r="K9" s="595">
        <v>0</v>
      </c>
      <c r="L9" s="596">
        <v>0</v>
      </c>
      <c r="M9" s="571"/>
      <c r="N9" s="591">
        <v>5746.1280322580642</v>
      </c>
      <c r="O9" s="593">
        <v>5746.1280322580642</v>
      </c>
      <c r="P9" s="589">
        <v>31</v>
      </c>
      <c r="Q9" s="571"/>
      <c r="R9" s="571"/>
      <c r="S9" s="571"/>
      <c r="T9" s="571"/>
      <c r="U9" s="571"/>
    </row>
    <row r="10" spans="2:21" ht="15.75" x14ac:dyDescent="0.25">
      <c r="B10" s="590">
        <v>45444</v>
      </c>
      <c r="C10" s="591">
        <v>4116.4533333333375</v>
      </c>
      <c r="D10" s="592">
        <v>437.01333333333372</v>
      </c>
      <c r="E10" s="592">
        <v>0</v>
      </c>
      <c r="F10" s="592">
        <v>0</v>
      </c>
      <c r="G10" s="593">
        <v>0</v>
      </c>
      <c r="H10" s="594">
        <v>1015.8906666666626</v>
      </c>
      <c r="I10" s="591">
        <v>5419.3573333333334</v>
      </c>
      <c r="J10" s="592">
        <v>150</v>
      </c>
      <c r="K10" s="595">
        <v>0</v>
      </c>
      <c r="L10" s="596">
        <v>0</v>
      </c>
      <c r="M10" s="571"/>
      <c r="N10" s="591">
        <v>5569.3573333333334</v>
      </c>
      <c r="O10" s="593">
        <v>5569.3573333333334</v>
      </c>
      <c r="P10" s="589">
        <v>30</v>
      </c>
      <c r="Q10" s="571"/>
      <c r="R10" s="571"/>
      <c r="S10" s="571"/>
      <c r="T10" s="571"/>
      <c r="U10" s="571"/>
    </row>
    <row r="11" spans="2:21" ht="15.75" x14ac:dyDescent="0.25">
      <c r="B11" s="590">
        <v>45474</v>
      </c>
      <c r="C11" s="591">
        <v>4121.9741935483898</v>
      </c>
      <c r="D11" s="592">
        <v>438.28387096774236</v>
      </c>
      <c r="E11" s="592">
        <v>2400</v>
      </c>
      <c r="F11" s="592">
        <v>0</v>
      </c>
      <c r="G11" s="593">
        <v>0</v>
      </c>
      <c r="H11" s="594">
        <v>2311.2972903225782</v>
      </c>
      <c r="I11" s="591">
        <v>5421.5553548387097</v>
      </c>
      <c r="J11" s="592">
        <v>150</v>
      </c>
      <c r="K11" s="595">
        <v>0</v>
      </c>
      <c r="L11" s="596">
        <v>3700</v>
      </c>
      <c r="M11" s="571"/>
      <c r="N11" s="591">
        <v>9271.5553548387106</v>
      </c>
      <c r="O11" s="593">
        <v>9271.5553548387106</v>
      </c>
      <c r="P11" s="589">
        <v>31</v>
      </c>
      <c r="Q11" s="571"/>
      <c r="R11" s="571"/>
      <c r="S11" s="571"/>
      <c r="T11" s="571"/>
      <c r="U11" s="571"/>
    </row>
    <row r="12" spans="2:21" ht="15.75" x14ac:dyDescent="0.25">
      <c r="B12" s="590">
        <v>45505</v>
      </c>
      <c r="C12" s="591">
        <v>3998.4967741935511</v>
      </c>
      <c r="D12" s="592">
        <v>444.27741935483903</v>
      </c>
      <c r="E12" s="592">
        <v>2400</v>
      </c>
      <c r="F12" s="592">
        <v>0</v>
      </c>
      <c r="G12" s="593">
        <v>0</v>
      </c>
      <c r="H12" s="594">
        <v>1708.0758064516103</v>
      </c>
      <c r="I12" s="591">
        <v>5400.85</v>
      </c>
      <c r="J12" s="592">
        <v>150</v>
      </c>
      <c r="K12" s="595">
        <v>0</v>
      </c>
      <c r="L12" s="596">
        <v>3000</v>
      </c>
      <c r="M12" s="571"/>
      <c r="N12" s="591">
        <v>8550.85</v>
      </c>
      <c r="O12" s="593">
        <v>8550.85</v>
      </c>
      <c r="P12" s="589">
        <v>31</v>
      </c>
      <c r="Q12" s="571"/>
      <c r="R12" s="571"/>
      <c r="S12" s="571"/>
      <c r="T12" s="571"/>
      <c r="U12" s="571"/>
    </row>
    <row r="13" spans="2:21" ht="15.75" x14ac:dyDescent="0.25">
      <c r="B13" s="590">
        <v>45536</v>
      </c>
      <c r="C13" s="591">
        <v>4248.3633333333391</v>
      </c>
      <c r="D13" s="592">
        <v>451.67000000000064</v>
      </c>
      <c r="E13" s="592">
        <v>2400</v>
      </c>
      <c r="F13" s="592">
        <v>0</v>
      </c>
      <c r="G13" s="593">
        <v>0</v>
      </c>
      <c r="H13" s="594">
        <v>1115.8299999999927</v>
      </c>
      <c r="I13" s="591">
        <v>5665.8633333333328</v>
      </c>
      <c r="J13" s="592">
        <v>150</v>
      </c>
      <c r="K13" s="595">
        <v>0</v>
      </c>
      <c r="L13" s="596">
        <v>2400</v>
      </c>
      <c r="M13" s="571"/>
      <c r="N13" s="591">
        <v>8215.8633333333328</v>
      </c>
      <c r="O13" s="593">
        <v>8215.8633333333328</v>
      </c>
      <c r="P13" s="589">
        <v>30</v>
      </c>
      <c r="Q13" s="571"/>
      <c r="R13" s="571"/>
      <c r="S13" s="571"/>
      <c r="T13" s="571"/>
      <c r="U13" s="571"/>
    </row>
    <row r="14" spans="2:21" ht="15.75" x14ac:dyDescent="0.25">
      <c r="B14" s="590">
        <v>45566</v>
      </c>
      <c r="C14" s="591">
        <v>3721.3451612903254</v>
      </c>
      <c r="D14" s="592">
        <v>391.97741935483907</v>
      </c>
      <c r="E14" s="592">
        <v>0</v>
      </c>
      <c r="F14" s="592">
        <v>0</v>
      </c>
      <c r="G14" s="593">
        <v>0</v>
      </c>
      <c r="H14" s="594">
        <v>2682.2488064516092</v>
      </c>
      <c r="I14" s="591">
        <v>4845.5713870967738</v>
      </c>
      <c r="J14" s="592">
        <v>250</v>
      </c>
      <c r="K14" s="595">
        <v>0</v>
      </c>
      <c r="L14" s="596">
        <v>1700</v>
      </c>
      <c r="M14" s="571"/>
      <c r="N14" s="591">
        <v>6795.5713870967738</v>
      </c>
      <c r="O14" s="593">
        <v>6795.5713870967738</v>
      </c>
      <c r="P14" s="589">
        <v>31</v>
      </c>
      <c r="Q14" s="571"/>
      <c r="R14" s="571"/>
      <c r="S14" s="571"/>
      <c r="T14" s="571"/>
      <c r="U14" s="571"/>
    </row>
    <row r="15" spans="2:21" ht="15.75" x14ac:dyDescent="0.25">
      <c r="B15" s="590">
        <v>45597</v>
      </c>
      <c r="C15" s="591">
        <v>5846.9763666666677</v>
      </c>
      <c r="D15" s="592">
        <v>608.92330000000015</v>
      </c>
      <c r="E15" s="592">
        <v>0</v>
      </c>
      <c r="F15" s="592">
        <v>0</v>
      </c>
      <c r="G15" s="593">
        <v>0</v>
      </c>
      <c r="H15" s="594">
        <v>1749.6769999999997</v>
      </c>
      <c r="I15" s="591">
        <v>7955.5766666666677</v>
      </c>
      <c r="J15" s="592">
        <v>250</v>
      </c>
      <c r="K15" s="595">
        <v>0</v>
      </c>
      <c r="L15" s="596">
        <v>0</v>
      </c>
      <c r="M15" s="571"/>
      <c r="N15" s="591">
        <v>8205.5766666666677</v>
      </c>
      <c r="O15" s="593">
        <v>8205.5766666666677</v>
      </c>
      <c r="P15" s="589">
        <v>30</v>
      </c>
      <c r="Q15" s="571"/>
      <c r="R15" s="571"/>
      <c r="S15" s="571"/>
      <c r="T15" s="571"/>
      <c r="U15" s="571"/>
    </row>
    <row r="16" spans="2:21" ht="16.5" thickBot="1" x14ac:dyDescent="0.3">
      <c r="B16" s="597">
        <v>45627</v>
      </c>
      <c r="C16" s="598">
        <v>6729.8580645161319</v>
      </c>
      <c r="D16" s="599">
        <v>708.33548387096801</v>
      </c>
      <c r="E16" s="599">
        <v>0</v>
      </c>
      <c r="F16" s="599">
        <v>0</v>
      </c>
      <c r="G16" s="600">
        <v>0</v>
      </c>
      <c r="H16" s="601">
        <v>1483.7611612903183</v>
      </c>
      <c r="I16" s="598">
        <v>8671.9547096774186</v>
      </c>
      <c r="J16" s="599">
        <v>250</v>
      </c>
      <c r="K16" s="602">
        <v>0</v>
      </c>
      <c r="L16" s="603">
        <v>0</v>
      </c>
      <c r="M16" s="571"/>
      <c r="N16" s="604">
        <v>8921.9547096774186</v>
      </c>
      <c r="O16" s="605">
        <v>8921.9547096774186</v>
      </c>
      <c r="P16" s="589">
        <v>31</v>
      </c>
      <c r="Q16" s="571"/>
      <c r="R16" s="571"/>
      <c r="S16" s="571"/>
      <c r="T16" s="571"/>
      <c r="U16" s="571"/>
    </row>
    <row r="17" spans="2:21" ht="16.5" thickBot="1" x14ac:dyDescent="0.3">
      <c r="B17" s="606" t="s">
        <v>297</v>
      </c>
      <c r="C17" s="607">
        <v>4462.7899308243759</v>
      </c>
      <c r="D17" s="608">
        <v>470.08165127301976</v>
      </c>
      <c r="E17" s="608">
        <v>989.83129403040414</v>
      </c>
      <c r="F17" s="608">
        <v>458.14149480904712</v>
      </c>
      <c r="G17" s="609">
        <v>0</v>
      </c>
      <c r="H17" s="610">
        <v>1340.967234303544</v>
      </c>
      <c r="I17" s="607">
        <v>6625.1238986219259</v>
      </c>
      <c r="J17" s="608">
        <v>196.68770661846497</v>
      </c>
      <c r="K17" s="611">
        <v>0</v>
      </c>
      <c r="L17" s="612">
        <v>900</v>
      </c>
      <c r="M17" s="571"/>
      <c r="N17" s="613">
        <v>7721.8116052403893</v>
      </c>
      <c r="O17" s="614">
        <v>7721.8116052403893</v>
      </c>
      <c r="P17" s="571"/>
      <c r="Q17" s="571"/>
      <c r="R17" s="571"/>
      <c r="S17" s="571"/>
      <c r="T17" s="571"/>
      <c r="U17" s="571"/>
    </row>
    <row r="18" spans="2:21" ht="16.5" thickBot="1" x14ac:dyDescent="0.3">
      <c r="B18" s="571"/>
      <c r="C18" s="571"/>
      <c r="D18" s="571"/>
      <c r="E18" s="571"/>
      <c r="F18" s="571"/>
      <c r="G18" s="571"/>
      <c r="H18" s="625"/>
      <c r="I18" s="626"/>
      <c r="J18" s="626"/>
      <c r="K18" s="626"/>
      <c r="L18" s="626"/>
      <c r="M18" s="626"/>
      <c r="N18" s="626"/>
      <c r="O18" s="626"/>
      <c r="P18" s="626"/>
      <c r="Q18" s="626"/>
      <c r="R18" s="626"/>
      <c r="S18" s="626"/>
      <c r="T18" s="626"/>
      <c r="U18" s="626"/>
    </row>
    <row r="19" spans="2:21" ht="16.5" thickBot="1" x14ac:dyDescent="0.3">
      <c r="B19" s="628" t="s">
        <v>305</v>
      </c>
      <c r="C19" s="629">
        <v>0</v>
      </c>
      <c r="D19" s="630">
        <v>0</v>
      </c>
      <c r="E19" s="630">
        <v>0</v>
      </c>
      <c r="F19" s="630">
        <v>4444.4444444444443</v>
      </c>
      <c r="G19" s="633">
        <v>0</v>
      </c>
      <c r="H19" s="610">
        <v>3721.6039263379062</v>
      </c>
      <c r="I19" s="629">
        <v>7929.2975443084906</v>
      </c>
      <c r="J19" s="630">
        <v>236.75082647385986</v>
      </c>
      <c r="K19" s="633">
        <v>0</v>
      </c>
      <c r="L19" s="634">
        <v>0</v>
      </c>
      <c r="M19" s="627"/>
      <c r="N19" s="654">
        <v>8166.0483707823505</v>
      </c>
      <c r="O19" s="655">
        <v>8166.0483707823505</v>
      </c>
      <c r="P19" s="626"/>
      <c r="Q19" s="626"/>
      <c r="R19" s="626"/>
      <c r="S19" s="626"/>
      <c r="T19" s="626"/>
      <c r="U19" s="626"/>
    </row>
    <row r="20" spans="2:21" ht="15.75" x14ac:dyDescent="0.25">
      <c r="B20" s="571"/>
      <c r="C20" s="571"/>
      <c r="D20" s="571"/>
      <c r="E20" s="571"/>
      <c r="F20" s="571"/>
      <c r="G20" s="571"/>
      <c r="H20" s="571"/>
      <c r="I20" s="626"/>
      <c r="J20" s="626"/>
      <c r="K20" s="626"/>
      <c r="L20" s="626"/>
      <c r="M20" s="626"/>
      <c r="N20" s="626"/>
      <c r="O20" s="626"/>
      <c r="P20" s="626"/>
      <c r="Q20" s="626"/>
      <c r="R20" s="626"/>
      <c r="S20" s="626"/>
      <c r="T20" s="626"/>
      <c r="U20" s="626"/>
    </row>
    <row r="21" spans="2:21" ht="16.5" customHeight="1" thickBot="1" x14ac:dyDescent="0.3">
      <c r="B21" s="569" t="s">
        <v>298</v>
      </c>
      <c r="C21" s="570"/>
      <c r="D21" s="570"/>
      <c r="E21" s="570"/>
      <c r="F21" s="570"/>
      <c r="G21" s="570"/>
      <c r="H21" s="570"/>
      <c r="I21" s="570"/>
      <c r="J21" s="570"/>
      <c r="K21" s="570"/>
      <c r="L21" s="570"/>
      <c r="M21" s="570"/>
      <c r="N21" s="570"/>
      <c r="O21" s="570"/>
      <c r="P21" s="570"/>
      <c r="Q21" s="570"/>
      <c r="R21" s="570"/>
      <c r="S21" s="570"/>
      <c r="T21" s="570"/>
      <c r="U21" s="570"/>
    </row>
    <row r="22" spans="2:21" ht="16.5" customHeight="1" thickBot="1" x14ac:dyDescent="0.3">
      <c r="B22" s="754" t="s">
        <v>255</v>
      </c>
      <c r="C22" s="756" t="s">
        <v>256</v>
      </c>
      <c r="D22" s="757"/>
      <c r="E22" s="757"/>
      <c r="F22" s="757"/>
      <c r="G22" s="757"/>
      <c r="H22" s="758"/>
      <c r="I22" s="751" t="s">
        <v>257</v>
      </c>
      <c r="J22" s="752"/>
      <c r="K22" s="759"/>
      <c r="L22" s="754" t="s">
        <v>253</v>
      </c>
      <c r="M22" s="571"/>
      <c r="N22" s="569" t="s">
        <v>299</v>
      </c>
      <c r="O22" s="571"/>
      <c r="P22" s="571"/>
      <c r="Q22" s="571"/>
      <c r="R22" s="570"/>
      <c r="S22" s="571"/>
      <c r="T22" s="571"/>
      <c r="U22" s="571"/>
    </row>
    <row r="23" spans="2:21" ht="79.5" thickBot="1" x14ac:dyDescent="0.3">
      <c r="B23" s="755"/>
      <c r="C23" s="573" t="s">
        <v>293</v>
      </c>
      <c r="D23" s="574" t="s">
        <v>294</v>
      </c>
      <c r="E23" s="574" t="s">
        <v>260</v>
      </c>
      <c r="F23" s="574" t="s">
        <v>295</v>
      </c>
      <c r="G23" s="575" t="s">
        <v>296</v>
      </c>
      <c r="H23" s="576" t="s">
        <v>262</v>
      </c>
      <c r="I23" s="577" t="s">
        <v>263</v>
      </c>
      <c r="J23" s="578" t="s">
        <v>258</v>
      </c>
      <c r="K23" s="615" t="s">
        <v>260</v>
      </c>
      <c r="L23" s="755"/>
      <c r="M23" s="571"/>
      <c r="N23" s="616" t="s">
        <v>300</v>
      </c>
      <c r="O23" s="616" t="s">
        <v>301</v>
      </c>
      <c r="P23" s="616" t="s">
        <v>302</v>
      </c>
      <c r="Q23" s="616" t="s">
        <v>303</v>
      </c>
      <c r="R23" s="570"/>
      <c r="S23" s="616" t="s">
        <v>304</v>
      </c>
      <c r="T23" s="571"/>
      <c r="U23" s="571" t="s">
        <v>300</v>
      </c>
    </row>
    <row r="24" spans="2:21" ht="15.75" x14ac:dyDescent="0.25">
      <c r="B24" s="580">
        <v>45292</v>
      </c>
      <c r="C24" s="581">
        <v>95602.49079999997</v>
      </c>
      <c r="D24" s="581">
        <v>9393.6341999999986</v>
      </c>
      <c r="E24" s="582">
        <v>40900</v>
      </c>
      <c r="F24" s="582">
        <v>76256</v>
      </c>
      <c r="G24" s="583">
        <v>0</v>
      </c>
      <c r="H24" s="584">
        <v>41297.385000000031</v>
      </c>
      <c r="I24" s="581">
        <v>254726.73</v>
      </c>
      <c r="J24" s="582">
        <v>8722.7800000000007</v>
      </c>
      <c r="K24" s="583">
        <v>0</v>
      </c>
      <c r="L24" s="586">
        <v>0</v>
      </c>
      <c r="M24" s="571"/>
      <c r="N24" s="617">
        <v>39.676249980826555</v>
      </c>
      <c r="O24" s="618">
        <v>31</v>
      </c>
      <c r="P24" s="618">
        <v>34.588895762924182</v>
      </c>
      <c r="Q24" s="617">
        <v>31.659777520776174</v>
      </c>
      <c r="R24" s="570"/>
      <c r="S24" s="619">
        <v>36.80238886574756</v>
      </c>
      <c r="T24" s="571"/>
      <c r="U24" s="656">
        <v>77.599999999999994</v>
      </c>
    </row>
    <row r="25" spans="2:21" ht="15.75" x14ac:dyDescent="0.25">
      <c r="B25" s="590">
        <v>45323</v>
      </c>
      <c r="C25" s="591">
        <v>77599.91389999997</v>
      </c>
      <c r="D25" s="592">
        <v>7576.5980999999992</v>
      </c>
      <c r="E25" s="592">
        <v>74200</v>
      </c>
      <c r="F25" s="592">
        <v>56200</v>
      </c>
      <c r="G25" s="593">
        <v>0</v>
      </c>
      <c r="H25" s="594">
        <v>8875.2589999999982</v>
      </c>
      <c r="I25" s="591">
        <v>218264.99999999997</v>
      </c>
      <c r="J25" s="592">
        <v>6186.7709999999997</v>
      </c>
      <c r="K25" s="593">
        <v>0</v>
      </c>
      <c r="L25" s="596">
        <v>0</v>
      </c>
      <c r="M25" s="571"/>
      <c r="N25" s="617">
        <v>36.342626915427211</v>
      </c>
      <c r="O25" s="618">
        <v>30</v>
      </c>
      <c r="P25" s="618">
        <v>26.77</v>
      </c>
      <c r="Q25" s="617">
        <v>29.604110512129381</v>
      </c>
      <c r="R25" s="570"/>
      <c r="S25" s="619">
        <v>32.865947550729842</v>
      </c>
      <c r="T25" s="571"/>
      <c r="U25" s="656">
        <v>71.08</v>
      </c>
    </row>
    <row r="26" spans="2:21" ht="15.75" x14ac:dyDescent="0.25">
      <c r="B26" s="590">
        <v>45352</v>
      </c>
      <c r="C26" s="591">
        <v>152569.31329999998</v>
      </c>
      <c r="D26" s="592">
        <v>16246.7567</v>
      </c>
      <c r="E26" s="592">
        <v>24800</v>
      </c>
      <c r="F26" s="592">
        <v>34096.773999999998</v>
      </c>
      <c r="G26" s="593">
        <v>0</v>
      </c>
      <c r="H26" s="594">
        <v>28348.94099999997</v>
      </c>
      <c r="I26" s="591">
        <v>249380.18299999996</v>
      </c>
      <c r="J26" s="592">
        <v>6681.6020000000008</v>
      </c>
      <c r="K26" s="593">
        <v>0</v>
      </c>
      <c r="L26" s="596">
        <v>0</v>
      </c>
      <c r="M26" s="571"/>
      <c r="N26" s="617">
        <v>29.445299438090224</v>
      </c>
      <c r="O26" s="618">
        <v>24.8</v>
      </c>
      <c r="P26" s="618">
        <v>23.3</v>
      </c>
      <c r="Q26" s="617">
        <v>27.337499999999999</v>
      </c>
      <c r="R26" s="570"/>
      <c r="S26" s="619">
        <v>28.424930704108139</v>
      </c>
      <c r="T26" s="571"/>
      <c r="U26" s="656">
        <v>57.59</v>
      </c>
    </row>
    <row r="27" spans="2:21" ht="15.75" x14ac:dyDescent="0.25">
      <c r="B27" s="590">
        <v>45383</v>
      </c>
      <c r="C27" s="591">
        <v>174169.29100000017</v>
      </c>
      <c r="D27" s="592">
        <v>18607.699000000022</v>
      </c>
      <c r="E27" s="592">
        <v>0</v>
      </c>
      <c r="F27" s="592">
        <v>0</v>
      </c>
      <c r="G27" s="593">
        <v>0</v>
      </c>
      <c r="H27" s="594">
        <v>13825.129999999772</v>
      </c>
      <c r="I27" s="591">
        <v>202102.11999999997</v>
      </c>
      <c r="J27" s="592">
        <v>4500</v>
      </c>
      <c r="K27" s="593">
        <v>0</v>
      </c>
      <c r="L27" s="596">
        <v>0</v>
      </c>
      <c r="M27" s="571"/>
      <c r="N27" s="617">
        <v>30.084414289585499</v>
      </c>
      <c r="O27" s="618">
        <v>25.3</v>
      </c>
      <c r="P27" s="618">
        <v>23.8</v>
      </c>
      <c r="Q27" s="617">
        <v>0</v>
      </c>
      <c r="R27" s="570"/>
      <c r="S27" s="619">
        <v>29.663882087266494</v>
      </c>
      <c r="T27" s="571"/>
      <c r="U27" s="656">
        <v>58.84</v>
      </c>
    </row>
    <row r="28" spans="2:21" ht="15.75" x14ac:dyDescent="0.25">
      <c r="B28" s="590">
        <v>45413</v>
      </c>
      <c r="C28" s="591">
        <v>132772.00000000012</v>
      </c>
      <c r="D28" s="592">
        <v>14008.000000000011</v>
      </c>
      <c r="E28" s="592">
        <v>0</v>
      </c>
      <c r="F28" s="592">
        <v>0</v>
      </c>
      <c r="G28" s="593">
        <v>0</v>
      </c>
      <c r="H28" s="594">
        <v>31349.968999999874</v>
      </c>
      <c r="I28" s="591">
        <v>173479.96899999998</v>
      </c>
      <c r="J28" s="592">
        <v>4650</v>
      </c>
      <c r="K28" s="593">
        <v>0</v>
      </c>
      <c r="L28" s="596">
        <v>0</v>
      </c>
      <c r="M28" s="571"/>
      <c r="N28" s="617">
        <v>26.587177822203362</v>
      </c>
      <c r="O28" s="618">
        <v>25.3</v>
      </c>
      <c r="P28" s="618">
        <v>23.8</v>
      </c>
      <c r="Q28" s="617">
        <v>0</v>
      </c>
      <c r="R28" s="570"/>
      <c r="S28" s="619">
        <v>26.096648694431707</v>
      </c>
      <c r="T28" s="571"/>
      <c r="U28" s="657">
        <v>52</v>
      </c>
    </row>
    <row r="29" spans="2:21" ht="15.75" x14ac:dyDescent="0.25">
      <c r="B29" s="590">
        <v>45444</v>
      </c>
      <c r="C29" s="591">
        <v>123493.60000000012</v>
      </c>
      <c r="D29" s="592">
        <v>13110.400000000012</v>
      </c>
      <c r="E29" s="592">
        <v>0</v>
      </c>
      <c r="F29" s="592">
        <v>0</v>
      </c>
      <c r="G29" s="593">
        <v>0</v>
      </c>
      <c r="H29" s="594">
        <v>30476.719999999877</v>
      </c>
      <c r="I29" s="591">
        <v>162580.72</v>
      </c>
      <c r="J29" s="592">
        <v>4500</v>
      </c>
      <c r="K29" s="593">
        <v>0</v>
      </c>
      <c r="L29" s="596">
        <v>0</v>
      </c>
      <c r="M29" s="571"/>
      <c r="N29" s="617">
        <v>26.587177822203362</v>
      </c>
      <c r="O29" s="618">
        <v>25.3</v>
      </c>
      <c r="P29" s="618">
        <v>23.8</v>
      </c>
      <c r="Q29" s="617">
        <v>0</v>
      </c>
      <c r="R29" s="570"/>
      <c r="S29" s="619">
        <v>26.078776625000589</v>
      </c>
      <c r="T29" s="571"/>
      <c r="U29" s="657">
        <v>52</v>
      </c>
    </row>
    <row r="30" spans="2:21" ht="15.75" x14ac:dyDescent="0.25">
      <c r="B30" s="590">
        <v>45474</v>
      </c>
      <c r="C30" s="591">
        <v>127781.20000000008</v>
      </c>
      <c r="D30" s="592">
        <v>13586.800000000014</v>
      </c>
      <c r="E30" s="592">
        <v>74400</v>
      </c>
      <c r="F30" s="592">
        <v>0</v>
      </c>
      <c r="G30" s="593">
        <v>0</v>
      </c>
      <c r="H30" s="594">
        <v>71650.215999999928</v>
      </c>
      <c r="I30" s="591">
        <v>168068.21600000001</v>
      </c>
      <c r="J30" s="592">
        <v>4650</v>
      </c>
      <c r="K30" s="593">
        <v>0</v>
      </c>
      <c r="L30" s="596">
        <v>114700</v>
      </c>
      <c r="M30" s="571"/>
      <c r="N30" s="617">
        <v>30.677512871773111</v>
      </c>
      <c r="O30" s="618">
        <v>25.8</v>
      </c>
      <c r="P30" s="618">
        <v>24.3</v>
      </c>
      <c r="Q30" s="617">
        <v>26.889583333333334</v>
      </c>
      <c r="R30" s="570"/>
      <c r="S30" s="619">
        <v>28.107139487835461</v>
      </c>
      <c r="T30" s="571"/>
      <c r="U30" s="657">
        <v>60</v>
      </c>
    </row>
    <row r="31" spans="2:21" ht="15.75" x14ac:dyDescent="0.25">
      <c r="B31" s="590">
        <v>45505</v>
      </c>
      <c r="C31" s="591">
        <v>123953.40000000008</v>
      </c>
      <c r="D31" s="592">
        <v>13772.600000000009</v>
      </c>
      <c r="E31" s="592">
        <v>74400</v>
      </c>
      <c r="F31" s="592">
        <v>0</v>
      </c>
      <c r="G31" s="593">
        <v>0</v>
      </c>
      <c r="H31" s="594">
        <v>52950.349999999919</v>
      </c>
      <c r="I31" s="591">
        <v>167426.35</v>
      </c>
      <c r="J31" s="592">
        <v>4650</v>
      </c>
      <c r="K31" s="593">
        <v>0</v>
      </c>
      <c r="L31" s="596">
        <v>93000</v>
      </c>
      <c r="M31" s="571"/>
      <c r="N31" s="617">
        <v>30.677512871773111</v>
      </c>
      <c r="O31" s="618">
        <v>25.8</v>
      </c>
      <c r="P31" s="618">
        <v>24.3</v>
      </c>
      <c r="Q31" s="617">
        <v>26.889583333333334</v>
      </c>
      <c r="R31" s="570"/>
      <c r="S31" s="619">
        <v>28.340399446339987</v>
      </c>
      <c r="T31" s="571"/>
      <c r="U31" s="657">
        <v>60</v>
      </c>
    </row>
    <row r="32" spans="2:21" ht="15.75" x14ac:dyDescent="0.25">
      <c r="B32" s="590">
        <v>45536</v>
      </c>
      <c r="C32" s="591">
        <v>127450.90000000017</v>
      </c>
      <c r="D32" s="592">
        <v>13550.100000000019</v>
      </c>
      <c r="E32" s="592">
        <v>72000</v>
      </c>
      <c r="F32" s="592">
        <v>0</v>
      </c>
      <c r="G32" s="593">
        <v>0</v>
      </c>
      <c r="H32" s="594">
        <v>33474.899999999776</v>
      </c>
      <c r="I32" s="591">
        <v>169975.9</v>
      </c>
      <c r="J32" s="592">
        <v>4500</v>
      </c>
      <c r="K32" s="593">
        <v>0</v>
      </c>
      <c r="L32" s="596">
        <v>72000</v>
      </c>
      <c r="M32" s="571"/>
      <c r="N32" s="617">
        <v>30.677512871773111</v>
      </c>
      <c r="O32" s="618">
        <v>25.8</v>
      </c>
      <c r="P32" s="618">
        <v>24.3</v>
      </c>
      <c r="Q32" s="617">
        <v>26.889583333333334</v>
      </c>
      <c r="R32" s="570"/>
      <c r="S32" s="619">
        <v>28.704835087052654</v>
      </c>
      <c r="T32" s="571"/>
      <c r="U32" s="657">
        <v>60</v>
      </c>
    </row>
    <row r="33" spans="2:21" ht="15.75" x14ac:dyDescent="0.25">
      <c r="B33" s="590">
        <v>45566</v>
      </c>
      <c r="C33" s="591">
        <v>115361.70000000008</v>
      </c>
      <c r="D33" s="592">
        <v>12151.300000000012</v>
      </c>
      <c r="E33" s="592">
        <v>0</v>
      </c>
      <c r="F33" s="592">
        <v>0</v>
      </c>
      <c r="G33" s="593">
        <v>0</v>
      </c>
      <c r="H33" s="594">
        <v>83149.712999999887</v>
      </c>
      <c r="I33" s="591">
        <v>150212.71299999999</v>
      </c>
      <c r="J33" s="592">
        <v>7750</v>
      </c>
      <c r="K33" s="593">
        <v>0</v>
      </c>
      <c r="L33" s="596">
        <v>52700</v>
      </c>
      <c r="M33" s="571"/>
      <c r="N33" s="617">
        <v>33.233972277754205</v>
      </c>
      <c r="O33" s="618">
        <v>28.5</v>
      </c>
      <c r="P33" s="618">
        <v>27</v>
      </c>
      <c r="Q33" s="617">
        <v>0</v>
      </c>
      <c r="R33" s="570"/>
      <c r="S33" s="619">
        <v>30.773389679327217</v>
      </c>
      <c r="T33" s="571"/>
      <c r="U33" s="657">
        <v>65</v>
      </c>
    </row>
    <row r="34" spans="2:21" ht="15.75" x14ac:dyDescent="0.25">
      <c r="B34" s="590">
        <v>45597</v>
      </c>
      <c r="C34" s="591">
        <v>175409.29100000003</v>
      </c>
      <c r="D34" s="592">
        <v>18267.699000000004</v>
      </c>
      <c r="E34" s="592">
        <v>0</v>
      </c>
      <c r="F34" s="592">
        <v>0</v>
      </c>
      <c r="G34" s="593">
        <v>0</v>
      </c>
      <c r="H34" s="594">
        <v>52490.30999999999</v>
      </c>
      <c r="I34" s="591">
        <v>238667.30000000005</v>
      </c>
      <c r="J34" s="592">
        <v>7500</v>
      </c>
      <c r="K34" s="593">
        <v>0</v>
      </c>
      <c r="L34" s="596">
        <v>0</v>
      </c>
      <c r="M34" s="571"/>
      <c r="N34" s="617">
        <v>35.790431683735292</v>
      </c>
      <c r="O34" s="618">
        <v>28.5</v>
      </c>
      <c r="P34" s="618">
        <v>27</v>
      </c>
      <c r="Q34" s="617">
        <v>0</v>
      </c>
      <c r="R34" s="570"/>
      <c r="S34" s="619">
        <v>33.916045913923107</v>
      </c>
      <c r="T34" s="571"/>
      <c r="U34" s="657">
        <v>70</v>
      </c>
    </row>
    <row r="35" spans="2:21" ht="16.5" thickBot="1" x14ac:dyDescent="0.3">
      <c r="B35" s="597">
        <v>45627</v>
      </c>
      <c r="C35" s="591">
        <v>208625.60000000009</v>
      </c>
      <c r="D35" s="599">
        <v>21958.400000000009</v>
      </c>
      <c r="E35" s="599">
        <v>0</v>
      </c>
      <c r="F35" s="599">
        <v>0</v>
      </c>
      <c r="G35" s="600">
        <v>0</v>
      </c>
      <c r="H35" s="601">
        <v>45996.595999999867</v>
      </c>
      <c r="I35" s="598">
        <v>268830.59599999996</v>
      </c>
      <c r="J35" s="599">
        <v>7750</v>
      </c>
      <c r="K35" s="600">
        <v>0</v>
      </c>
      <c r="L35" s="603">
        <v>0</v>
      </c>
      <c r="M35" s="571"/>
      <c r="N35" s="617">
        <v>35.790431683735292</v>
      </c>
      <c r="O35" s="618">
        <v>28.5</v>
      </c>
      <c r="P35" s="618">
        <v>27</v>
      </c>
      <c r="Q35" s="617">
        <v>0</v>
      </c>
      <c r="R35" s="570"/>
      <c r="S35" s="619">
        <v>34.328543392691294</v>
      </c>
      <c r="T35" s="571"/>
      <c r="U35" s="657">
        <v>70</v>
      </c>
    </row>
    <row r="36" spans="2:21" ht="16.5" thickBot="1" x14ac:dyDescent="0.3">
      <c r="B36" s="606" t="s">
        <v>9</v>
      </c>
      <c r="C36" s="620">
        <v>1634788.7000000009</v>
      </c>
      <c r="D36" s="621">
        <v>172229.98700000008</v>
      </c>
      <c r="E36" s="621">
        <v>360700</v>
      </c>
      <c r="F36" s="621">
        <v>166552.774</v>
      </c>
      <c r="G36" s="622">
        <v>0</v>
      </c>
      <c r="H36" s="610">
        <v>493885.4889999989</v>
      </c>
      <c r="I36" s="620">
        <v>2423715.7969999998</v>
      </c>
      <c r="J36" s="621">
        <v>72041.152999999991</v>
      </c>
      <c r="K36" s="622">
        <v>0</v>
      </c>
      <c r="L36" s="623">
        <v>332400</v>
      </c>
      <c r="M36" s="571"/>
      <c r="N36" s="624">
        <v>32.130860044073358</v>
      </c>
      <c r="O36" s="624">
        <v>27.05</v>
      </c>
      <c r="P36" s="624">
        <v>25.829907980243686</v>
      </c>
      <c r="Q36" s="624">
        <v>28.211689672150925</v>
      </c>
      <c r="R36" s="570"/>
      <c r="S36" s="624">
        <v>30.430534509130819</v>
      </c>
      <c r="T36" s="571"/>
      <c r="U36" s="571"/>
    </row>
    <row r="37" spans="2:21" ht="16.5" thickBot="1" x14ac:dyDescent="0.3">
      <c r="B37" s="571"/>
      <c r="C37" s="571"/>
      <c r="D37" s="571"/>
      <c r="E37" s="571"/>
      <c r="F37" s="571"/>
      <c r="G37" s="571"/>
      <c r="H37" s="625"/>
      <c r="I37" s="626"/>
      <c r="J37" s="626"/>
      <c r="K37" s="571"/>
      <c r="L37" s="571"/>
      <c r="M37" s="571"/>
      <c r="N37" s="571"/>
      <c r="O37" s="571"/>
      <c r="P37" s="571"/>
      <c r="Q37" s="571"/>
      <c r="R37" s="570"/>
      <c r="S37" s="627"/>
      <c r="T37" s="571"/>
      <c r="U37" s="571"/>
    </row>
    <row r="38" spans="2:21" ht="16.5" thickBot="1" x14ac:dyDescent="0.3">
      <c r="B38" s="628" t="s">
        <v>305</v>
      </c>
      <c r="C38" s="629">
        <v>0</v>
      </c>
      <c r="D38" s="630">
        <v>0</v>
      </c>
      <c r="E38" s="630">
        <v>0</v>
      </c>
      <c r="F38" s="630">
        <v>400000</v>
      </c>
      <c r="G38" s="631">
        <v>0</v>
      </c>
      <c r="H38" s="610">
        <v>334944.35337041155</v>
      </c>
      <c r="I38" s="632">
        <v>713636.77898776415</v>
      </c>
      <c r="J38" s="630">
        <v>21307.574382647388</v>
      </c>
      <c r="K38" s="633">
        <v>0</v>
      </c>
      <c r="L38" s="634">
        <v>0</v>
      </c>
      <c r="M38" s="571"/>
      <c r="N38" s="635">
        <v>36.813015446127729</v>
      </c>
      <c r="O38" s="636">
        <v>40</v>
      </c>
      <c r="P38" s="636">
        <v>38.5</v>
      </c>
      <c r="Q38" s="637">
        <v>0</v>
      </c>
      <c r="R38" s="570"/>
      <c r="S38" s="638">
        <v>38.5</v>
      </c>
      <c r="T38" s="571"/>
      <c r="U38" s="657">
        <v>72</v>
      </c>
    </row>
  </sheetData>
  <mergeCells count="11">
    <mergeCell ref="B22:B23"/>
    <mergeCell ref="C22:H22"/>
    <mergeCell ref="I22:K22"/>
    <mergeCell ref="L22:L23"/>
    <mergeCell ref="L3:L4"/>
    <mergeCell ref="N3:N4"/>
    <mergeCell ref="O3:O4"/>
    <mergeCell ref="P3:P4"/>
    <mergeCell ref="B3:B4"/>
    <mergeCell ref="C3:H3"/>
    <mergeCell ref="I3:K3"/>
  </mergeCells>
  <conditionalFormatting sqref="H5:H17">
    <cfRule type="cellIs" dxfId="4" priority="4" operator="lessThan">
      <formula>0</formula>
    </cfRule>
  </conditionalFormatting>
  <conditionalFormatting sqref="H19">
    <cfRule type="cellIs" dxfId="3" priority="2" operator="lessThan">
      <formula>0</formula>
    </cfRule>
  </conditionalFormatting>
  <conditionalFormatting sqref="H24:H36">
    <cfRule type="cellIs" dxfId="2" priority="5" operator="lessThan">
      <formula>0</formula>
    </cfRule>
  </conditionalFormatting>
  <conditionalFormatting sqref="H38">
    <cfRule type="cellIs" dxfId="1" priority="1" operator="lessThan">
      <formula>0</formula>
    </cfRule>
  </conditionalFormatting>
  <conditionalFormatting sqref="I17:L17">
    <cfRule type="cellIs" dxfId="0" priority="3" operator="lessThan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9" scale="71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Z45"/>
  <sheetViews>
    <sheetView zoomScale="70" zoomScaleNormal="70" workbookViewId="0">
      <selection activeCell="I17" sqref="I17:K18"/>
    </sheetView>
  </sheetViews>
  <sheetFormatPr defaultColWidth="8.85546875" defaultRowHeight="15" x14ac:dyDescent="0.25"/>
  <cols>
    <col min="1" max="1" width="8.85546875" style="1"/>
    <col min="2" max="2" width="12.42578125" style="1" bestFit="1" customWidth="1"/>
    <col min="3" max="3" width="13.140625" style="1" customWidth="1"/>
    <col min="4" max="4" width="15.85546875" style="1" customWidth="1"/>
    <col min="5" max="5" width="13.5703125" style="1" customWidth="1"/>
    <col min="6" max="6" width="11" style="1" customWidth="1"/>
    <col min="7" max="7" width="12.7109375" style="1" customWidth="1"/>
    <col min="8" max="8" width="13.28515625" style="1" bestFit="1" customWidth="1"/>
    <col min="9" max="9" width="10" style="1" customWidth="1"/>
    <col min="10" max="10" width="11.42578125" style="1" bestFit="1" customWidth="1"/>
    <col min="11" max="11" width="11.28515625" style="154" bestFit="1" customWidth="1"/>
    <col min="12" max="12" width="10.140625" style="1" bestFit="1" customWidth="1"/>
    <col min="13" max="13" width="15.140625" style="1" bestFit="1" customWidth="1"/>
    <col min="14" max="14" width="15.42578125" style="1" bestFit="1" customWidth="1"/>
    <col min="15" max="15" width="15.42578125" style="1" customWidth="1"/>
    <col min="16" max="16" width="13" style="1" customWidth="1"/>
    <col min="17" max="18" width="17.5703125" style="69" customWidth="1"/>
    <col min="19" max="19" width="11.140625" style="123" customWidth="1"/>
    <col min="20" max="20" width="14.5703125" style="1" customWidth="1"/>
    <col min="21" max="21" width="19.140625" style="1" customWidth="1"/>
    <col min="22" max="22" width="10.140625" style="232" bestFit="1" customWidth="1"/>
    <col min="23" max="24" width="8.85546875" style="1"/>
    <col min="25" max="26" width="8.85546875" style="258"/>
    <col min="27" max="16384" width="8.85546875" style="1"/>
  </cols>
  <sheetData>
    <row r="1" spans="1:26" ht="15.75" thickBot="1" x14ac:dyDescent="0.3">
      <c r="A1" s="1" t="s">
        <v>82</v>
      </c>
      <c r="J1" s="16"/>
      <c r="N1" s="77"/>
      <c r="O1" s="77"/>
      <c r="P1" s="78"/>
      <c r="Q1" s="78"/>
      <c r="R1" s="13"/>
      <c r="T1" s="680" t="s">
        <v>29</v>
      </c>
      <c r="U1" s="680"/>
    </row>
    <row r="2" spans="1:26" ht="31.15" customHeight="1" x14ac:dyDescent="0.25">
      <c r="B2" s="676" t="s">
        <v>14</v>
      </c>
      <c r="C2" s="677"/>
      <c r="D2" s="677"/>
      <c r="E2" s="677"/>
      <c r="F2" s="677"/>
      <c r="G2" s="677"/>
      <c r="H2" s="677"/>
      <c r="I2" s="677"/>
      <c r="J2" s="677"/>
      <c r="K2" s="677"/>
      <c r="L2" s="677"/>
      <c r="M2" s="678"/>
      <c r="N2" s="679" t="s">
        <v>84</v>
      </c>
      <c r="O2" s="679"/>
      <c r="P2" s="679"/>
      <c r="Q2" s="679"/>
      <c r="R2" s="13"/>
      <c r="T2" s="2" t="s">
        <v>100</v>
      </c>
      <c r="U2" s="2" t="s">
        <v>81</v>
      </c>
    </row>
    <row r="3" spans="1:26" s="225" customFormat="1" ht="39.6" customHeight="1" thickBot="1" x14ac:dyDescent="0.3">
      <c r="B3" s="226" t="s">
        <v>8</v>
      </c>
      <c r="C3" s="227" t="s">
        <v>22</v>
      </c>
      <c r="D3" s="228" t="s">
        <v>23</v>
      </c>
      <c r="E3" s="228" t="s">
        <v>24</v>
      </c>
      <c r="F3" s="228" t="s">
        <v>25</v>
      </c>
      <c r="G3" s="228" t="s">
        <v>26</v>
      </c>
      <c r="H3" s="228" t="s">
        <v>18</v>
      </c>
      <c r="I3" s="228" t="s">
        <v>21</v>
      </c>
      <c r="J3" s="228" t="s">
        <v>27</v>
      </c>
      <c r="K3" s="229" t="s">
        <v>6</v>
      </c>
      <c r="L3" s="228" t="s">
        <v>129</v>
      </c>
      <c r="M3" s="230" t="s">
        <v>56</v>
      </c>
      <c r="N3" s="121" t="s">
        <v>137</v>
      </c>
      <c r="O3" s="121" t="s">
        <v>138</v>
      </c>
      <c r="P3" s="77" t="s">
        <v>103</v>
      </c>
      <c r="Q3" s="77" t="s">
        <v>83</v>
      </c>
      <c r="R3" s="77" t="s">
        <v>104</v>
      </c>
      <c r="S3" s="231"/>
      <c r="T3" s="376">
        <v>500</v>
      </c>
      <c r="U3" s="253"/>
      <c r="V3" s="233" t="s">
        <v>122</v>
      </c>
      <c r="Y3" s="259"/>
      <c r="Z3" s="259"/>
    </row>
    <row r="4" spans="1:26" x14ac:dyDescent="0.25">
      <c r="B4" s="47">
        <v>45383</v>
      </c>
      <c r="C4" s="182">
        <v>3150</v>
      </c>
      <c r="D4" s="182">
        <v>3131.212</v>
      </c>
      <c r="E4" s="14">
        <v>0.85399999999999998</v>
      </c>
      <c r="F4" s="14">
        <v>0</v>
      </c>
      <c r="G4" s="14">
        <v>0</v>
      </c>
      <c r="H4" s="5">
        <f>D4-E4-F4-G4-K4-L4</f>
        <v>2065.5770000000002</v>
      </c>
      <c r="I4" s="15">
        <v>2221.0500000000002</v>
      </c>
      <c r="J4" s="15">
        <v>1050</v>
      </c>
      <c r="K4" s="155">
        <v>1064.7809999999999</v>
      </c>
      <c r="L4" s="15">
        <v>0</v>
      </c>
      <c r="M4" s="120">
        <v>0</v>
      </c>
      <c r="N4" s="75">
        <v>500</v>
      </c>
      <c r="O4" s="75">
        <v>60</v>
      </c>
      <c r="P4" s="175">
        <f>+N4*'Цени капацитети'!$F$49+O4*'Цени капацитети'!$F$63</f>
        <v>968.23799999999994</v>
      </c>
      <c r="Q4" s="175">
        <f>+N4*'Цени капацитети'!$E$49+O4*'Цени капацитети'!$E$63</f>
        <v>1482.866</v>
      </c>
      <c r="R4" s="175">
        <f>Плевен!Q4+$T$3*'Цени капацитети'!$E$4+Плевен!$U$3*'Цени капацитети'!$E$25</f>
        <v>2116.6660000000002</v>
      </c>
      <c r="S4" s="123">
        <f>+R4+Бургас!O4+'Враца 1'!N4+'Враца 2'!N4+Перник!N4+Русе!M4+'Велико Търново'!J4+'Тенекс С'!J4</f>
        <v>2976.9764</v>
      </c>
      <c r="T4" s="4"/>
    </row>
    <row r="5" spans="1:26" x14ac:dyDescent="0.25">
      <c r="B5" s="47">
        <f>+B4+1</f>
        <v>45384</v>
      </c>
      <c r="C5" s="182">
        <v>3100</v>
      </c>
      <c r="D5" s="15">
        <v>3118.1030000000001</v>
      </c>
      <c r="E5" s="14">
        <v>0</v>
      </c>
      <c r="F5" s="14">
        <v>0</v>
      </c>
      <c r="G5" s="14">
        <v>0</v>
      </c>
      <c r="H5" s="5">
        <f t="shared" ref="H5:H33" si="0">D5-E5-F5-G5-K5-L5</f>
        <v>2065.5770000000002</v>
      </c>
      <c r="I5" s="15">
        <v>2221.0500000000002</v>
      </c>
      <c r="J5" s="15">
        <v>1050</v>
      </c>
      <c r="K5" s="155">
        <v>1052.5260000000001</v>
      </c>
      <c r="L5" s="15">
        <v>0</v>
      </c>
      <c r="M5" s="120">
        <v>0</v>
      </c>
      <c r="N5" s="75">
        <v>500</v>
      </c>
      <c r="O5" s="75">
        <v>60</v>
      </c>
      <c r="P5" s="175">
        <f>+N5*'Цени капацитети'!$F$49+O5*'Цени капацитети'!$F$63</f>
        <v>968.23799999999994</v>
      </c>
      <c r="Q5" s="175">
        <f>+N5*'Цени капацитети'!$E$49+O5*'Цени капацитети'!$E$63</f>
        <v>1482.866</v>
      </c>
      <c r="R5" s="175">
        <f>Плевен!Q5+$T$3*'Цени капацитети'!$E$4+Плевен!$U$3*'Цени капацитети'!$E$25</f>
        <v>2116.6660000000002</v>
      </c>
      <c r="S5" s="123">
        <f>+R5+Бургас!O5+'Враца 1'!N5+'Враца 2'!N5+Перник!N5+Русе!M5+'Велико Търново'!J5+'Тенекс С'!J5</f>
        <v>2976.9764</v>
      </c>
      <c r="T5" s="4"/>
    </row>
    <row r="6" spans="1:26" ht="13.9" customHeight="1" x14ac:dyDescent="0.25">
      <c r="B6" s="47">
        <f t="shared" ref="B6:B33" si="1">+B5+1</f>
        <v>45385</v>
      </c>
      <c r="C6" s="182">
        <v>3150</v>
      </c>
      <c r="D6" s="15">
        <v>3152.317</v>
      </c>
      <c r="E6" s="14">
        <v>1.153</v>
      </c>
      <c r="F6" s="14">
        <v>0</v>
      </c>
      <c r="G6" s="14">
        <v>0</v>
      </c>
      <c r="H6" s="5">
        <f t="shared" si="0"/>
        <v>2065.5770000000002</v>
      </c>
      <c r="I6" s="15">
        <v>2221.0500000000002</v>
      </c>
      <c r="J6" s="15">
        <v>1050</v>
      </c>
      <c r="K6" s="155">
        <v>1085.587</v>
      </c>
      <c r="L6" s="15">
        <v>0</v>
      </c>
      <c r="M6" s="120">
        <v>0</v>
      </c>
      <c r="N6" s="75">
        <v>500</v>
      </c>
      <c r="O6" s="75">
        <v>88</v>
      </c>
      <c r="P6" s="175">
        <f>+N6*'Цени капацитети'!$F$49+O6*'Цени капацитети'!$F$63</f>
        <v>1027.1723999999999</v>
      </c>
      <c r="Q6" s="175">
        <f>+N6*'Цени капацитети'!$E$49+O6*'Цени капацитети'!$E$63</f>
        <v>1573.1268</v>
      </c>
      <c r="R6" s="175">
        <f>Плевен!Q6+$T$3*'Цени капацитети'!$E$4+Плевен!$U$3*'Цени капацитети'!$E$25</f>
        <v>2206.9268000000002</v>
      </c>
      <c r="S6" s="123">
        <f>+R6+Бургас!O6+'Враца 1'!N6+'Враца 2'!N6+Перник!N6+Русе!M6+'Велико Търново'!J6+'Тенекс С'!J6</f>
        <v>3083.3552</v>
      </c>
      <c r="T6" s="681" t="s">
        <v>107</v>
      </c>
      <c r="U6" s="681"/>
    </row>
    <row r="7" spans="1:26" x14ac:dyDescent="0.25">
      <c r="B7" s="47">
        <f t="shared" si="1"/>
        <v>45386</v>
      </c>
      <c r="C7" s="182">
        <v>3150</v>
      </c>
      <c r="D7" s="15">
        <v>3154.3130000000001</v>
      </c>
      <c r="E7" s="14">
        <v>1.804</v>
      </c>
      <c r="F7" s="14">
        <v>0</v>
      </c>
      <c r="G7" s="14">
        <v>0</v>
      </c>
      <c r="H7" s="5">
        <f t="shared" si="0"/>
        <v>2065.5770000000002</v>
      </c>
      <c r="I7" s="15">
        <v>2221.0500000000002</v>
      </c>
      <c r="J7" s="15">
        <v>1080</v>
      </c>
      <c r="K7" s="155">
        <v>1086.932</v>
      </c>
      <c r="L7" s="15">
        <v>0</v>
      </c>
      <c r="M7" s="120">
        <v>0</v>
      </c>
      <c r="N7" s="75">
        <v>500</v>
      </c>
      <c r="O7" s="75">
        <v>95</v>
      </c>
      <c r="P7" s="175">
        <f>+N7*'Цени капацитети'!$F$49+O7*'Цени капацитети'!$F$63</f>
        <v>1041.9059999999999</v>
      </c>
      <c r="Q7" s="175">
        <f>+N7*'Цени капацитети'!$E$49+O7*'Цени капацитети'!$E$63</f>
        <v>1595.692</v>
      </c>
      <c r="R7" s="175">
        <f>Плевен!Q7+$T$3*'Цени капацитети'!$E$4+Плевен!$U$3*'Цени капацитети'!$E$25</f>
        <v>2229.4920000000002</v>
      </c>
      <c r="S7" s="123">
        <f>+R7+Бургас!O7+'Враца 1'!N7+'Враца 2'!N7+Перник!N7+Русе!M7+'Велико Търново'!J7+'Тенекс С'!J7</f>
        <v>3105.9204</v>
      </c>
      <c r="T7" s="681"/>
      <c r="U7" s="681"/>
    </row>
    <row r="8" spans="1:26" x14ac:dyDescent="0.25">
      <c r="B8" s="47">
        <f t="shared" si="1"/>
        <v>45387</v>
      </c>
      <c r="C8" s="182">
        <v>3150</v>
      </c>
      <c r="D8" s="15">
        <v>3164.7959999999998</v>
      </c>
      <c r="E8" s="14">
        <v>0</v>
      </c>
      <c r="F8" s="14">
        <v>0</v>
      </c>
      <c r="G8" s="14">
        <v>0</v>
      </c>
      <c r="H8" s="5">
        <f t="shared" si="0"/>
        <v>2065.5769999999998</v>
      </c>
      <c r="I8" s="15">
        <v>2221.0500000000002</v>
      </c>
      <c r="J8" s="15">
        <v>1080</v>
      </c>
      <c r="K8" s="155">
        <v>1099.2190000000001</v>
      </c>
      <c r="L8" s="15">
        <v>0</v>
      </c>
      <c r="M8" s="120">
        <v>0</v>
      </c>
      <c r="N8" s="75">
        <v>500</v>
      </c>
      <c r="O8" s="75">
        <v>95</v>
      </c>
      <c r="P8" s="175">
        <f>+N8*'Цени капацитети'!$F$49+O8*'Цени капацитети'!$F$63</f>
        <v>1041.9059999999999</v>
      </c>
      <c r="Q8" s="175">
        <f>+N8*'Цени капацитети'!$E$49+O8*'Цени капацитети'!$E$63</f>
        <v>1595.692</v>
      </c>
      <c r="R8" s="175">
        <f>Плевен!Q8+$T$3*'Цени капацитети'!$E$4+Плевен!$U$3*'Цени капацитети'!$E$25</f>
        <v>2229.4920000000002</v>
      </c>
      <c r="S8" s="123">
        <f>+R8+Бургас!O8+'Враца 1'!N8+'Враца 2'!N8+Перник!N8+Русе!M8+'Велико Търново'!J8+'Тенекс С'!J8</f>
        <v>3089.8024</v>
      </c>
      <c r="T8" s="681"/>
      <c r="U8" s="681"/>
    </row>
    <row r="9" spans="1:26" x14ac:dyDescent="0.25">
      <c r="B9" s="47">
        <f t="shared" si="1"/>
        <v>45388</v>
      </c>
      <c r="C9" s="182">
        <v>3150</v>
      </c>
      <c r="D9" s="15">
        <v>3131.703</v>
      </c>
      <c r="E9" s="14">
        <v>0</v>
      </c>
      <c r="F9" s="14">
        <v>0</v>
      </c>
      <c r="G9" s="14">
        <v>0</v>
      </c>
      <c r="H9" s="5">
        <f t="shared" si="0"/>
        <v>2065.5770000000002</v>
      </c>
      <c r="I9" s="15">
        <v>2221.0500000000002</v>
      </c>
      <c r="J9" s="15">
        <v>1050</v>
      </c>
      <c r="K9" s="155">
        <v>1066.126</v>
      </c>
      <c r="L9" s="15">
        <v>0</v>
      </c>
      <c r="M9" s="120">
        <v>0</v>
      </c>
      <c r="N9" s="75">
        <v>500</v>
      </c>
      <c r="O9" s="75">
        <v>70</v>
      </c>
      <c r="P9" s="175">
        <f>+N9*'Цени капацитети'!$F$49+O9*'Цени капацитети'!$F$63</f>
        <v>989.28599999999994</v>
      </c>
      <c r="Q9" s="175">
        <f>+N9*'Цени капацитети'!$E$49+O9*'Цени капацитети'!$E$63</f>
        <v>1515.1020000000001</v>
      </c>
      <c r="R9" s="175">
        <f>Плевен!Q9+$T$3*'Цени капацитети'!$E$4+Плевен!$U$3*'Цени капацитети'!$E$25</f>
        <v>2148.902</v>
      </c>
      <c r="S9" s="123">
        <f>+R9+Бургас!O9+'Враца 1'!N9+'Враца 2'!N9+Перник!N9+Русе!M9+'Велико Търново'!J9+'Тенекс С'!J9</f>
        <v>3018.8831999999998</v>
      </c>
      <c r="T9" s="113" t="s">
        <v>18</v>
      </c>
      <c r="U9" s="114" t="s">
        <v>6</v>
      </c>
    </row>
    <row r="10" spans="1:26" x14ac:dyDescent="0.25">
      <c r="B10" s="47">
        <f t="shared" si="1"/>
        <v>45389</v>
      </c>
      <c r="C10" s="182">
        <v>3150</v>
      </c>
      <c r="D10" s="15">
        <v>3125.6190000000001</v>
      </c>
      <c r="E10" s="14">
        <v>0</v>
      </c>
      <c r="F10" s="14">
        <v>0</v>
      </c>
      <c r="G10" s="14">
        <v>0</v>
      </c>
      <c r="H10" s="5">
        <f t="shared" si="0"/>
        <v>2065.5770000000002</v>
      </c>
      <c r="I10" s="15">
        <v>2221.0500000000002</v>
      </c>
      <c r="J10" s="15">
        <v>1040</v>
      </c>
      <c r="K10" s="155">
        <v>1060.0419999999999</v>
      </c>
      <c r="L10" s="15">
        <v>0</v>
      </c>
      <c r="M10" s="120">
        <v>0</v>
      </c>
      <c r="N10" s="75">
        <v>500</v>
      </c>
      <c r="O10" s="75">
        <v>60</v>
      </c>
      <c r="P10" s="175">
        <f>+N10*'Цени капацитети'!$F$49+O10*'Цени капацитети'!$F$63</f>
        <v>968.23799999999994</v>
      </c>
      <c r="Q10" s="175">
        <f>+N10*'Цени капацитети'!$E$49+O10*'Цени капацитети'!$E$63</f>
        <v>1482.866</v>
      </c>
      <c r="R10" s="175">
        <f>Плевен!Q10+$T$3*'Цени капацитети'!$E$4+Плевен!$U$3*'Цени капацитети'!$E$25</f>
        <v>2116.6660000000002</v>
      </c>
      <c r="S10" s="123">
        <f>+R10+Бургас!O10+'Враца 1'!N10+'Враца 2'!N10+Перник!N10+Русе!M10+'Велико Търново'!J10+'Тенекс С'!J10</f>
        <v>3025.3303999999998</v>
      </c>
      <c r="T10" s="112"/>
      <c r="U10" s="112"/>
    </row>
    <row r="11" spans="1:26" s="154" customFormat="1" x14ac:dyDescent="0.25">
      <c r="B11" s="236">
        <f t="shared" si="1"/>
        <v>45390</v>
      </c>
      <c r="C11" s="243">
        <v>3150</v>
      </c>
      <c r="D11" s="155">
        <v>3160.0239999999999</v>
      </c>
      <c r="E11" s="242">
        <v>2.5190000000000001</v>
      </c>
      <c r="F11" s="242">
        <v>0</v>
      </c>
      <c r="G11" s="242">
        <v>0</v>
      </c>
      <c r="H11" s="5">
        <f t="shared" si="0"/>
        <v>2065.5770000000002</v>
      </c>
      <c r="I11" s="15">
        <v>2221.0500000000002</v>
      </c>
      <c r="J11" s="15">
        <v>1080</v>
      </c>
      <c r="K11" s="155">
        <v>1091.9280000000001</v>
      </c>
      <c r="L11" s="15">
        <v>0</v>
      </c>
      <c r="M11" s="120">
        <v>0</v>
      </c>
      <c r="N11" s="75">
        <v>500</v>
      </c>
      <c r="O11" s="75">
        <v>100</v>
      </c>
      <c r="P11" s="175">
        <f>+N11*'Цени капацитети'!$F$49+O11*'Цени капацитети'!$F$63</f>
        <v>1052.4299999999998</v>
      </c>
      <c r="Q11" s="175">
        <f>+N11*'Цени капацитети'!$E$49+O11*'Цени капацитети'!$E$63</f>
        <v>1611.81</v>
      </c>
      <c r="R11" s="175">
        <f>Плевен!Q11+$T$3*'Цени капацитети'!$E$4+Плевен!$U$3*'Цени капацитети'!$E$25</f>
        <v>2245.61</v>
      </c>
      <c r="S11" s="123">
        <f>+R11+Бургас!O11+'Враца 1'!N11+'Враца 2'!N11+Перник!N11+Русе!M11+'Велико Търново'!J11+'Тенекс С'!J11</f>
        <v>3143.3144000000002</v>
      </c>
      <c r="T11" s="245"/>
      <c r="U11" s="246"/>
      <c r="V11" s="232"/>
      <c r="Y11" s="258"/>
      <c r="Z11" s="258"/>
    </row>
    <row r="12" spans="1:26" x14ac:dyDescent="0.25">
      <c r="B12" s="47">
        <f t="shared" si="1"/>
        <v>45391</v>
      </c>
      <c r="C12" s="243">
        <v>3150</v>
      </c>
      <c r="D12" s="15">
        <v>3151.143</v>
      </c>
      <c r="E12" s="242">
        <v>0.98199999999999998</v>
      </c>
      <c r="F12" s="14">
        <v>0</v>
      </c>
      <c r="G12" s="14">
        <v>0</v>
      </c>
      <c r="H12" s="5">
        <f t="shared" si="0"/>
        <v>2065.5770000000002</v>
      </c>
      <c r="I12" s="15">
        <v>2221.0500000000002</v>
      </c>
      <c r="J12" s="15">
        <v>1080</v>
      </c>
      <c r="K12" s="155">
        <v>1084.5840000000001</v>
      </c>
      <c r="L12" s="15">
        <v>0</v>
      </c>
      <c r="M12" s="120">
        <v>0</v>
      </c>
      <c r="N12" s="75">
        <v>500</v>
      </c>
      <c r="O12" s="75">
        <v>90</v>
      </c>
      <c r="P12" s="175">
        <f>+N12*'Цени капацитети'!$F$49+O12*'Цени капацитети'!$F$63</f>
        <v>1031.3819999999998</v>
      </c>
      <c r="Q12" s="175">
        <f>+N12*'Цени капацитети'!$E$49+O12*'Цени капацитети'!$E$63</f>
        <v>1579.5740000000001</v>
      </c>
      <c r="R12" s="175">
        <f>Плевен!Q12+$T$3*'Цени капацитети'!$E$4+Плевен!$U$3*'Цени капацитети'!$E$25</f>
        <v>2213.3740000000003</v>
      </c>
      <c r="S12" s="123">
        <f>+R12+Бургас!O12+'Враца 1'!N12+'Враца 2'!N12+Перник!N12+Русе!M12+'Велико Търново'!J12+'Тенекс С'!J12</f>
        <v>3174.261</v>
      </c>
      <c r="T12" s="4"/>
      <c r="U12" s="4"/>
    </row>
    <row r="13" spans="1:26" x14ac:dyDescent="0.25">
      <c r="B13" s="47">
        <f t="shared" si="1"/>
        <v>45392</v>
      </c>
      <c r="C13" s="243">
        <v>3150</v>
      </c>
      <c r="D13" s="15">
        <v>3156.5439999999999</v>
      </c>
      <c r="E13" s="14">
        <v>0.93899999999999995</v>
      </c>
      <c r="F13" s="14">
        <v>0</v>
      </c>
      <c r="G13" s="14">
        <v>0</v>
      </c>
      <c r="H13" s="5">
        <f t="shared" si="0"/>
        <v>2065.5770000000002</v>
      </c>
      <c r="I13" s="15">
        <v>2221.0500000000002</v>
      </c>
      <c r="J13" s="15">
        <v>1050</v>
      </c>
      <c r="K13" s="155">
        <v>1090.028</v>
      </c>
      <c r="L13" s="15">
        <v>0</v>
      </c>
      <c r="M13" s="120">
        <v>0</v>
      </c>
      <c r="N13" s="75">
        <v>550</v>
      </c>
      <c r="O13" s="75">
        <v>35</v>
      </c>
      <c r="P13" s="175">
        <f>+N13*'Цени капацитети'!$F$49+O13*'Цени капацитети'!$F$63</f>
        <v>999.81299999999999</v>
      </c>
      <c r="Q13" s="175">
        <f>+N13*'Цени капацитети'!$E$49+O13*'Цени капацитети'!$E$63</f>
        <v>1531.221</v>
      </c>
      <c r="R13" s="175">
        <f>Плевен!Q13+$T$3*'Цени капацитети'!$E$4+Плевен!$U$3*'Цени капацитети'!$E$25</f>
        <v>2165.0210000000002</v>
      </c>
      <c r="S13" s="123">
        <f>+R13+Бургас!O13+'Враца 1'!N13+'Враца 2'!N13+Перник!N13+Русе!M13+'Велико Търново'!J13+'Тенекс С'!J13</f>
        <v>3083.3564000000001</v>
      </c>
      <c r="T13" s="4"/>
    </row>
    <row r="14" spans="1:26" x14ac:dyDescent="0.25">
      <c r="B14" s="47">
        <f t="shared" si="1"/>
        <v>45393</v>
      </c>
      <c r="C14" s="243">
        <v>3150</v>
      </c>
      <c r="D14" s="15">
        <v>3153.3519999999999</v>
      </c>
      <c r="E14" s="14">
        <v>0.70499999999999996</v>
      </c>
      <c r="F14" s="14">
        <v>0</v>
      </c>
      <c r="G14" s="14">
        <v>0</v>
      </c>
      <c r="H14" s="5">
        <f t="shared" si="0"/>
        <v>2065.5770000000002</v>
      </c>
      <c r="I14" s="15">
        <v>2221.0500000000002</v>
      </c>
      <c r="J14" s="15">
        <v>1050</v>
      </c>
      <c r="K14" s="155">
        <v>1087.07</v>
      </c>
      <c r="L14" s="15">
        <v>0</v>
      </c>
      <c r="M14" s="120">
        <v>0</v>
      </c>
      <c r="N14" s="75">
        <v>550</v>
      </c>
      <c r="O14" s="75">
        <v>40</v>
      </c>
      <c r="P14" s="175">
        <f>+N14*'Цени капацитети'!$F$49+O14*'Цени капацитети'!$F$63</f>
        <v>1010.337</v>
      </c>
      <c r="Q14" s="175">
        <f>+N14*'Цени капацитети'!$E$49+O14*'Цени капацитети'!$E$63</f>
        <v>1547.3389999999999</v>
      </c>
      <c r="R14" s="175">
        <f>Плевен!Q14+$T$3*'Цени капацитети'!$E$4+Плевен!$U$3*'Цени капацитети'!$E$25</f>
        <v>2181.1390000000001</v>
      </c>
      <c r="S14" s="123">
        <f>+R14+Бургас!O14+'Враца 1'!N14+'Враца 2'!N14+Перник!N14+Русе!M14+'Велико Търново'!J14+'Тенекс С'!J14</f>
        <v>3093.0273999999999</v>
      </c>
      <c r="T14" s="4"/>
    </row>
    <row r="15" spans="1:26" x14ac:dyDescent="0.25">
      <c r="B15" s="47">
        <f t="shared" si="1"/>
        <v>45394</v>
      </c>
      <c r="C15" s="243">
        <v>2950</v>
      </c>
      <c r="D15" s="15">
        <v>2772.308</v>
      </c>
      <c r="E15" s="14">
        <v>0</v>
      </c>
      <c r="F15" s="14">
        <v>0</v>
      </c>
      <c r="G15" s="14">
        <v>0</v>
      </c>
      <c r="H15" s="5">
        <f t="shared" si="0"/>
        <v>2065.5770000000002</v>
      </c>
      <c r="I15" s="15">
        <v>2221.0500000000002</v>
      </c>
      <c r="J15" s="15">
        <v>650</v>
      </c>
      <c r="K15" s="155">
        <v>706.73099999999977</v>
      </c>
      <c r="L15" s="15">
        <v>0</v>
      </c>
      <c r="M15" s="120">
        <v>0</v>
      </c>
      <c r="N15" s="75">
        <v>380</v>
      </c>
      <c r="O15" s="75"/>
      <c r="P15" s="175">
        <f>+N15*'Цени капацитети'!$F$49+O15*'Цени капацитети'!$F$63</f>
        <v>639.88199999999995</v>
      </c>
      <c r="Q15" s="175">
        <f>+N15*'Цени капацитети'!$E$49+O15*'Цени капацитети'!$E$63</f>
        <v>979.98199999999997</v>
      </c>
      <c r="R15" s="175">
        <f>Плевен!Q15+$T$3*'Цени капацитети'!$E$4+Плевен!$U$3*'Цени капацитети'!$E$25</f>
        <v>1613.7820000000002</v>
      </c>
      <c r="S15" s="123">
        <f>+R15+Бургас!O15+'Враца 1'!N15+'Враца 2'!N15+Перник!N15+Русе!M15+'Велико Търново'!J15+'Тенекс С'!J15</f>
        <v>2512.7759000000001</v>
      </c>
      <c r="T15" s="4"/>
    </row>
    <row r="16" spans="1:26" x14ac:dyDescent="0.25">
      <c r="B16" s="47">
        <f t="shared" si="1"/>
        <v>45395</v>
      </c>
      <c r="C16" s="243">
        <v>2000</v>
      </c>
      <c r="D16" s="15">
        <v>1953.258</v>
      </c>
      <c r="E16" s="183">
        <v>0</v>
      </c>
      <c r="F16" s="14">
        <v>0</v>
      </c>
      <c r="G16" s="14">
        <v>0</v>
      </c>
      <c r="H16" s="5">
        <f t="shared" si="0"/>
        <v>1953.258</v>
      </c>
      <c r="I16" s="15">
        <v>2221.0500000000002</v>
      </c>
      <c r="J16" s="15">
        <v>0</v>
      </c>
      <c r="K16" s="155">
        <v>0</v>
      </c>
      <c r="L16" s="15">
        <v>0</v>
      </c>
      <c r="M16" s="120">
        <v>0</v>
      </c>
      <c r="N16" s="75"/>
      <c r="O16" s="75"/>
      <c r="P16" s="175">
        <f>+N16*'Цени капацитети'!$F$49+O16*'Цени капацитети'!$F$63</f>
        <v>0</v>
      </c>
      <c r="Q16" s="175">
        <f>+N16*'Цени капацитети'!$E$49+O16*'Цени капацитети'!$E$63</f>
        <v>0</v>
      </c>
      <c r="R16" s="175">
        <f>Плевен!Q16+$T$3*'Цени капацитети'!$E$4+Плевен!$U$3*'Цени капацитети'!$E$25</f>
        <v>633.80000000000007</v>
      </c>
      <c r="S16" s="123">
        <f>+R16+Бургас!O16+'Враца 1'!N16+'Враца 2'!N16+Перник!N16+Русе!M16+'Велико Търново'!J16+'Тенекс С'!J16</f>
        <v>1530.2149999999999</v>
      </c>
      <c r="T16" s="4"/>
    </row>
    <row r="17" spans="2:21" x14ac:dyDescent="0.25">
      <c r="B17" s="47">
        <f t="shared" si="1"/>
        <v>45396</v>
      </c>
      <c r="C17" s="243">
        <v>2000</v>
      </c>
      <c r="D17" s="15">
        <v>1979.3910000000001</v>
      </c>
      <c r="E17" s="14">
        <v>0</v>
      </c>
      <c r="F17" s="14">
        <v>0</v>
      </c>
      <c r="G17" s="14">
        <v>0</v>
      </c>
      <c r="H17" s="5">
        <f t="shared" si="0"/>
        <v>1979.3910000000001</v>
      </c>
      <c r="I17" s="15">
        <v>2221.0500000000002</v>
      </c>
      <c r="J17" s="15">
        <v>0</v>
      </c>
      <c r="K17" s="155">
        <v>0</v>
      </c>
      <c r="L17" s="15">
        <v>0</v>
      </c>
      <c r="M17" s="120">
        <v>0</v>
      </c>
      <c r="N17" s="75"/>
      <c r="O17" s="75"/>
      <c r="P17" s="175">
        <f>+N17*'Цени капацитети'!$F$49+O17*'Цени капацитети'!$F$63</f>
        <v>0</v>
      </c>
      <c r="Q17" s="175">
        <f>+N17*'Цени капацитети'!$E$49+O17*'Цени капацитети'!$E$63</f>
        <v>0</v>
      </c>
      <c r="R17" s="175">
        <f>Плевен!Q17+$T$3*'Цени капацитети'!$E$4+Плевен!$U$3*'Цени капацитети'!$E$25</f>
        <v>633.80000000000007</v>
      </c>
      <c r="S17" s="123">
        <f>+R17+Бургас!O17+'Враца 1'!N17+'Враца 2'!N17+Перник!N17+Русе!M17+'Велико Търново'!J17+'Тенекс С'!J17</f>
        <v>1536.6622</v>
      </c>
      <c r="T17" s="4"/>
    </row>
    <row r="18" spans="2:21" x14ac:dyDescent="0.25">
      <c r="B18" s="47">
        <f t="shared" si="1"/>
        <v>45397</v>
      </c>
      <c r="C18" s="243">
        <v>2000</v>
      </c>
      <c r="D18" s="15">
        <v>1973.9359999999999</v>
      </c>
      <c r="E18" s="14">
        <v>1.591</v>
      </c>
      <c r="F18" s="14">
        <v>0</v>
      </c>
      <c r="G18" s="14">
        <v>0</v>
      </c>
      <c r="H18" s="5">
        <f t="shared" si="0"/>
        <v>1972.345</v>
      </c>
      <c r="I18" s="15">
        <v>2221.0500000000002</v>
      </c>
      <c r="J18" s="15">
        <v>0</v>
      </c>
      <c r="K18" s="155">
        <v>0</v>
      </c>
      <c r="L18" s="15">
        <v>0</v>
      </c>
      <c r="M18" s="120">
        <v>0</v>
      </c>
      <c r="N18" s="75"/>
      <c r="O18" s="75"/>
      <c r="P18" s="175">
        <f>+N18*'Цени капацитети'!$F$49+O18*'Цени капацитети'!$F$63</f>
        <v>0</v>
      </c>
      <c r="Q18" s="175">
        <f>+N18*'Цени капацитети'!$E$49+O18*'Цени капацитети'!$E$63</f>
        <v>0</v>
      </c>
      <c r="R18" s="175">
        <f>Плевен!Q18+$T$3*'Цени капацитети'!$E$4+Плевен!$U$3*'Цени капацитети'!$E$25</f>
        <v>633.80000000000007</v>
      </c>
      <c r="S18" s="123">
        <f>+R18+Бургас!O18+'Враца 1'!N18+'Враца 2'!N18+Перник!N18+Русе!M18+'Велико Търново'!J18+'Тенекс С'!J18</f>
        <v>1530.2149999999999</v>
      </c>
      <c r="T18" s="4"/>
    </row>
    <row r="19" spans="2:21" x14ac:dyDescent="0.25">
      <c r="B19" s="47">
        <f t="shared" si="1"/>
        <v>45398</v>
      </c>
      <c r="C19" s="243">
        <v>1800</v>
      </c>
      <c r="D19" s="15"/>
      <c r="E19" s="14"/>
      <c r="F19" s="14"/>
      <c r="G19" s="14"/>
      <c r="H19" s="5">
        <f t="shared" si="0"/>
        <v>0</v>
      </c>
      <c r="I19" s="15"/>
      <c r="J19" s="15"/>
      <c r="K19" s="155"/>
      <c r="L19" s="15">
        <v>0</v>
      </c>
      <c r="M19" s="120">
        <v>0</v>
      </c>
      <c r="N19" s="75"/>
      <c r="O19" s="75"/>
      <c r="P19" s="175">
        <f>+N19*'Цени капацитети'!$F$49+O19*'Цени капацитети'!$F$63</f>
        <v>0</v>
      </c>
      <c r="Q19" s="175">
        <f>+N19*'Цени капацитети'!$E$49+O19*'Цени капацитети'!$E$63</f>
        <v>0</v>
      </c>
      <c r="R19" s="175">
        <f>Плевен!Q19+$T$3*'Цени капацитети'!$E$4+Плевен!$U$3*'Цени капацитети'!$E$25</f>
        <v>633.80000000000007</v>
      </c>
      <c r="S19" s="123">
        <f>+R19+Бургас!O19+'Враца 1'!N19+'Враца 2'!N19+Перник!N19+Русе!M19+'Велико Търново'!J19+'Тенекс С'!J19</f>
        <v>1494.1104</v>
      </c>
      <c r="T19" s="4"/>
    </row>
    <row r="20" spans="2:21" x14ac:dyDescent="0.25">
      <c r="B20" s="47">
        <f t="shared" si="1"/>
        <v>45399</v>
      </c>
      <c r="C20" s="243"/>
      <c r="D20" s="182"/>
      <c r="E20" s="14"/>
      <c r="F20" s="14"/>
      <c r="G20" s="14"/>
      <c r="H20" s="5">
        <f t="shared" si="0"/>
        <v>0</v>
      </c>
      <c r="I20" s="15"/>
      <c r="J20" s="15"/>
      <c r="K20" s="155"/>
      <c r="L20" s="15">
        <v>0</v>
      </c>
      <c r="M20" s="120">
        <v>0</v>
      </c>
      <c r="N20" s="75"/>
      <c r="O20" s="75"/>
      <c r="P20" s="175">
        <f>+N20*'Цени капацитети'!$F$49+O20*'Цени капацитети'!$F$63</f>
        <v>0</v>
      </c>
      <c r="Q20" s="175">
        <f>+N20*'Цени капацитети'!$E$49+O20*'Цени капацитети'!$E$63</f>
        <v>0</v>
      </c>
      <c r="R20" s="175">
        <f>Плевен!Q20+$T$3*'Цени капацитети'!$E$4+Плевен!$U$3*'Цени капацитети'!$E$25</f>
        <v>633.80000000000007</v>
      </c>
      <c r="S20" s="123">
        <f>+R20+Бургас!O20+'Враца 1'!N20+'Враца 2'!N20+Перник!N20+Русе!M20+'Велико Търново'!J20+'Тенекс С'!J20</f>
        <v>1494.1104</v>
      </c>
      <c r="T20" s="4"/>
      <c r="U20" s="4"/>
    </row>
    <row r="21" spans="2:21" x14ac:dyDescent="0.25">
      <c r="B21" s="47">
        <f t="shared" si="1"/>
        <v>45400</v>
      </c>
      <c r="C21" s="243"/>
      <c r="D21" s="182"/>
      <c r="E21" s="14"/>
      <c r="F21" s="14"/>
      <c r="G21" s="14"/>
      <c r="H21" s="5">
        <f t="shared" si="0"/>
        <v>0</v>
      </c>
      <c r="I21" s="15"/>
      <c r="J21" s="15"/>
      <c r="K21" s="155"/>
      <c r="L21" s="15">
        <v>0</v>
      </c>
      <c r="M21" s="120">
        <v>0</v>
      </c>
      <c r="N21" s="75"/>
      <c r="O21" s="75"/>
      <c r="P21" s="175">
        <f>+N21*'Цени капацитети'!$F$49+O21*'Цени капацитети'!$F$63</f>
        <v>0</v>
      </c>
      <c r="Q21" s="175">
        <f>+N21*'Цени капацитети'!$E$49+O21*'Цени капацитети'!$E$63</f>
        <v>0</v>
      </c>
      <c r="R21" s="175">
        <f>Плевен!Q21+$T$3*'Цени капацитети'!$E$4+Плевен!$U$3*'Цени капацитети'!$E$25</f>
        <v>633.80000000000007</v>
      </c>
      <c r="S21" s="123">
        <f>+R21+Бургас!O21+'Враца 1'!N21+'Враца 2'!N21+Перник!N21+Русе!M21+'Велико Търново'!J21+'Тенекс С'!J21</f>
        <v>1494.1104</v>
      </c>
      <c r="U21" s="4"/>
    </row>
    <row r="22" spans="2:21" x14ac:dyDescent="0.25">
      <c r="B22" s="47">
        <f t="shared" si="1"/>
        <v>45401</v>
      </c>
      <c r="C22" s="243"/>
      <c r="D22" s="15"/>
      <c r="E22" s="14"/>
      <c r="F22" s="14"/>
      <c r="G22" s="14"/>
      <c r="H22" s="5">
        <f t="shared" si="0"/>
        <v>0</v>
      </c>
      <c r="I22" s="15"/>
      <c r="J22" s="15"/>
      <c r="K22" s="155"/>
      <c r="L22" s="15">
        <v>0</v>
      </c>
      <c r="M22" s="120">
        <v>0</v>
      </c>
      <c r="N22" s="75"/>
      <c r="O22" s="75"/>
      <c r="P22" s="175">
        <f>+N22*'Цени капацитети'!$F$49+O22*'Цени капацитети'!$F$63</f>
        <v>0</v>
      </c>
      <c r="Q22" s="175">
        <f>+N22*'Цени капацитети'!$E$49+O22*'Цени капацитети'!$E$63</f>
        <v>0</v>
      </c>
      <c r="R22" s="175">
        <f>Плевен!Q22+$T$3*'Цени капацитети'!$E$4+Плевен!$U$3*'Цени капацитети'!$E$25</f>
        <v>633.80000000000007</v>
      </c>
      <c r="S22" s="123">
        <f>+R22+Бургас!O22+'Враца 1'!N22+'Враца 2'!N22+Перник!N22+Русе!M22+'Велико Търново'!J22+'Тенекс С'!J22</f>
        <v>1494.1104</v>
      </c>
    </row>
    <row r="23" spans="2:21" x14ac:dyDescent="0.25">
      <c r="B23" s="47">
        <f t="shared" si="1"/>
        <v>45402</v>
      </c>
      <c r="C23" s="243"/>
      <c r="D23" s="15"/>
      <c r="E23" s="14"/>
      <c r="F23" s="14"/>
      <c r="G23" s="14"/>
      <c r="H23" s="5">
        <f t="shared" si="0"/>
        <v>0</v>
      </c>
      <c r="I23" s="15"/>
      <c r="J23" s="15"/>
      <c r="K23" s="155"/>
      <c r="L23" s="15">
        <v>0</v>
      </c>
      <c r="M23" s="120">
        <v>0</v>
      </c>
      <c r="N23" s="75"/>
      <c r="O23" s="75"/>
      <c r="P23" s="175">
        <f>+N23*'Цени капацитети'!$F$49+O23*'Цени капацитети'!$F$63</f>
        <v>0</v>
      </c>
      <c r="Q23" s="175">
        <f>+N23*'Цени капацитети'!$E$49+O23*'Цени капацитети'!$E$63</f>
        <v>0</v>
      </c>
      <c r="R23" s="175">
        <f>Плевен!Q23+$T$3*'Цени капацитети'!$E$4+Плевен!$U$3*'Цени капацитети'!$E$25</f>
        <v>633.80000000000007</v>
      </c>
      <c r="S23" s="123">
        <f>+R23+Бургас!O23+'Враца 1'!N23+'Враца 2'!N23+Перник!N23+Русе!M23+'Велико Търново'!J23+'Тенекс С'!J23</f>
        <v>1494.1104</v>
      </c>
    </row>
    <row r="24" spans="2:21" x14ac:dyDescent="0.25">
      <c r="B24" s="47">
        <f t="shared" si="1"/>
        <v>45403</v>
      </c>
      <c r="C24" s="243"/>
      <c r="D24" s="15"/>
      <c r="E24" s="14"/>
      <c r="F24" s="14"/>
      <c r="G24" s="14"/>
      <c r="H24" s="5">
        <f t="shared" si="0"/>
        <v>0</v>
      </c>
      <c r="I24" s="15"/>
      <c r="J24" s="15"/>
      <c r="K24" s="155"/>
      <c r="L24" s="15">
        <v>0</v>
      </c>
      <c r="M24" s="120">
        <v>0</v>
      </c>
      <c r="N24" s="75"/>
      <c r="O24" s="75"/>
      <c r="P24" s="175">
        <f>+N24*'Цени капацитети'!$F$49+O24*'Цени капацитети'!$F$63</f>
        <v>0</v>
      </c>
      <c r="Q24" s="175">
        <f>+N24*'Цени капацитети'!$E$49+O24*'Цени капацитети'!$E$63</f>
        <v>0</v>
      </c>
      <c r="R24" s="175">
        <f>Плевен!Q24+$T$3*'Цени капацитети'!$E$4+Плевен!$U$3*'Цени капацитети'!$E$25</f>
        <v>633.80000000000007</v>
      </c>
      <c r="S24" s="123">
        <f>+R24+Бургас!O24+'Враца 1'!N24+'Враца 2'!N24+Перник!N24+Русе!M24+'Велико Търново'!J24+'Тенекс С'!J24</f>
        <v>1494.1104</v>
      </c>
    </row>
    <row r="25" spans="2:21" x14ac:dyDescent="0.25">
      <c r="B25" s="47">
        <f t="shared" si="1"/>
        <v>45404</v>
      </c>
      <c r="C25" s="243"/>
      <c r="D25" s="15"/>
      <c r="E25" s="14"/>
      <c r="F25" s="14"/>
      <c r="G25" s="14"/>
      <c r="H25" s="5">
        <f t="shared" si="0"/>
        <v>0</v>
      </c>
      <c r="I25" s="15"/>
      <c r="J25" s="15"/>
      <c r="K25" s="155"/>
      <c r="L25" s="15">
        <v>0</v>
      </c>
      <c r="M25" s="120">
        <v>0</v>
      </c>
      <c r="N25" s="75"/>
      <c r="O25" s="75"/>
      <c r="P25" s="175">
        <f>+N25*'Цени капацитети'!$F$49+O25*'Цени капацитети'!$F$63</f>
        <v>0</v>
      </c>
      <c r="Q25" s="175">
        <f>+N25*'Цени капацитети'!$E$49+O25*'Цени капацитети'!$E$63</f>
        <v>0</v>
      </c>
      <c r="R25" s="175">
        <f>Плевен!Q25+$T$3*'Цени капацитети'!$E$4+Плевен!$U$3*'Цени капацитети'!$E$25</f>
        <v>633.80000000000007</v>
      </c>
      <c r="S25" s="123">
        <f>+R25+Бургас!O25+'Враца 1'!N25+'Враца 2'!N25+Перник!N25+Русе!M25+'Велико Търново'!J25+'Тенекс С'!J25</f>
        <v>1494.1104</v>
      </c>
    </row>
    <row r="26" spans="2:21" x14ac:dyDescent="0.25">
      <c r="B26" s="47">
        <f t="shared" si="1"/>
        <v>45405</v>
      </c>
      <c r="C26" s="243"/>
      <c r="D26" s="15"/>
      <c r="E26" s="14"/>
      <c r="F26" s="14"/>
      <c r="G26" s="14"/>
      <c r="H26" s="5">
        <f t="shared" si="0"/>
        <v>0</v>
      </c>
      <c r="I26" s="15"/>
      <c r="J26" s="15"/>
      <c r="K26" s="155"/>
      <c r="L26" s="15">
        <v>0</v>
      </c>
      <c r="M26" s="120">
        <v>0</v>
      </c>
      <c r="N26" s="75"/>
      <c r="O26" s="75"/>
      <c r="P26" s="175">
        <f>+N26*'Цени капацитети'!$F$49+O26*'Цени капацитети'!$F$63</f>
        <v>0</v>
      </c>
      <c r="Q26" s="175">
        <f>+N26*'Цени капацитети'!$E$49+O26*'Цени капацитети'!$E$63</f>
        <v>0</v>
      </c>
      <c r="R26" s="175">
        <f>Плевен!Q26+$T$3*'Цени капацитети'!$E$4+Плевен!$U$3*'Цени капацитети'!$E$25</f>
        <v>633.80000000000007</v>
      </c>
      <c r="S26" s="123">
        <f>+R26+Бургас!O26+'Враца 1'!N26+'Враца 2'!N26+Перник!N26+Русе!M26+'Велико Търново'!J26+'Тенекс С'!J26</f>
        <v>1494.1104</v>
      </c>
    </row>
    <row r="27" spans="2:21" x14ac:dyDescent="0.25">
      <c r="B27" s="47">
        <f t="shared" si="1"/>
        <v>45406</v>
      </c>
      <c r="C27" s="243"/>
      <c r="D27" s="15"/>
      <c r="E27" s="14"/>
      <c r="F27" s="14"/>
      <c r="G27" s="14"/>
      <c r="H27" s="5">
        <f t="shared" si="0"/>
        <v>0</v>
      </c>
      <c r="I27" s="15"/>
      <c r="J27" s="15"/>
      <c r="K27" s="155"/>
      <c r="L27" s="15">
        <v>0</v>
      </c>
      <c r="M27" s="120">
        <v>0</v>
      </c>
      <c r="N27" s="75"/>
      <c r="O27" s="75"/>
      <c r="P27" s="175">
        <f>+N27*'Цени капацитети'!$F$49+O27*'Цени капацитети'!$F$63</f>
        <v>0</v>
      </c>
      <c r="Q27" s="175">
        <f>+N27*'Цени капацитети'!$E$49+O27*'Цени капацитети'!$E$63</f>
        <v>0</v>
      </c>
      <c r="R27" s="175">
        <f>Плевен!Q27+$T$3*'Цени капацитети'!$E$4+Плевен!$U$3*'Цени капацитети'!$E$25</f>
        <v>633.80000000000007</v>
      </c>
      <c r="S27" s="123">
        <f>+R27+Бургас!O27+'Враца 1'!N27+'Враца 2'!N27+Перник!N27+Русе!M27+'Велико Търново'!J27+'Тенекс С'!J27</f>
        <v>1494.1104</v>
      </c>
    </row>
    <row r="28" spans="2:21" x14ac:dyDescent="0.25">
      <c r="B28" s="47">
        <f t="shared" si="1"/>
        <v>45407</v>
      </c>
      <c r="C28" s="243"/>
      <c r="D28" s="15"/>
      <c r="E28" s="14"/>
      <c r="F28" s="14"/>
      <c r="G28" s="14"/>
      <c r="H28" s="5">
        <f t="shared" si="0"/>
        <v>0</v>
      </c>
      <c r="I28" s="15"/>
      <c r="J28" s="15"/>
      <c r="K28" s="155"/>
      <c r="L28" s="15">
        <v>0</v>
      </c>
      <c r="M28" s="120">
        <v>0</v>
      </c>
      <c r="N28" s="75"/>
      <c r="O28" s="75"/>
      <c r="P28" s="175">
        <f>+N28*'Цени капацитети'!$F$49+O28*'Цени капацитети'!$F$63</f>
        <v>0</v>
      </c>
      <c r="Q28" s="175">
        <f>+N28*'Цени капацитети'!$E$49+O28*'Цени капацитети'!$E$63</f>
        <v>0</v>
      </c>
      <c r="R28" s="175">
        <f>Плевен!Q28+$T$3*'Цени капацитети'!$E$4+Плевен!$U$3*'Цени капацитети'!$E$25</f>
        <v>633.80000000000007</v>
      </c>
      <c r="S28" s="123">
        <f>+R28+Бургас!O28+'Враца 1'!N28+'Враца 2'!N28+Перник!N28+Русе!M28+'Велико Търново'!J28+'Тенекс С'!J28</f>
        <v>1494.1104</v>
      </c>
    </row>
    <row r="29" spans="2:21" x14ac:dyDescent="0.25">
      <c r="B29" s="47">
        <f t="shared" si="1"/>
        <v>45408</v>
      </c>
      <c r="C29" s="243"/>
      <c r="D29" s="15"/>
      <c r="E29" s="14"/>
      <c r="F29" s="14"/>
      <c r="G29" s="14"/>
      <c r="H29" s="5">
        <f t="shared" si="0"/>
        <v>0</v>
      </c>
      <c r="I29" s="15"/>
      <c r="J29" s="15"/>
      <c r="K29" s="155"/>
      <c r="L29" s="15">
        <v>0</v>
      </c>
      <c r="M29" s="120">
        <v>0</v>
      </c>
      <c r="N29" s="75"/>
      <c r="O29" s="75"/>
      <c r="P29" s="175">
        <f>+N29*'Цени капацитети'!$F$49+O29*'Цени капацитети'!$F$63</f>
        <v>0</v>
      </c>
      <c r="Q29" s="175">
        <f>+N29*'Цени капацитети'!$E$49+O29*'Цени капацитети'!$E$63</f>
        <v>0</v>
      </c>
      <c r="R29" s="175">
        <f>Плевен!Q29+$T$3*'Цени капацитети'!$E$4+Плевен!$U$3*'Цени капацитети'!$E$25</f>
        <v>633.80000000000007</v>
      </c>
      <c r="S29" s="123">
        <f>+R29+Бургас!O29+'Враца 1'!N29+'Враца 2'!N29+Перник!N29+Русе!M29+'Велико Търново'!J29+'Тенекс С'!J29</f>
        <v>1494.1104</v>
      </c>
    </row>
    <row r="30" spans="2:21" x14ac:dyDescent="0.25">
      <c r="B30" s="47">
        <f t="shared" si="1"/>
        <v>45409</v>
      </c>
      <c r="C30" s="243"/>
      <c r="D30" s="15"/>
      <c r="E30" s="14"/>
      <c r="F30" s="14"/>
      <c r="G30" s="14"/>
      <c r="H30" s="5">
        <f t="shared" si="0"/>
        <v>0</v>
      </c>
      <c r="I30" s="15"/>
      <c r="J30" s="15"/>
      <c r="K30" s="155"/>
      <c r="L30" s="15">
        <v>0</v>
      </c>
      <c r="M30" s="120">
        <v>0</v>
      </c>
      <c r="N30" s="75"/>
      <c r="O30" s="75"/>
      <c r="P30" s="175">
        <f>+N30*'Цени капацитети'!$F$49+O30*'Цени капацитети'!$F$63</f>
        <v>0</v>
      </c>
      <c r="Q30" s="175">
        <f>+N30*'Цени капацитети'!$E$49+O30*'Цени капацитети'!$E$63</f>
        <v>0</v>
      </c>
      <c r="R30" s="175">
        <f>Плевен!Q30+$T$3*'Цени капацитети'!$E$4+Плевен!$U$3*'Цени капацитети'!$E$25</f>
        <v>633.80000000000007</v>
      </c>
      <c r="S30" s="123">
        <f>+R30+Бургас!O30+'Враца 1'!N30+'Враца 2'!N30+Перник!N30+Русе!M30+'Велико Търново'!J30+'Тенекс С'!J30</f>
        <v>1494.1104</v>
      </c>
    </row>
    <row r="31" spans="2:21" x14ac:dyDescent="0.25">
      <c r="B31" s="47">
        <f t="shared" si="1"/>
        <v>45410</v>
      </c>
      <c r="C31" s="243"/>
      <c r="D31" s="15"/>
      <c r="E31" s="14"/>
      <c r="F31" s="14"/>
      <c r="G31" s="14"/>
      <c r="H31" s="5">
        <f t="shared" si="0"/>
        <v>0</v>
      </c>
      <c r="I31" s="15"/>
      <c r="J31" s="15"/>
      <c r="K31" s="155"/>
      <c r="L31" s="15">
        <v>0</v>
      </c>
      <c r="M31" s="120">
        <v>0</v>
      </c>
      <c r="N31" s="75"/>
      <c r="O31" s="75"/>
      <c r="P31" s="175">
        <f>+N31*'Цени капацитети'!$F$49+O31*'Цени капацитети'!$F$63</f>
        <v>0</v>
      </c>
      <c r="Q31" s="175">
        <f>+N31*'Цени капацитети'!$E$49+O31*'Цени капацитети'!$E$63</f>
        <v>0</v>
      </c>
      <c r="R31" s="175">
        <f>Плевен!Q31+$T$3*'Цени капацитети'!$E$4+Плевен!$U$3*'Цени капацитети'!$E$25</f>
        <v>633.80000000000007</v>
      </c>
      <c r="S31" s="123">
        <f>+R31+Бургас!O31+'Враца 1'!N31+'Враца 2'!N31+Перник!N31+Русе!M31+'Велико Търново'!J31+'Тенекс С'!J31</f>
        <v>1494.1104</v>
      </c>
    </row>
    <row r="32" spans="2:21" x14ac:dyDescent="0.25">
      <c r="B32" s="47">
        <f t="shared" si="1"/>
        <v>45411</v>
      </c>
      <c r="C32" s="243"/>
      <c r="D32" s="15"/>
      <c r="E32" s="14"/>
      <c r="F32" s="14"/>
      <c r="G32" s="14"/>
      <c r="H32" s="5">
        <f t="shared" si="0"/>
        <v>0</v>
      </c>
      <c r="I32" s="15"/>
      <c r="J32" s="15"/>
      <c r="K32" s="155"/>
      <c r="L32" s="15">
        <v>0</v>
      </c>
      <c r="M32" s="120">
        <v>0</v>
      </c>
      <c r="N32" s="75"/>
      <c r="O32" s="75"/>
      <c r="P32" s="175">
        <f>+N32*'Цени капацитети'!$F$49+O32*'Цени капацитети'!$F$63</f>
        <v>0</v>
      </c>
      <c r="Q32" s="175">
        <f>+N32*'Цени капацитети'!$E$49+O32*'Цени капацитети'!$E$63</f>
        <v>0</v>
      </c>
      <c r="R32" s="175">
        <f>Плевен!Q32+$T$3*'Цени капацитети'!$E$4+Плевен!$U$3*'Цени капацитети'!$E$25</f>
        <v>633.80000000000007</v>
      </c>
      <c r="S32" s="123">
        <f>+R32+Бургас!O32+'Враца 1'!N32+'Враца 2'!N32+Перник!N32+Русе!M32+'Велико Търново'!J32+'Тенекс С'!J32</f>
        <v>1494.1104</v>
      </c>
    </row>
    <row r="33" spans="2:26" x14ac:dyDescent="0.25">
      <c r="B33" s="47">
        <f t="shared" si="1"/>
        <v>45412</v>
      </c>
      <c r="C33" s="182"/>
      <c r="D33" s="15"/>
      <c r="E33" s="14"/>
      <c r="F33" s="14"/>
      <c r="G33" s="14"/>
      <c r="H33" s="5">
        <f t="shared" si="0"/>
        <v>0</v>
      </c>
      <c r="I33" s="15"/>
      <c r="J33" s="15"/>
      <c r="K33" s="155"/>
      <c r="L33" s="15">
        <v>0</v>
      </c>
      <c r="M33" s="120">
        <v>0</v>
      </c>
      <c r="N33" s="75"/>
      <c r="O33" s="75"/>
      <c r="P33" s="175">
        <f>+N33*'Цени капацитети'!$F$49+O33*'Цени капацитети'!$F$63</f>
        <v>0</v>
      </c>
      <c r="Q33" s="175">
        <f>+N33*'Цени капацитети'!$E$49+O33*'Цени капацитети'!$E$63</f>
        <v>0</v>
      </c>
      <c r="R33" s="175">
        <f>Плевен!Q33+$T$3*'Цени капацитети'!$E$4+Плевен!$U$3*'Цени капацитети'!$E$25</f>
        <v>633.80000000000007</v>
      </c>
      <c r="S33" s="123">
        <f>+R33+Бургас!O33+'Враца 1'!N33+'Враца 2'!N33+Перник!N33+Русе!M33+'Велико Търново'!J33+'Тенекс С'!J33</f>
        <v>1494.1104</v>
      </c>
    </row>
    <row r="34" spans="2:26" x14ac:dyDescent="0.25">
      <c r="D34" s="16">
        <f>SUM(D4:D33)</f>
        <v>43278.019000000008</v>
      </c>
      <c r="E34" s="156">
        <f>SUM(E4:E33)</f>
        <v>10.546999999999999</v>
      </c>
      <c r="F34" s="156">
        <f>SUM(F4:F33)</f>
        <v>0</v>
      </c>
      <c r="G34" s="156">
        <f>SUM(G4:G33)</f>
        <v>0</v>
      </c>
      <c r="H34" s="156">
        <f>SUM(H4:H33)</f>
        <v>30691.918000000009</v>
      </c>
      <c r="I34" s="156"/>
      <c r="K34" s="156">
        <f t="shared" ref="K34:S34" si="2">SUM(K4:K33)</f>
        <v>12575.554</v>
      </c>
      <c r="L34" s="156">
        <f t="shared" si="2"/>
        <v>0</v>
      </c>
      <c r="M34" s="4">
        <f t="shared" si="2"/>
        <v>0</v>
      </c>
      <c r="N34" s="4">
        <f t="shared" si="2"/>
        <v>5980</v>
      </c>
      <c r="O34" s="4">
        <f t="shared" si="2"/>
        <v>793</v>
      </c>
      <c r="P34" s="4">
        <f t="shared" si="2"/>
        <v>11738.828399999999</v>
      </c>
      <c r="Q34" s="4">
        <f t="shared" si="2"/>
        <v>17978.1368</v>
      </c>
      <c r="R34" s="16">
        <f t="shared" si="2"/>
        <v>36992.136800000015</v>
      </c>
      <c r="S34" s="16">
        <f t="shared" si="2"/>
        <v>63292.727699999959</v>
      </c>
      <c r="V34" s="16">
        <f>SUM(V4:V33)</f>
        <v>0</v>
      </c>
      <c r="W34" s="16"/>
      <c r="X34" s="16"/>
      <c r="Y34" s="16"/>
      <c r="Z34" s="16"/>
    </row>
    <row r="35" spans="2:26" x14ac:dyDescent="0.25">
      <c r="D35" s="16"/>
      <c r="G35" s="16"/>
      <c r="H35" s="16">
        <f>+H34+H30+H30</f>
        <v>30691.918000000009</v>
      </c>
      <c r="P35" s="4"/>
    </row>
    <row r="36" spans="2:26" x14ac:dyDescent="0.25">
      <c r="G36" s="16"/>
      <c r="H36" s="16">
        <f>+H35*Цени!G39</f>
        <v>1805912.4551200005</v>
      </c>
      <c r="I36" s="16"/>
      <c r="J36" s="16"/>
      <c r="M36" s="16"/>
      <c r="N36" s="4"/>
    </row>
    <row r="38" spans="2:26" x14ac:dyDescent="0.25">
      <c r="K38" s="156"/>
    </row>
    <row r="40" spans="2:26" x14ac:dyDescent="0.25">
      <c r="K40" s="156"/>
    </row>
    <row r="41" spans="2:26" x14ac:dyDescent="0.25">
      <c r="K41" s="1"/>
    </row>
    <row r="42" spans="2:26" x14ac:dyDescent="0.25">
      <c r="K42" s="1"/>
    </row>
    <row r="43" spans="2:26" x14ac:dyDescent="0.25">
      <c r="K43" s="1"/>
    </row>
    <row r="44" spans="2:26" x14ac:dyDescent="0.25">
      <c r="K44" s="1"/>
    </row>
    <row r="45" spans="2:26" x14ac:dyDescent="0.25">
      <c r="K45" s="1"/>
    </row>
  </sheetData>
  <mergeCells count="4">
    <mergeCell ref="B2:M2"/>
    <mergeCell ref="N2:Q2"/>
    <mergeCell ref="T1:U1"/>
    <mergeCell ref="T6:U8"/>
  </mergeCell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B1:CK58"/>
  <sheetViews>
    <sheetView view="pageBreakPreview" topLeftCell="BI1" zoomScale="85" zoomScaleNormal="100" zoomScaleSheetLayoutView="85" workbookViewId="0">
      <selection activeCell="BL4" activeCellId="1" sqref="BW4 BL4"/>
    </sheetView>
  </sheetViews>
  <sheetFormatPr defaultColWidth="8.85546875" defaultRowHeight="15" x14ac:dyDescent="0.25"/>
  <cols>
    <col min="1" max="1" width="4.5703125" style="1" customWidth="1"/>
    <col min="2" max="2" width="12.42578125" style="1" bestFit="1" customWidth="1"/>
    <col min="3" max="4" width="10.85546875" style="1" bestFit="1" customWidth="1"/>
    <col min="5" max="6" width="9.7109375" style="1" bestFit="1" customWidth="1"/>
    <col min="7" max="7" width="6.28515625" style="1" bestFit="1" customWidth="1"/>
    <col min="8" max="8" width="10.7109375" style="1" customWidth="1"/>
    <col min="9" max="9" width="7.7109375" style="1" bestFit="1" customWidth="1"/>
    <col min="10" max="10" width="8.7109375" style="1" customWidth="1"/>
    <col min="11" max="11" width="8.42578125" style="1" bestFit="1" customWidth="1"/>
    <col min="12" max="12" width="10.5703125" style="1" customWidth="1"/>
    <col min="13" max="13" width="7" style="1" bestFit="1" customWidth="1"/>
    <col min="14" max="14" width="8" style="1" customWidth="1"/>
    <col min="15" max="15" width="8.7109375" style="1" bestFit="1" customWidth="1"/>
    <col min="16" max="16" width="9.7109375" style="1" bestFit="1" customWidth="1"/>
    <col min="17" max="17" width="12.140625" style="1" bestFit="1" customWidth="1"/>
    <col min="18" max="18" width="8.42578125" style="1" bestFit="1" customWidth="1"/>
    <col min="19" max="19" width="9.85546875" style="1" bestFit="1" customWidth="1"/>
    <col min="20" max="20" width="10.28515625" style="1" bestFit="1" customWidth="1"/>
    <col min="21" max="22" width="6.28515625" style="1" hidden="1" customWidth="1"/>
    <col min="23" max="23" width="12.7109375" style="1" hidden="1" customWidth="1"/>
    <col min="24" max="24" width="13.28515625" style="1" bestFit="1" customWidth="1"/>
    <col min="25" max="25" width="9.28515625" style="1" bestFit="1" customWidth="1"/>
    <col min="26" max="26" width="12.140625" style="1" customWidth="1"/>
    <col min="27" max="27" width="9.7109375" style="1" bestFit="1" customWidth="1"/>
    <col min="28" max="28" width="10.42578125" style="1" bestFit="1" customWidth="1"/>
    <col min="29" max="29" width="4" style="1" customWidth="1"/>
    <col min="30" max="30" width="9.28515625" style="1" bestFit="1" customWidth="1"/>
    <col min="31" max="31" width="10.7109375" style="1" customWidth="1"/>
    <col min="32" max="32" width="11.85546875" style="1" customWidth="1"/>
    <col min="33" max="33" width="9.7109375" style="1" customWidth="1"/>
    <col min="34" max="34" width="10.85546875" style="1" bestFit="1" customWidth="1"/>
    <col min="35" max="35" width="5" style="1" customWidth="1"/>
    <col min="36" max="36" width="11.85546875" style="1" customWidth="1"/>
    <col min="37" max="37" width="10.28515625" style="1" customWidth="1"/>
    <col min="38" max="38" width="11.7109375" style="1" customWidth="1"/>
    <col min="39" max="39" width="18.140625" style="1" customWidth="1"/>
    <col min="40" max="40" width="11.7109375" style="1" customWidth="1"/>
    <col min="41" max="41" width="7.5703125" style="1" customWidth="1"/>
    <col min="42" max="42" width="12.140625" style="1" bestFit="1" customWidth="1"/>
    <col min="43" max="43" width="8.28515625" style="1" customWidth="1"/>
    <col min="44" max="44" width="12.7109375" style="4" customWidth="1"/>
    <col min="45" max="45" width="8.85546875" style="4"/>
    <col min="46" max="46" width="8.85546875" style="4" hidden="1" customWidth="1"/>
    <col min="47" max="47" width="6.28515625" style="1" customWidth="1"/>
    <col min="48" max="48" width="12.42578125" style="1" bestFit="1" customWidth="1"/>
    <col min="49" max="49" width="8.85546875" style="4" customWidth="1"/>
    <col min="50" max="50" width="9.140625" style="4" customWidth="1"/>
    <col min="51" max="51" width="8.85546875" style="4" hidden="1" customWidth="1"/>
    <col min="52" max="52" width="6.7109375" style="1" customWidth="1"/>
    <col min="53" max="53" width="12.42578125" style="1" bestFit="1" customWidth="1"/>
    <col min="54" max="54" width="15.42578125" style="1" customWidth="1"/>
    <col min="55" max="55" width="13.28515625" style="1" customWidth="1"/>
    <col min="56" max="56" width="10.28515625" style="1" bestFit="1" customWidth="1"/>
    <col min="57" max="57" width="8.85546875" style="1"/>
    <col min="58" max="58" width="12.42578125" style="1" bestFit="1" customWidth="1"/>
    <col min="59" max="59" width="10.140625" style="1" bestFit="1" customWidth="1"/>
    <col min="60" max="63" width="9.140625" style="1" bestFit="1" customWidth="1"/>
    <col min="64" max="64" width="9.140625" style="1" customWidth="1"/>
    <col min="65" max="65" width="9.140625" style="1" bestFit="1" customWidth="1"/>
    <col min="66" max="66" width="9.28515625" style="1" bestFit="1" customWidth="1"/>
    <col min="67" max="67" width="10.85546875" style="1" bestFit="1" customWidth="1"/>
    <col min="68" max="68" width="5" style="1" customWidth="1"/>
    <col min="69" max="69" width="12.42578125" style="1" bestFit="1" customWidth="1"/>
    <col min="70" max="70" width="10.140625" style="1" bestFit="1" customWidth="1"/>
    <col min="71" max="71" width="9.140625" style="1" bestFit="1" customWidth="1"/>
    <col min="72" max="72" width="6.5703125" style="1" bestFit="1" customWidth="1"/>
    <col min="73" max="73" width="9" style="1" bestFit="1" customWidth="1"/>
    <col min="74" max="74" width="9.28515625" style="1" bestFit="1" customWidth="1"/>
    <col min="75" max="75" width="10.28515625" style="1" bestFit="1" customWidth="1"/>
    <col min="76" max="77" width="5.28515625" style="1" bestFit="1" customWidth="1"/>
    <col min="78" max="78" width="10.85546875" style="1" customWidth="1"/>
    <col min="79" max="79" width="8.85546875" style="1"/>
    <col min="80" max="80" width="12.42578125" style="1" bestFit="1" customWidth="1"/>
    <col min="81" max="82" width="10.140625" style="1" bestFit="1" customWidth="1"/>
    <col min="83" max="84" width="9.140625" style="1" bestFit="1" customWidth="1"/>
    <col min="85" max="85" width="10.28515625" style="1" bestFit="1" customWidth="1"/>
    <col min="86" max="86" width="10.28515625" style="1" customWidth="1"/>
    <col min="87" max="87" width="9.140625" style="1" bestFit="1" customWidth="1"/>
    <col min="88" max="88" width="9.28515625" style="1" bestFit="1" customWidth="1"/>
    <col min="89" max="89" width="10.85546875" style="1" bestFit="1" customWidth="1"/>
    <col min="90" max="16384" width="8.85546875" style="1"/>
  </cols>
  <sheetData>
    <row r="1" spans="2:89" ht="15.75" thickBot="1" x14ac:dyDescent="0.3">
      <c r="AD1" s="16"/>
      <c r="AE1" s="16"/>
      <c r="AF1" s="16"/>
      <c r="AL1" s="4"/>
    </row>
    <row r="2" spans="2:89" ht="31.9" customHeight="1" thickBot="1" x14ac:dyDescent="0.3">
      <c r="B2" s="71"/>
      <c r="C2" s="714" t="s">
        <v>161</v>
      </c>
      <c r="D2" s="715"/>
      <c r="E2" s="715"/>
      <c r="F2" s="715"/>
      <c r="G2" s="715"/>
      <c r="H2" s="715"/>
      <c r="I2" s="715"/>
      <c r="J2" s="715"/>
      <c r="K2" s="715"/>
      <c r="L2" s="715"/>
      <c r="M2" s="715"/>
      <c r="N2" s="715"/>
      <c r="O2" s="715"/>
      <c r="P2" s="715"/>
      <c r="Q2" s="715"/>
      <c r="R2" s="715"/>
      <c r="S2" s="715"/>
      <c r="T2" s="715"/>
      <c r="U2" s="715"/>
      <c r="V2" s="715"/>
      <c r="W2" s="715"/>
      <c r="X2" s="715"/>
      <c r="Y2" s="716"/>
      <c r="Z2" s="6"/>
      <c r="AA2" s="717" t="s">
        <v>60</v>
      </c>
      <c r="AB2" s="718"/>
      <c r="AD2" s="719" t="s">
        <v>50</v>
      </c>
      <c r="AE2" s="720"/>
      <c r="AF2" s="720"/>
      <c r="AG2" s="720"/>
      <c r="AH2" s="721"/>
      <c r="AJ2" s="711" t="s">
        <v>58</v>
      </c>
      <c r="AK2" s="712"/>
      <c r="AL2" s="712"/>
      <c r="AM2" s="712"/>
      <c r="AN2" s="713"/>
      <c r="AP2" s="710" t="s">
        <v>160</v>
      </c>
      <c r="AQ2" s="710"/>
      <c r="AR2" s="710"/>
      <c r="AS2" s="710"/>
      <c r="AT2" s="710"/>
      <c r="AV2" s="710" t="s">
        <v>160</v>
      </c>
      <c r="AW2" s="710"/>
      <c r="AX2" s="710"/>
      <c r="AY2" s="710"/>
      <c r="BA2" s="710" t="s">
        <v>159</v>
      </c>
      <c r="BB2" s="710"/>
      <c r="BC2" s="710"/>
      <c r="BD2" s="710"/>
      <c r="BF2" s="710" t="s">
        <v>166</v>
      </c>
      <c r="BG2" s="710"/>
      <c r="BH2" s="710"/>
      <c r="BI2" s="710"/>
      <c r="BJ2" s="710"/>
      <c r="BK2" s="710"/>
      <c r="BL2" s="710"/>
      <c r="BM2" s="710"/>
      <c r="BN2" s="710"/>
      <c r="BO2" s="710"/>
      <c r="BQ2" s="710" t="s">
        <v>167</v>
      </c>
      <c r="BR2" s="710"/>
      <c r="BS2" s="710"/>
      <c r="BT2" s="710"/>
      <c r="BU2" s="710"/>
      <c r="BV2" s="710"/>
      <c r="BW2" s="710"/>
      <c r="BX2" s="710"/>
      <c r="BY2" s="710"/>
      <c r="BZ2" s="710"/>
      <c r="CB2" s="710" t="s">
        <v>168</v>
      </c>
      <c r="CC2" s="710"/>
      <c r="CD2" s="710"/>
      <c r="CE2" s="710"/>
      <c r="CF2" s="710"/>
      <c r="CG2" s="710"/>
      <c r="CH2" s="710"/>
      <c r="CI2" s="710"/>
      <c r="CJ2" s="710"/>
      <c r="CK2" s="710"/>
    </row>
    <row r="3" spans="2:89" s="28" customFormat="1" ht="82.9" customHeight="1" thickBot="1" x14ac:dyDescent="0.3">
      <c r="B3" s="72" t="s">
        <v>8</v>
      </c>
      <c r="C3" s="29" t="s">
        <v>14</v>
      </c>
      <c r="D3" s="30" t="s">
        <v>15</v>
      </c>
      <c r="E3" s="30" t="s">
        <v>16</v>
      </c>
      <c r="F3" s="30" t="s">
        <v>17</v>
      </c>
      <c r="G3" s="33" t="s">
        <v>75</v>
      </c>
      <c r="H3" s="33" t="s">
        <v>80</v>
      </c>
      <c r="I3" s="33" t="s">
        <v>109</v>
      </c>
      <c r="J3" s="33" t="s">
        <v>110</v>
      </c>
      <c r="K3" s="33" t="s">
        <v>111</v>
      </c>
      <c r="L3" s="33" t="s">
        <v>170</v>
      </c>
      <c r="M3" s="33" t="s">
        <v>113</v>
      </c>
      <c r="N3" s="33" t="s">
        <v>130</v>
      </c>
      <c r="O3" s="33" t="s">
        <v>131</v>
      </c>
      <c r="P3" s="33" t="s">
        <v>132</v>
      </c>
      <c r="Q3" s="33" t="s">
        <v>133</v>
      </c>
      <c r="R3" s="33" t="s">
        <v>114</v>
      </c>
      <c r="S3" s="33" t="s">
        <v>134</v>
      </c>
      <c r="T3" s="33" t="s">
        <v>135</v>
      </c>
      <c r="U3" s="33" t="str">
        <f>+ДХТ!B2</f>
        <v xml:space="preserve">ДХТ </v>
      </c>
      <c r="V3" s="33" t="str">
        <f>+ДХТ!G2</f>
        <v>ДХТ</v>
      </c>
      <c r="W3" s="33" t="str">
        <f>+ЕМИ!B2</f>
        <v xml:space="preserve">ЕНЕРГИКО </v>
      </c>
      <c r="X3" s="33" t="s">
        <v>147</v>
      </c>
      <c r="Y3" s="31" t="s">
        <v>38</v>
      </c>
      <c r="Z3" s="32" t="s">
        <v>51</v>
      </c>
      <c r="AA3" s="29" t="s">
        <v>52</v>
      </c>
      <c r="AB3" s="31" t="s">
        <v>53</v>
      </c>
      <c r="AD3" s="41" t="str">
        <f>Цени!E2</f>
        <v>ТБЛ-ЧИРЕН добив</v>
      </c>
      <c r="AE3" s="223" t="str">
        <f>+Общо!AE3</f>
        <v>Булгаргаз</v>
      </c>
      <c r="AF3" s="223" t="str">
        <f>+Цени!F2</f>
        <v>доставчици</v>
      </c>
      <c r="AG3" s="42" t="s">
        <v>54</v>
      </c>
      <c r="AH3" s="153" t="s">
        <v>0</v>
      </c>
      <c r="AJ3" s="43" t="s">
        <v>73</v>
      </c>
      <c r="AK3" s="44" t="s">
        <v>169</v>
      </c>
      <c r="AL3" s="45" t="s">
        <v>136</v>
      </c>
      <c r="AM3" s="33" t="s">
        <v>163</v>
      </c>
      <c r="AN3" s="36" t="s">
        <v>3</v>
      </c>
      <c r="AP3" s="328" t="s">
        <v>8</v>
      </c>
      <c r="AQ3" s="328" t="s">
        <v>164</v>
      </c>
      <c r="AR3" s="331" t="s">
        <v>153</v>
      </c>
      <c r="AS3" s="331" t="s">
        <v>165</v>
      </c>
      <c r="AT3" s="331" t="s">
        <v>162</v>
      </c>
      <c r="AV3" s="328" t="s">
        <v>8</v>
      </c>
      <c r="AW3" s="331" t="s">
        <v>153</v>
      </c>
      <c r="AX3" s="331" t="s">
        <v>152</v>
      </c>
      <c r="AY3" s="331" t="s">
        <v>4</v>
      </c>
      <c r="BA3" s="328" t="s">
        <v>8</v>
      </c>
      <c r="BB3" s="330" t="s">
        <v>154</v>
      </c>
      <c r="BC3" s="331" t="s">
        <v>156</v>
      </c>
      <c r="BD3" s="330" t="s">
        <v>155</v>
      </c>
      <c r="BF3" s="328" t="s">
        <v>8</v>
      </c>
      <c r="BG3" s="328" t="s">
        <v>14</v>
      </c>
      <c r="BH3" s="328" t="s">
        <v>15</v>
      </c>
      <c r="BI3" s="328" t="s">
        <v>157</v>
      </c>
      <c r="BJ3" s="328" t="s">
        <v>116</v>
      </c>
      <c r="BK3" s="328" t="s">
        <v>38</v>
      </c>
      <c r="BL3" s="328" t="s">
        <v>75</v>
      </c>
      <c r="BM3" s="330" t="s">
        <v>151</v>
      </c>
      <c r="BN3" s="330" t="s">
        <v>129</v>
      </c>
      <c r="BO3" s="330" t="s">
        <v>158</v>
      </c>
      <c r="BQ3" s="328" t="s">
        <v>8</v>
      </c>
      <c r="BR3" s="328" t="s">
        <v>14</v>
      </c>
      <c r="BS3" s="328" t="s">
        <v>15</v>
      </c>
      <c r="BT3" s="328" t="s">
        <v>157</v>
      </c>
      <c r="BU3" s="328" t="s">
        <v>116</v>
      </c>
      <c r="BV3" s="328" t="s">
        <v>38</v>
      </c>
      <c r="BW3" s="328" t="s">
        <v>75</v>
      </c>
      <c r="BX3" s="330" t="s">
        <v>151</v>
      </c>
      <c r="BY3" s="330" t="s">
        <v>129</v>
      </c>
      <c r="BZ3" s="330" t="s">
        <v>158</v>
      </c>
      <c r="CB3" s="328" t="s">
        <v>8</v>
      </c>
      <c r="CC3" s="328" t="s">
        <v>14</v>
      </c>
      <c r="CD3" s="328" t="s">
        <v>15</v>
      </c>
      <c r="CE3" s="328" t="s">
        <v>157</v>
      </c>
      <c r="CF3" s="328" t="s">
        <v>116</v>
      </c>
      <c r="CG3" s="328" t="s">
        <v>38</v>
      </c>
      <c r="CH3" s="328" t="s">
        <v>75</v>
      </c>
      <c r="CI3" s="330" t="s">
        <v>151</v>
      </c>
      <c r="CJ3" s="330" t="s">
        <v>129</v>
      </c>
      <c r="CK3" s="330" t="s">
        <v>158</v>
      </c>
    </row>
    <row r="4" spans="2:89" x14ac:dyDescent="0.25">
      <c r="B4" s="47">
        <f>+Общо!B4</f>
        <v>45383</v>
      </c>
      <c r="C4" s="333">
        <f>+Общо!C4</f>
        <v>1064.7809999999999</v>
      </c>
      <c r="D4" s="334">
        <f>+Общо!D4</f>
        <v>116.83900000000006</v>
      </c>
      <c r="E4" s="334">
        <f>+Общо!E4</f>
        <v>0</v>
      </c>
      <c r="F4" s="334">
        <f>+Общо!F4</f>
        <v>0</v>
      </c>
      <c r="G4" s="335">
        <f>+Общо!G4</f>
        <v>0</v>
      </c>
      <c r="H4" s="335">
        <f>+Общо!H4</f>
        <v>2.6469999999999998</v>
      </c>
      <c r="I4" s="335">
        <f>+Общо!I4</f>
        <v>0</v>
      </c>
      <c r="J4" s="335">
        <f>+Общо!J4</f>
        <v>18.937000000000001</v>
      </c>
      <c r="K4" s="335">
        <f>+Общо!K4</f>
        <v>25.940999999999999</v>
      </c>
      <c r="L4" s="335">
        <f>+Общо!L4</f>
        <v>0</v>
      </c>
      <c r="M4" s="335">
        <f>+Общо!M4</f>
        <v>0.214</v>
      </c>
      <c r="N4" s="335">
        <f>+Общо!N4</f>
        <v>1.825</v>
      </c>
      <c r="O4" s="335">
        <f>+Общо!O4</f>
        <v>0.85399999999999998</v>
      </c>
      <c r="P4" s="335">
        <f>+Общо!P4</f>
        <v>0</v>
      </c>
      <c r="Q4" s="335">
        <f>+Общо!Q4</f>
        <v>0</v>
      </c>
      <c r="R4" s="335">
        <f>+Общо!R4</f>
        <v>10.974</v>
      </c>
      <c r="S4" s="335">
        <f>+Общо!S4</f>
        <v>0</v>
      </c>
      <c r="T4" s="335">
        <f>+Общо!T4</f>
        <v>20.934000000000001</v>
      </c>
      <c r="U4" s="335">
        <f>+Общо!U4</f>
        <v>0</v>
      </c>
      <c r="V4" s="335">
        <f>+Общо!V4</f>
        <v>0</v>
      </c>
      <c r="W4" s="335">
        <f>+Общо!W4</f>
        <v>0</v>
      </c>
      <c r="X4" s="335">
        <f>+Общо!X4</f>
        <v>0</v>
      </c>
      <c r="Y4" s="336">
        <f>+Общо!Y4</f>
        <v>0</v>
      </c>
      <c r="Z4" s="337">
        <f>+Общо!Z4</f>
        <v>0</v>
      </c>
      <c r="AA4" s="333">
        <f>+Общо!AA4</f>
        <v>31.054000000000087</v>
      </c>
      <c r="AB4" s="336">
        <f>+Общо!AB4</f>
        <v>0</v>
      </c>
      <c r="AC4" s="16"/>
      <c r="AD4" s="342">
        <f>+Общо!AD4</f>
        <v>0</v>
      </c>
      <c r="AE4" s="342">
        <f>+Общо!AE4</f>
        <v>15</v>
      </c>
      <c r="AF4" s="342">
        <f>+Общо!AF4</f>
        <v>0</v>
      </c>
      <c r="AG4" s="343">
        <f>+Общо!AG4</f>
        <v>1280</v>
      </c>
      <c r="AH4" s="344">
        <f>+Общо!AH4</f>
        <v>1295</v>
      </c>
      <c r="AI4" s="16"/>
      <c r="AJ4" s="345">
        <f>+Общо!AJ4</f>
        <v>20848.793390000006</v>
      </c>
      <c r="AK4" s="346">
        <v>2206.58</v>
      </c>
      <c r="AL4" s="347">
        <f>+Общо!AL4</f>
        <v>18363.793390000006</v>
      </c>
      <c r="AM4" s="348">
        <f>+Общо!AM4</f>
        <v>0</v>
      </c>
      <c r="AN4" s="349">
        <f>+Общо!AN4</f>
        <v>18363.793390000006</v>
      </c>
      <c r="AO4" s="4"/>
      <c r="AP4" s="329">
        <f>+B4</f>
        <v>45383</v>
      </c>
      <c r="AQ4" s="353">
        <f>+Общо!AQ4</f>
        <v>58.84</v>
      </c>
      <c r="AR4" s="353">
        <f>+Общо!AR4</f>
        <v>44.468069498069497</v>
      </c>
      <c r="AS4" s="332">
        <f>+Общо!AS4</f>
        <v>53.296367500000002</v>
      </c>
      <c r="AT4" s="353">
        <v>6.8519412500000101</v>
      </c>
      <c r="AV4" s="329">
        <f>+AP4</f>
        <v>45383</v>
      </c>
      <c r="AW4" s="354">
        <f>+Общо!AW4</f>
        <v>44.468069498069497</v>
      </c>
      <c r="AX4" s="354">
        <f>+Общо!AX4</f>
        <v>59.974818606246913</v>
      </c>
      <c r="AY4" s="353">
        <v>58.422132158662265</v>
      </c>
      <c r="BA4" s="329">
        <f>+AV4</f>
        <v>45383</v>
      </c>
      <c r="BB4" s="355">
        <f>+Общо!BB4</f>
        <v>147998.64500000011</v>
      </c>
      <c r="BC4" s="353">
        <f>+Общо!BC4</f>
        <v>229.36627236379309</v>
      </c>
      <c r="BD4" s="359">
        <f>+Общо!BD4</f>
        <v>33945897.518542349</v>
      </c>
      <c r="BF4" s="329">
        <f>+BA4</f>
        <v>45383</v>
      </c>
      <c r="BG4" s="357">
        <f>+Общо!BG4</f>
        <v>6825122.2699999996</v>
      </c>
      <c r="BH4" s="357">
        <f>+Общо!BH4</f>
        <v>0</v>
      </c>
      <c r="BI4" s="357">
        <f>+Общо!BI4</f>
        <v>0</v>
      </c>
      <c r="BJ4" s="357">
        <f>+Общо!BJ4</f>
        <v>0</v>
      </c>
      <c r="BK4" s="357">
        <f>+Общо!BK4</f>
        <v>2098870.2800000003</v>
      </c>
      <c r="BL4" s="357">
        <f>+Общо!BL4</f>
        <v>0</v>
      </c>
      <c r="BM4" s="357">
        <f>+Общо!BM4</f>
        <v>0</v>
      </c>
      <c r="BN4" s="357">
        <f>+Общо!BN4</f>
        <v>0</v>
      </c>
      <c r="BO4" s="358">
        <f>+Общо!BO4</f>
        <v>8923992.5500000007</v>
      </c>
      <c r="BQ4" s="329">
        <f>+BF4</f>
        <v>45383</v>
      </c>
      <c r="BR4" s="357">
        <f>+Общо!BR4</f>
        <v>0</v>
      </c>
      <c r="BS4" s="357">
        <f>+Общо!BS4</f>
        <v>0</v>
      </c>
      <c r="BT4" s="357">
        <f>+Общо!BT4</f>
        <v>0</v>
      </c>
      <c r="BU4" s="357">
        <f>+Общо!BU4</f>
        <v>0</v>
      </c>
      <c r="BV4" s="357">
        <f>+Общо!BV4</f>
        <v>11618458.91</v>
      </c>
      <c r="BW4" s="357">
        <f>+Общо!BW4</f>
        <v>15249723.549999999</v>
      </c>
      <c r="BX4" s="357">
        <f>+Общо!BX4</f>
        <v>0</v>
      </c>
      <c r="BY4" s="357">
        <f>+Общо!BY4</f>
        <v>3567553.1529600001</v>
      </c>
      <c r="BZ4" s="358">
        <f>+Общо!BZ4</f>
        <v>30435735.61296</v>
      </c>
      <c r="CB4" s="329">
        <f>+BQ4</f>
        <v>45383</v>
      </c>
      <c r="CC4" s="357">
        <f>+Общо!CC4</f>
        <v>6825122.2699999996</v>
      </c>
      <c r="CD4" s="357">
        <f>+Общо!CD4</f>
        <v>0</v>
      </c>
      <c r="CE4" s="357">
        <f>+Общо!CE4</f>
        <v>0</v>
      </c>
      <c r="CF4" s="357">
        <f>+Общо!CF4</f>
        <v>0</v>
      </c>
      <c r="CG4" s="357">
        <f>+Общо!CG4</f>
        <v>13717329.190000001</v>
      </c>
      <c r="CH4" s="357">
        <f>+Общо!CH4</f>
        <v>15249723.549999999</v>
      </c>
      <c r="CI4" s="357">
        <f>+Общо!CI4</f>
        <v>0</v>
      </c>
      <c r="CJ4" s="357">
        <f>+Общо!CJ4</f>
        <v>3567553.1529600001</v>
      </c>
      <c r="CK4" s="358">
        <f>+Общо!CK4</f>
        <v>39359728.16296</v>
      </c>
    </row>
    <row r="5" spans="2:89" x14ac:dyDescent="0.25">
      <c r="B5" s="47">
        <f>+B4+1</f>
        <v>45384</v>
      </c>
      <c r="C5" s="333">
        <f>+Общо!C5</f>
        <v>1052.5260000000001</v>
      </c>
      <c r="D5" s="334">
        <f>+Общо!D5</f>
        <v>149.3660000000001</v>
      </c>
      <c r="E5" s="334">
        <f>+Общо!E5</f>
        <v>0</v>
      </c>
      <c r="F5" s="334">
        <f>+Общо!F5</f>
        <v>0</v>
      </c>
      <c r="G5" s="335">
        <f>+Общо!G5</f>
        <v>0</v>
      </c>
      <c r="H5" s="335">
        <f>+Общо!H5</f>
        <v>3.01</v>
      </c>
      <c r="I5" s="335">
        <f>+Общо!I5</f>
        <v>0</v>
      </c>
      <c r="J5" s="335">
        <f>+Общо!J5</f>
        <v>23.100999999999999</v>
      </c>
      <c r="K5" s="335">
        <f>+Общо!K5</f>
        <v>28.341999999999999</v>
      </c>
      <c r="L5" s="335">
        <f>+Общо!L5</f>
        <v>0</v>
      </c>
      <c r="M5" s="335">
        <f>+Общо!M5</f>
        <v>0.32</v>
      </c>
      <c r="N5" s="335">
        <f>+Общо!N5</f>
        <v>1.9750000000000001</v>
      </c>
      <c r="O5" s="335">
        <f>+Общо!O5</f>
        <v>0</v>
      </c>
      <c r="P5" s="335">
        <f>+Общо!P5</f>
        <v>0</v>
      </c>
      <c r="Q5" s="335">
        <f>+Общо!Q5</f>
        <v>0</v>
      </c>
      <c r="R5" s="335">
        <f>+Общо!R5</f>
        <v>11.71</v>
      </c>
      <c r="S5" s="335">
        <f>+Общо!S5</f>
        <v>0</v>
      </c>
      <c r="T5" s="335">
        <f>+Общо!T5</f>
        <v>2.242</v>
      </c>
      <c r="U5" s="335">
        <f>+Общо!U5</f>
        <v>0</v>
      </c>
      <c r="V5" s="335">
        <f>+Общо!V5</f>
        <v>0</v>
      </c>
      <c r="W5" s="335">
        <f>+Общо!W5</f>
        <v>0</v>
      </c>
      <c r="X5" s="335">
        <f>+Общо!X5</f>
        <v>0</v>
      </c>
      <c r="Y5" s="336">
        <f>+Общо!Y5</f>
        <v>1</v>
      </c>
      <c r="Z5" s="337">
        <f>+Общо!Z5</f>
        <v>0</v>
      </c>
      <c r="AA5" s="333">
        <f>+Общо!AA5</f>
        <v>0</v>
      </c>
      <c r="AB5" s="336">
        <f>+Общо!AB5</f>
        <v>-158.5920000000001</v>
      </c>
      <c r="AD5" s="342">
        <f>+Общо!AD5</f>
        <v>0</v>
      </c>
      <c r="AE5" s="342">
        <f>+Общо!AE5</f>
        <v>15</v>
      </c>
      <c r="AF5" s="342">
        <f>+Общо!AF5</f>
        <v>0</v>
      </c>
      <c r="AG5" s="343">
        <f>+Общо!AG5</f>
        <v>1100</v>
      </c>
      <c r="AH5" s="344">
        <f>+Общо!AH5</f>
        <v>1115</v>
      </c>
      <c r="AJ5" s="345">
        <f>+Общо!AJ5</f>
        <v>22522.004038000014</v>
      </c>
      <c r="AK5" s="346">
        <f>+Общо!AK5</f>
        <v>2485</v>
      </c>
      <c r="AL5" s="347">
        <f>+Общо!AL5</f>
        <v>20037.004038000014</v>
      </c>
      <c r="AM5" s="348">
        <f>+Общо!AM5</f>
        <v>0</v>
      </c>
      <c r="AN5" s="349">
        <f>+Общо!AN5</f>
        <v>20037.004038000014</v>
      </c>
      <c r="AP5" s="329">
        <f>+AP4+1</f>
        <v>45384</v>
      </c>
      <c r="AQ5" s="353">
        <f>+Общо!AQ5</f>
        <v>58.84</v>
      </c>
      <c r="AR5" s="353">
        <f>+Общо!AR5</f>
        <v>43.588119272105978</v>
      </c>
      <c r="AS5" s="332">
        <f>+Общо!AS5</f>
        <v>55.936737999999998</v>
      </c>
      <c r="AT5" s="353">
        <v>7.0268275409081866</v>
      </c>
      <c r="AV5" s="329">
        <f>+AV4+1</f>
        <v>45384</v>
      </c>
      <c r="AW5" s="354">
        <f>+Общо!AW5</f>
        <v>43.588119272105978</v>
      </c>
      <c r="AX5" s="354">
        <f>+Общо!AX5</f>
        <v>60.601308456711415</v>
      </c>
      <c r="AY5" s="353">
        <v>39.334273587491339</v>
      </c>
      <c r="BA5" s="329">
        <f>+BA4+1</f>
        <v>45384</v>
      </c>
      <c r="BB5" s="355">
        <f>+Общо!BB5</f>
        <v>147998.64500000011</v>
      </c>
      <c r="BC5" s="353">
        <f>+Общо!BC5</f>
        <v>229.36627236379309</v>
      </c>
      <c r="BD5" s="359">
        <f>+Общо!BD5</f>
        <v>33945897.518542349</v>
      </c>
      <c r="BF5" s="329">
        <f>+BF4+1</f>
        <v>45384</v>
      </c>
      <c r="BG5" s="357">
        <f>+Общо!BG5</f>
        <v>6825122.2699999996</v>
      </c>
      <c r="BH5" s="357">
        <f>+Общо!BH5</f>
        <v>0</v>
      </c>
      <c r="BI5" s="357">
        <f>+Общо!BI5</f>
        <v>0</v>
      </c>
      <c r="BJ5" s="357">
        <f>+Общо!BJ5</f>
        <v>0</v>
      </c>
      <c r="BK5" s="357">
        <f>+Общо!BK5</f>
        <v>2098870.2800000003</v>
      </c>
      <c r="BL5" s="357">
        <f>+Общо!BL5</f>
        <v>0</v>
      </c>
      <c r="BM5" s="357">
        <f>+Общо!BM5</f>
        <v>58860</v>
      </c>
      <c r="BN5" s="357">
        <f>+Общо!BN5</f>
        <v>0</v>
      </c>
      <c r="BO5" s="358">
        <f>+Общо!BO5</f>
        <v>8982852.5500000007</v>
      </c>
      <c r="BQ5" s="329">
        <f>+BQ4+1</f>
        <v>45384</v>
      </c>
      <c r="BR5" s="357">
        <f>+Общо!BR5</f>
        <v>0</v>
      </c>
      <c r="BS5" s="357">
        <f>+Общо!BS5</f>
        <v>0</v>
      </c>
      <c r="BT5" s="357">
        <f>+Общо!BT5</f>
        <v>0</v>
      </c>
      <c r="BU5" s="357">
        <f>+Общо!BU5</f>
        <v>0</v>
      </c>
      <c r="BV5" s="357">
        <f>+Общо!BV5</f>
        <v>11618458.91</v>
      </c>
      <c r="BW5" s="357">
        <f>+Общо!BW5</f>
        <v>15249723.549999999</v>
      </c>
      <c r="BX5" s="357">
        <f>+Общо!BX5</f>
        <v>0</v>
      </c>
      <c r="BY5" s="357">
        <f>+Общо!BY5</f>
        <v>3567553.1529600001</v>
      </c>
      <c r="BZ5" s="358">
        <f>+Общо!BZ5</f>
        <v>30435735.61296</v>
      </c>
      <c r="CB5" s="329">
        <f>+CB4+1</f>
        <v>45384</v>
      </c>
      <c r="CC5" s="357">
        <f>+Общо!CC5</f>
        <v>6825122.2699999996</v>
      </c>
      <c r="CD5" s="357">
        <f>+Общо!CD5</f>
        <v>0</v>
      </c>
      <c r="CE5" s="357">
        <f>+Общо!CE5</f>
        <v>0</v>
      </c>
      <c r="CF5" s="357">
        <f>+Общо!CF5</f>
        <v>0</v>
      </c>
      <c r="CG5" s="357">
        <f>+Общо!CG5</f>
        <v>13717329.190000001</v>
      </c>
      <c r="CH5" s="357">
        <f>+Общо!CH5</f>
        <v>15249723.549999999</v>
      </c>
      <c r="CI5" s="357">
        <f>+Общо!CI5</f>
        <v>58860</v>
      </c>
      <c r="CJ5" s="357">
        <f>+Общо!CJ5</f>
        <v>3567553.1529600001</v>
      </c>
      <c r="CK5" s="358">
        <f>+Общо!CK5</f>
        <v>39418588.16296</v>
      </c>
    </row>
    <row r="6" spans="2:89" x14ac:dyDescent="0.25">
      <c r="B6" s="47">
        <f t="shared" ref="B6:B32" si="0">+B5+1</f>
        <v>45385</v>
      </c>
      <c r="C6" s="333">
        <f>+Общо!C6</f>
        <v>1085.587</v>
      </c>
      <c r="D6" s="334">
        <f>+Общо!D6</f>
        <v>124.66399999999999</v>
      </c>
      <c r="E6" s="334">
        <f>+Общо!E6</f>
        <v>0</v>
      </c>
      <c r="F6" s="334">
        <f>+Общо!F6</f>
        <v>0</v>
      </c>
      <c r="G6" s="335">
        <f>+Общо!G6</f>
        <v>0</v>
      </c>
      <c r="H6" s="335">
        <f>+Общо!H6</f>
        <v>2.669</v>
      </c>
      <c r="I6" s="335">
        <f>+Общо!I6</f>
        <v>0</v>
      </c>
      <c r="J6" s="335">
        <f>+Общо!J6</f>
        <v>20.347000000000001</v>
      </c>
      <c r="K6" s="335">
        <f>+Общо!K6</f>
        <v>27.850999999999999</v>
      </c>
      <c r="L6" s="335">
        <f>+Общо!L6</f>
        <v>0</v>
      </c>
      <c r="M6" s="335">
        <f>+Общо!M6</f>
        <v>0.214</v>
      </c>
      <c r="N6" s="335">
        <f>+Общо!N6</f>
        <v>0.85399999999999998</v>
      </c>
      <c r="O6" s="335">
        <f>+Общо!O6</f>
        <v>1.153</v>
      </c>
      <c r="P6" s="335">
        <f>+Общо!P6</f>
        <v>0</v>
      </c>
      <c r="Q6" s="335">
        <f>+Общо!Q6</f>
        <v>0</v>
      </c>
      <c r="R6" s="335">
        <f>+Общо!R6</f>
        <v>11.891999999999999</v>
      </c>
      <c r="S6" s="335">
        <f>+Общо!S6</f>
        <v>0</v>
      </c>
      <c r="T6" s="335">
        <f>+Общо!T6</f>
        <v>3.17</v>
      </c>
      <c r="U6" s="335">
        <f>+Общо!U6</f>
        <v>0</v>
      </c>
      <c r="V6" s="335">
        <f>+Общо!V6</f>
        <v>0</v>
      </c>
      <c r="W6" s="335">
        <f>+Общо!W6</f>
        <v>0</v>
      </c>
      <c r="X6" s="335">
        <f>+Общо!X6</f>
        <v>0</v>
      </c>
      <c r="Y6" s="336">
        <f>+Общо!Y6</f>
        <v>5.5109999999999673</v>
      </c>
      <c r="Z6" s="337">
        <f>+Общо!Z6</f>
        <v>0</v>
      </c>
      <c r="AA6" s="333">
        <f>+Общо!AA6</f>
        <v>0</v>
      </c>
      <c r="AB6" s="336">
        <f>+Общо!AB6</f>
        <v>-18.912000000000035</v>
      </c>
      <c r="AD6" s="342">
        <f>+Общо!AD6</f>
        <v>0</v>
      </c>
      <c r="AE6" s="342">
        <f>+Общо!AE6</f>
        <v>15</v>
      </c>
      <c r="AF6" s="342">
        <f>+Общо!AF6</f>
        <v>0</v>
      </c>
      <c r="AG6" s="343">
        <f>+Общо!AG6</f>
        <v>1250</v>
      </c>
      <c r="AH6" s="344">
        <f>+Общо!AH6</f>
        <v>1265</v>
      </c>
      <c r="AJ6" s="345">
        <f>+Общо!AJ6</f>
        <v>22475.590413000005</v>
      </c>
      <c r="AK6" s="346">
        <f>+Общо!AK6</f>
        <v>2485</v>
      </c>
      <c r="AL6" s="347">
        <f>+Общо!AL6</f>
        <v>19990.590413000005</v>
      </c>
      <c r="AM6" s="348">
        <f>+Общо!AM6</f>
        <v>0</v>
      </c>
      <c r="AN6" s="349">
        <f>+Общо!AN6</f>
        <v>19990.590413000005</v>
      </c>
      <c r="AP6" s="329">
        <f t="shared" ref="AP6:AP32" si="1">+AP5+1</f>
        <v>45385</v>
      </c>
      <c r="AQ6" s="353">
        <f>+Общо!AQ6</f>
        <v>58.84</v>
      </c>
      <c r="AR6" s="353">
        <f>+Общо!AR6</f>
        <v>43.841602851285757</v>
      </c>
      <c r="AS6" s="332">
        <f>+Общо!AS6</f>
        <v>51.438329000000003</v>
      </c>
      <c r="AT6" s="353">
        <v>5.7935599999999852</v>
      </c>
      <c r="AV6" s="329">
        <f t="shared" ref="AV6:AV32" si="2">+AV5+1</f>
        <v>45385</v>
      </c>
      <c r="AW6" s="354">
        <f>+Общо!AW6</f>
        <v>43.841602851285757</v>
      </c>
      <c r="AX6" s="354">
        <f>+Общо!AX6</f>
        <v>60.739096369622033</v>
      </c>
      <c r="AY6" s="353">
        <v>2.4723597409362412</v>
      </c>
      <c r="BA6" s="329">
        <f t="shared" ref="BA6:BA32" si="3">+BA5+1</f>
        <v>45385</v>
      </c>
      <c r="BB6" s="355">
        <f>+Общо!BB6</f>
        <v>147998.64500000011</v>
      </c>
      <c r="BC6" s="353">
        <f>+Общо!BC6</f>
        <v>229.36627236379309</v>
      </c>
      <c r="BD6" s="359">
        <f>+Общо!BD6</f>
        <v>33945897.518542349</v>
      </c>
      <c r="BF6" s="329">
        <f t="shared" ref="BF6:BF32" si="4">+BF5+1</f>
        <v>45385</v>
      </c>
      <c r="BG6" s="357">
        <f>+Общо!BG6</f>
        <v>6825122.2699999996</v>
      </c>
      <c r="BH6" s="357">
        <f>+Общо!BH6</f>
        <v>1913745.64</v>
      </c>
      <c r="BI6" s="357">
        <f>+Общо!BI6</f>
        <v>0</v>
      </c>
      <c r="BJ6" s="357">
        <f>+Общо!BJ6</f>
        <v>397936.4200000001</v>
      </c>
      <c r="BK6" s="357">
        <f>+Общо!BK6</f>
        <v>2433275.39</v>
      </c>
      <c r="BL6" s="357">
        <f>+Общо!BL6</f>
        <v>0</v>
      </c>
      <c r="BM6" s="357">
        <f>+Общо!BM6</f>
        <v>179041.49</v>
      </c>
      <c r="BN6" s="357">
        <f>+Общо!BN6</f>
        <v>0</v>
      </c>
      <c r="BO6" s="358">
        <f>+Общо!BO6</f>
        <v>11749121.210000001</v>
      </c>
      <c r="BQ6" s="329">
        <f t="shared" ref="BQ6:BQ32" si="5">+BQ5+1</f>
        <v>45385</v>
      </c>
      <c r="BR6" s="357">
        <f>+Общо!BR6</f>
        <v>0</v>
      </c>
      <c r="BS6" s="357">
        <f>+Общо!BS6</f>
        <v>0</v>
      </c>
      <c r="BT6" s="357">
        <f>+Общо!BT6</f>
        <v>0</v>
      </c>
      <c r="BU6" s="357">
        <f>+Общо!BU6</f>
        <v>0</v>
      </c>
      <c r="BV6" s="357">
        <f>+Общо!BV6</f>
        <v>13717329.190000001</v>
      </c>
      <c r="BW6" s="357">
        <f>+Общо!BW6</f>
        <v>15249723.549999999</v>
      </c>
      <c r="BX6" s="357">
        <f>+Общо!BX6</f>
        <v>0</v>
      </c>
      <c r="BY6" s="357">
        <f>+Общо!BY6</f>
        <v>3567553.1529600001</v>
      </c>
      <c r="BZ6" s="358">
        <f>+Общо!BZ6</f>
        <v>32534605.892960001</v>
      </c>
      <c r="CB6" s="329">
        <f t="shared" ref="CB6:CB32" si="6">+CB5+1</f>
        <v>45385</v>
      </c>
      <c r="CC6" s="357">
        <f>+Общо!CC6</f>
        <v>6825122.2699999996</v>
      </c>
      <c r="CD6" s="357">
        <f>+Общо!CD6</f>
        <v>1913745.64</v>
      </c>
      <c r="CE6" s="357">
        <f>+Общо!CE6</f>
        <v>0</v>
      </c>
      <c r="CF6" s="357">
        <f>+Общо!CF6</f>
        <v>397936.4200000001</v>
      </c>
      <c r="CG6" s="357">
        <f>+Общо!CG6</f>
        <v>16150604.580000002</v>
      </c>
      <c r="CH6" s="357">
        <f>+Общо!CH6</f>
        <v>15249723.549999999</v>
      </c>
      <c r="CI6" s="357">
        <f>+Общо!CI6</f>
        <v>179041.49</v>
      </c>
      <c r="CJ6" s="357">
        <f>+Общо!CJ6</f>
        <v>3567553.1529600001</v>
      </c>
      <c r="CK6" s="358">
        <f>+Общо!CK6</f>
        <v>44283727.102960005</v>
      </c>
    </row>
    <row r="7" spans="2:89" x14ac:dyDescent="0.25">
      <c r="B7" s="47">
        <f t="shared" si="0"/>
        <v>45386</v>
      </c>
      <c r="C7" s="333">
        <f>+Общо!C7</f>
        <v>1086.932</v>
      </c>
      <c r="D7" s="334">
        <f>+Общо!D7</f>
        <v>96.000999999999976</v>
      </c>
      <c r="E7" s="334">
        <f>+Общо!E7</f>
        <v>0</v>
      </c>
      <c r="F7" s="334">
        <f>+Общо!F7</f>
        <v>0</v>
      </c>
      <c r="G7" s="335">
        <f>+Общо!G7</f>
        <v>161.833</v>
      </c>
      <c r="H7" s="335">
        <f>+Общо!H7</f>
        <v>2.669</v>
      </c>
      <c r="I7" s="335">
        <f>+Общо!I7</f>
        <v>0</v>
      </c>
      <c r="J7" s="335">
        <f>+Общо!J7</f>
        <v>21.925999999999998</v>
      </c>
      <c r="K7" s="335">
        <f>+Общо!K7</f>
        <v>27.797999999999998</v>
      </c>
      <c r="L7" s="335">
        <f>+Общо!L7</f>
        <v>0</v>
      </c>
      <c r="M7" s="335">
        <f>+Общо!M7</f>
        <v>0.23499999999999999</v>
      </c>
      <c r="N7" s="335">
        <f>+Общо!N7</f>
        <v>1.7290000000000001</v>
      </c>
      <c r="O7" s="335">
        <f>+Общо!O7</f>
        <v>1.804</v>
      </c>
      <c r="P7" s="335">
        <f>+Общо!P7</f>
        <v>0</v>
      </c>
      <c r="Q7" s="335">
        <f>+Общо!Q7</f>
        <v>0</v>
      </c>
      <c r="R7" s="335">
        <f>+Общо!R7</f>
        <v>12.542999999999999</v>
      </c>
      <c r="S7" s="335">
        <f>+Общо!S7</f>
        <v>0</v>
      </c>
      <c r="T7" s="335">
        <f>+Общо!T7</f>
        <v>12.789</v>
      </c>
      <c r="U7" s="335">
        <f>+Общо!U7</f>
        <v>0</v>
      </c>
      <c r="V7" s="335">
        <f>+Общо!V7</f>
        <v>0</v>
      </c>
      <c r="W7" s="335">
        <f>+Общо!W7</f>
        <v>0</v>
      </c>
      <c r="X7" s="335">
        <f>+Общо!X7</f>
        <v>0</v>
      </c>
      <c r="Y7" s="336">
        <f>+Общо!Y7</f>
        <v>3.3440000000000509</v>
      </c>
      <c r="Z7" s="337">
        <f>+Общо!Z7</f>
        <v>0</v>
      </c>
      <c r="AA7" s="333">
        <f>+Общо!AA7</f>
        <v>25.396999999999935</v>
      </c>
      <c r="AB7" s="336">
        <f>+Общо!AB7</f>
        <v>0</v>
      </c>
      <c r="AD7" s="342">
        <f>+Общо!AD7</f>
        <v>0</v>
      </c>
      <c r="AE7" s="342">
        <f>+Общо!AE7</f>
        <v>15</v>
      </c>
      <c r="AF7" s="342">
        <f>+Общо!AF7</f>
        <v>0</v>
      </c>
      <c r="AG7" s="343">
        <f>+Общо!AG7</f>
        <v>1440</v>
      </c>
      <c r="AH7" s="344">
        <f>+Общо!AH7</f>
        <v>1455</v>
      </c>
      <c r="AJ7" s="345">
        <f>+Общо!AJ7</f>
        <v>25365.909524999988</v>
      </c>
      <c r="AK7" s="346">
        <f>+Общо!AK7</f>
        <v>2485</v>
      </c>
      <c r="AL7" s="347">
        <f>+Общо!AL7</f>
        <v>22880.909524999988</v>
      </c>
      <c r="AM7" s="348">
        <f>+Общо!AM7</f>
        <v>0</v>
      </c>
      <c r="AN7" s="349">
        <f>+Общо!AN7</f>
        <v>22880.909524999988</v>
      </c>
      <c r="AP7" s="329">
        <f t="shared" si="1"/>
        <v>45386</v>
      </c>
      <c r="AQ7" s="353">
        <f>+Общо!AQ7</f>
        <v>58.84</v>
      </c>
      <c r="AR7" s="353">
        <f>+Общо!AR7</f>
        <v>43.228213058419243</v>
      </c>
      <c r="AS7" s="332">
        <f>+Общо!AS7</f>
        <v>50.851579999999998</v>
      </c>
      <c r="AT7" s="353">
        <v>22.065501784374348</v>
      </c>
      <c r="AV7" s="329">
        <f t="shared" si="2"/>
        <v>45386</v>
      </c>
      <c r="AW7" s="354">
        <f>+Общо!AW7</f>
        <v>43.228213058419243</v>
      </c>
      <c r="AX7" s="354">
        <f>+Общо!AX7</f>
        <v>60.102452133091482</v>
      </c>
      <c r="AY7" s="353">
        <v>41.507913592399319</v>
      </c>
      <c r="BA7" s="329">
        <f t="shared" si="3"/>
        <v>45386</v>
      </c>
      <c r="BB7" s="355">
        <f>+Общо!BB7</f>
        <v>147998.64500000011</v>
      </c>
      <c r="BC7" s="353">
        <f>+Общо!BC7</f>
        <v>229.36627236379309</v>
      </c>
      <c r="BD7" s="359">
        <f>+Общо!BD7</f>
        <v>33945897.518542349</v>
      </c>
      <c r="BF7" s="329">
        <f t="shared" si="4"/>
        <v>45386</v>
      </c>
      <c r="BG7" s="357">
        <f>+Общо!BG7</f>
        <v>6825122.2699999996</v>
      </c>
      <c r="BH7" s="357">
        <f>+Общо!BH7</f>
        <v>1913745.64</v>
      </c>
      <c r="BI7" s="357">
        <f>+Общо!BI7</f>
        <v>0</v>
      </c>
      <c r="BJ7" s="357">
        <f>+Общо!BJ7</f>
        <v>397936.4200000001</v>
      </c>
      <c r="BK7" s="357">
        <f>+Общо!BK7</f>
        <v>2433275.39</v>
      </c>
      <c r="BL7" s="357">
        <f>+Общо!BL7</f>
        <v>0</v>
      </c>
      <c r="BM7" s="357">
        <f>+Общо!BM7</f>
        <v>179041.49</v>
      </c>
      <c r="BN7" s="357">
        <f>+Общо!BN7</f>
        <v>0</v>
      </c>
      <c r="BO7" s="358">
        <f>+Общо!BO7</f>
        <v>11749121.210000001</v>
      </c>
      <c r="BQ7" s="329">
        <f t="shared" si="5"/>
        <v>45386</v>
      </c>
      <c r="BR7" s="357">
        <f>+Общо!BR7</f>
        <v>0</v>
      </c>
      <c r="BS7" s="357">
        <f>+Общо!BS7</f>
        <v>0</v>
      </c>
      <c r="BT7" s="357">
        <f>+Общо!BT7</f>
        <v>0</v>
      </c>
      <c r="BU7" s="357">
        <f>+Общо!BU7</f>
        <v>0</v>
      </c>
      <c r="BV7" s="357">
        <f>+Общо!BV7</f>
        <v>13717329.190000001</v>
      </c>
      <c r="BW7" s="357">
        <f>+Общо!BW7</f>
        <v>15249723.549999999</v>
      </c>
      <c r="BX7" s="357">
        <f>+Общо!BX7</f>
        <v>0</v>
      </c>
      <c r="BY7" s="357">
        <f>+Общо!BY7</f>
        <v>3567553.1529600001</v>
      </c>
      <c r="BZ7" s="358">
        <f>+Общо!BZ7</f>
        <v>32534605.892960001</v>
      </c>
      <c r="CB7" s="329">
        <f t="shared" si="6"/>
        <v>45386</v>
      </c>
      <c r="CC7" s="357">
        <f>+Общо!CC7</f>
        <v>6825122.2699999996</v>
      </c>
      <c r="CD7" s="357">
        <f>+Общо!CD7</f>
        <v>1913745.64</v>
      </c>
      <c r="CE7" s="357">
        <f>+Общо!CE7</f>
        <v>0</v>
      </c>
      <c r="CF7" s="357">
        <f>+Общо!CF7</f>
        <v>397936.4200000001</v>
      </c>
      <c r="CG7" s="357">
        <f>+Общо!CG7</f>
        <v>16150604.580000002</v>
      </c>
      <c r="CH7" s="357">
        <f>+Общо!CH7</f>
        <v>15249723.549999999</v>
      </c>
      <c r="CI7" s="357">
        <f>+Общо!CI7</f>
        <v>179041.49</v>
      </c>
      <c r="CJ7" s="357">
        <f>+Общо!CJ7</f>
        <v>3567553.1529600001</v>
      </c>
      <c r="CK7" s="358">
        <f>+Общо!CK7</f>
        <v>44283727.102960005</v>
      </c>
    </row>
    <row r="8" spans="2:89" x14ac:dyDescent="0.25">
      <c r="B8" s="47">
        <f t="shared" si="0"/>
        <v>45387</v>
      </c>
      <c r="C8" s="333">
        <f>+Общо!C8</f>
        <v>1099.2190000000001</v>
      </c>
      <c r="D8" s="334">
        <f>+Общо!D8</f>
        <v>119.26200000000006</v>
      </c>
      <c r="E8" s="334">
        <f>+Общо!E8</f>
        <v>0</v>
      </c>
      <c r="F8" s="334">
        <f>+Общо!F8</f>
        <v>0</v>
      </c>
      <c r="G8" s="335">
        <f>+Общо!G8</f>
        <v>171.70699999999999</v>
      </c>
      <c r="H8" s="335">
        <f>+Общо!H8</f>
        <v>2.7759999999999998</v>
      </c>
      <c r="I8" s="335">
        <f>+Общо!I8</f>
        <v>0</v>
      </c>
      <c r="J8" s="335">
        <f>+Общо!J8</f>
        <v>21.338999999999999</v>
      </c>
      <c r="K8" s="335">
        <f>+Общо!K8</f>
        <v>27.552</v>
      </c>
      <c r="L8" s="335">
        <f>+Общо!L8</f>
        <v>0</v>
      </c>
      <c r="M8" s="335">
        <f>+Общо!M8</f>
        <v>0.23499999999999999</v>
      </c>
      <c r="N8" s="335">
        <f>+Общо!N8</f>
        <v>1.708</v>
      </c>
      <c r="O8" s="335">
        <f>+Общо!O8</f>
        <v>0</v>
      </c>
      <c r="P8" s="335">
        <f>+Общо!P8</f>
        <v>0</v>
      </c>
      <c r="Q8" s="335">
        <f>+Общо!Q8</f>
        <v>0</v>
      </c>
      <c r="R8" s="335">
        <f>+Общо!R8</f>
        <v>12.105</v>
      </c>
      <c r="S8" s="335">
        <f>+Общо!S8</f>
        <v>0</v>
      </c>
      <c r="T8" s="335">
        <f>+Общо!T8</f>
        <v>2.5190000000000001</v>
      </c>
      <c r="U8" s="335">
        <f>+Общо!U8</f>
        <v>0</v>
      </c>
      <c r="V8" s="335">
        <f>+Общо!V8</f>
        <v>0</v>
      </c>
      <c r="W8" s="335">
        <f>+Общо!W8</f>
        <v>0</v>
      </c>
      <c r="X8" s="335">
        <f>+Общо!X8</f>
        <v>0</v>
      </c>
      <c r="Y8" s="336">
        <f>+Общо!Y8</f>
        <v>0</v>
      </c>
      <c r="Z8" s="337">
        <f>+Общо!Z8</f>
        <v>0</v>
      </c>
      <c r="AA8" s="333">
        <f>+Общо!AA8</f>
        <v>0</v>
      </c>
      <c r="AB8" s="336">
        <f>+Общо!AB8</f>
        <v>-116.42200000000003</v>
      </c>
      <c r="AD8" s="342">
        <f>+Общо!AD8</f>
        <v>0</v>
      </c>
      <c r="AE8" s="342">
        <f>+Общо!AE8</f>
        <v>15</v>
      </c>
      <c r="AF8" s="342">
        <f>+Общо!AF8</f>
        <v>0</v>
      </c>
      <c r="AG8" s="343">
        <f>+Общо!AG8</f>
        <v>1327</v>
      </c>
      <c r="AH8" s="344">
        <f>+Общо!AH8</f>
        <v>1342</v>
      </c>
      <c r="AJ8" s="345">
        <f>+Общо!AJ8</f>
        <v>27556.848622000001</v>
      </c>
      <c r="AK8" s="346">
        <f>+Общо!AK8</f>
        <v>2485</v>
      </c>
      <c r="AL8" s="347">
        <f>+Общо!AL8</f>
        <v>25071.848622000001</v>
      </c>
      <c r="AM8" s="348">
        <f>+Общо!AM8</f>
        <v>0</v>
      </c>
      <c r="AN8" s="349">
        <f>+Общо!AN8</f>
        <v>25071.848622000001</v>
      </c>
      <c r="AP8" s="329">
        <f t="shared" si="1"/>
        <v>45387</v>
      </c>
      <c r="AQ8" s="353">
        <f>+Общо!AQ8</f>
        <v>58.84</v>
      </c>
      <c r="AR8" s="353">
        <f>+Общо!AR8</f>
        <v>42.218486830286437</v>
      </c>
      <c r="AS8" s="332">
        <f>+Общо!AS8</f>
        <v>52.220661</v>
      </c>
      <c r="AT8" s="353">
        <v>79.915220000000005</v>
      </c>
      <c r="AV8" s="329">
        <f t="shared" si="2"/>
        <v>45387</v>
      </c>
      <c r="AW8" s="354">
        <f>+Общо!AW8</f>
        <v>42.218486830286437</v>
      </c>
      <c r="AX8" s="354">
        <f>+Общо!AX8</f>
        <v>60.471082553609314</v>
      </c>
      <c r="AY8" s="353">
        <v>-48.570105113145814</v>
      </c>
      <c r="BA8" s="329">
        <f t="shared" si="3"/>
        <v>45387</v>
      </c>
      <c r="BB8" s="355">
        <f>+Общо!BB8</f>
        <v>147998.64500000011</v>
      </c>
      <c r="BC8" s="353">
        <f>+Общо!BC8</f>
        <v>229.36627236379309</v>
      </c>
      <c r="BD8" s="359">
        <f>+Общо!BD8</f>
        <v>33945897.518542349</v>
      </c>
      <c r="BF8" s="329">
        <f t="shared" si="4"/>
        <v>45387</v>
      </c>
      <c r="BG8" s="357">
        <f>+Общо!BG8</f>
        <v>6825122.2699999996</v>
      </c>
      <c r="BH8" s="357">
        <f>+Общо!BH8</f>
        <v>1913745.64</v>
      </c>
      <c r="BI8" s="357">
        <f>+Общо!BI8</f>
        <v>0</v>
      </c>
      <c r="BJ8" s="357">
        <f>+Общо!BJ8</f>
        <v>397936.4200000001</v>
      </c>
      <c r="BK8" s="357">
        <f>+Общо!BK8</f>
        <v>2433275.39</v>
      </c>
      <c r="BL8" s="357">
        <f>+Общо!BL8</f>
        <v>0</v>
      </c>
      <c r="BM8" s="357">
        <f>+Общо!BM8</f>
        <v>179041.49</v>
      </c>
      <c r="BN8" s="357">
        <f>+Общо!BN8</f>
        <v>0</v>
      </c>
      <c r="BO8" s="358">
        <f>+Общо!BO8</f>
        <v>11749121.210000001</v>
      </c>
      <c r="BQ8" s="329">
        <f t="shared" si="5"/>
        <v>45387</v>
      </c>
      <c r="BR8" s="357">
        <f>+Общо!BR8</f>
        <v>0</v>
      </c>
      <c r="BS8" s="357">
        <f>+Общо!BS8</f>
        <v>0</v>
      </c>
      <c r="BT8" s="357">
        <f>+Общо!BT8</f>
        <v>0</v>
      </c>
      <c r="BU8" s="357">
        <f>+Общо!BU8</f>
        <v>0</v>
      </c>
      <c r="BV8" s="357">
        <f>+Общо!BV8</f>
        <v>13717329.190000001</v>
      </c>
      <c r="BW8" s="357">
        <f>+Общо!BW8</f>
        <v>15249723.549999999</v>
      </c>
      <c r="BX8" s="357">
        <f>+Общо!BX8</f>
        <v>0</v>
      </c>
      <c r="BY8" s="357">
        <f>+Общо!BY8</f>
        <v>3567553.1529600001</v>
      </c>
      <c r="BZ8" s="358">
        <f>+Общо!BZ8</f>
        <v>32534605.892960001</v>
      </c>
      <c r="CB8" s="329">
        <f t="shared" si="6"/>
        <v>45387</v>
      </c>
      <c r="CC8" s="357">
        <f>+Общо!CC8</f>
        <v>6825122.2699999996</v>
      </c>
      <c r="CD8" s="357">
        <f>+Общо!CD8</f>
        <v>1913745.64</v>
      </c>
      <c r="CE8" s="357">
        <f>+Общо!CE8</f>
        <v>0</v>
      </c>
      <c r="CF8" s="357">
        <f>+Общо!CF8</f>
        <v>397936.4200000001</v>
      </c>
      <c r="CG8" s="357">
        <f>+Общо!CG8</f>
        <v>16150604.580000002</v>
      </c>
      <c r="CH8" s="357">
        <f>+Общо!CH8</f>
        <v>15249723.549999999</v>
      </c>
      <c r="CI8" s="357">
        <f>+Общо!CI8</f>
        <v>179041.49</v>
      </c>
      <c r="CJ8" s="357">
        <f>+Общо!CJ8</f>
        <v>3567553.1529600001</v>
      </c>
      <c r="CK8" s="358">
        <f>+Общо!CK8</f>
        <v>44283727.102960005</v>
      </c>
    </row>
    <row r="9" spans="2:89" x14ac:dyDescent="0.25">
      <c r="B9" s="47">
        <f t="shared" si="0"/>
        <v>45388</v>
      </c>
      <c r="C9" s="333">
        <f>+Общо!C9</f>
        <v>1066.126</v>
      </c>
      <c r="D9" s="334">
        <f>+Общо!D9</f>
        <v>146.58000000000004</v>
      </c>
      <c r="E9" s="334">
        <f>+Общо!E9</f>
        <v>0</v>
      </c>
      <c r="F9" s="334">
        <f>+Общо!F9</f>
        <v>0</v>
      </c>
      <c r="G9" s="335">
        <f>+Общо!G9</f>
        <v>163.78700000000001</v>
      </c>
      <c r="H9" s="335">
        <f>+Общо!H9</f>
        <v>2.8290000000000002</v>
      </c>
      <c r="I9" s="335">
        <f>+Общо!I9</f>
        <v>0</v>
      </c>
      <c r="J9" s="335">
        <f>+Общо!J9</f>
        <v>9.8849999999999998</v>
      </c>
      <c r="K9" s="335">
        <f>+Общо!K9</f>
        <v>28.341999999999999</v>
      </c>
      <c r="L9" s="335">
        <f>+Общо!L9</f>
        <v>58.794999999999987</v>
      </c>
      <c r="M9" s="335">
        <f>+Общо!M9</f>
        <v>0.224</v>
      </c>
      <c r="N9" s="335">
        <f>+Общо!N9</f>
        <v>1.014</v>
      </c>
      <c r="O9" s="335">
        <f>+Общо!O9</f>
        <v>0</v>
      </c>
      <c r="P9" s="335">
        <f>+Общо!P9</f>
        <v>0</v>
      </c>
      <c r="Q9" s="335">
        <f>+Общо!Q9</f>
        <v>0</v>
      </c>
      <c r="R9" s="335">
        <f>+Общо!R9</f>
        <v>9.7460000000000004</v>
      </c>
      <c r="S9" s="335">
        <f>+Общо!S9</f>
        <v>0</v>
      </c>
      <c r="T9" s="335">
        <f>+Общо!T9</f>
        <v>15.65</v>
      </c>
      <c r="U9" s="335">
        <f>+Общо!U9</f>
        <v>0</v>
      </c>
      <c r="V9" s="335">
        <f>+Общо!V9</f>
        <v>0</v>
      </c>
      <c r="W9" s="335">
        <f>+Общо!W9</f>
        <v>0</v>
      </c>
      <c r="X9" s="335">
        <f>+Общо!X9</f>
        <v>0</v>
      </c>
      <c r="Y9" s="336">
        <f>+Общо!Y9</f>
        <v>2.3299999999999272</v>
      </c>
      <c r="Z9" s="337">
        <f>+Общо!Z9</f>
        <v>0</v>
      </c>
      <c r="AA9" s="333">
        <f>+Общо!AA9</f>
        <v>0</v>
      </c>
      <c r="AB9" s="336">
        <f>+Общо!AB9</f>
        <v>-55.307999999999993</v>
      </c>
      <c r="AD9" s="342">
        <f>+Общо!AD9</f>
        <v>0</v>
      </c>
      <c r="AE9" s="342">
        <f>+Общо!AE9</f>
        <v>15</v>
      </c>
      <c r="AF9" s="342">
        <f>+Общо!AF9</f>
        <v>0</v>
      </c>
      <c r="AG9" s="343">
        <f>+Общо!AG9</f>
        <v>1435</v>
      </c>
      <c r="AH9" s="344">
        <f>+Общо!AH9</f>
        <v>1450</v>
      </c>
      <c r="AJ9" s="345">
        <f>+Общо!AJ9</f>
        <v>31148.011157000012</v>
      </c>
      <c r="AK9" s="346">
        <f>+Общо!AK9</f>
        <v>2485</v>
      </c>
      <c r="AL9" s="347">
        <f>+Общо!AL9</f>
        <v>28663.011157000012</v>
      </c>
      <c r="AM9" s="348">
        <f>+Общо!AM9</f>
        <v>0</v>
      </c>
      <c r="AN9" s="349">
        <f>+Общо!AN9</f>
        <v>28663.011157000012</v>
      </c>
      <c r="AP9" s="329">
        <f t="shared" si="1"/>
        <v>45388</v>
      </c>
      <c r="AQ9" s="353">
        <f>+Общо!AQ9</f>
        <v>58.84</v>
      </c>
      <c r="AR9" s="353">
        <f>+Общо!AR9</f>
        <v>40.262849861955168</v>
      </c>
      <c r="AS9" s="332">
        <f>+Общо!AS9</f>
        <v>52.562931249999998</v>
      </c>
      <c r="AT9" s="353">
        <v>82.800069249999993</v>
      </c>
      <c r="AV9" s="329">
        <f t="shared" si="2"/>
        <v>45388</v>
      </c>
      <c r="AW9" s="354">
        <f>+Общо!AW9</f>
        <v>40.262849861955168</v>
      </c>
      <c r="AX9" s="354">
        <f>+Общо!AX9</f>
        <v>60.329331472363116</v>
      </c>
      <c r="AY9" s="353">
        <v>-44.454269350687554</v>
      </c>
      <c r="BA9" s="329">
        <f t="shared" si="3"/>
        <v>45388</v>
      </c>
      <c r="BB9" s="355">
        <f>+Общо!BB9</f>
        <v>147998.64500000011</v>
      </c>
      <c r="BC9" s="353">
        <f>+Общо!BC9</f>
        <v>229.36627236379309</v>
      </c>
      <c r="BD9" s="359">
        <f>+Общо!BD9</f>
        <v>33945897.518542349</v>
      </c>
      <c r="BF9" s="329">
        <f t="shared" si="4"/>
        <v>45388</v>
      </c>
      <c r="BG9" s="357">
        <f>+Общо!BG9</f>
        <v>6825122.2699999996</v>
      </c>
      <c r="BH9" s="357">
        <f>+Общо!BH9</f>
        <v>1913745.64</v>
      </c>
      <c r="BI9" s="357">
        <f>+Общо!BI9</f>
        <v>0</v>
      </c>
      <c r="BJ9" s="357">
        <f>+Общо!BJ9</f>
        <v>397936.4200000001</v>
      </c>
      <c r="BK9" s="357">
        <f>+Общо!BK9</f>
        <v>2433275.39</v>
      </c>
      <c r="BL9" s="357">
        <f>+Общо!BL9</f>
        <v>0</v>
      </c>
      <c r="BM9" s="357">
        <f>+Общо!BM9</f>
        <v>179041.49</v>
      </c>
      <c r="BN9" s="357">
        <f>+Общо!BN9</f>
        <v>0</v>
      </c>
      <c r="BO9" s="358">
        <f>+Общо!BO9</f>
        <v>11749121.210000001</v>
      </c>
      <c r="BQ9" s="329">
        <f t="shared" si="5"/>
        <v>45388</v>
      </c>
      <c r="BR9" s="357">
        <f>+Общо!BR9</f>
        <v>0</v>
      </c>
      <c r="BS9" s="357">
        <f>+Общо!BS9</f>
        <v>0</v>
      </c>
      <c r="BT9" s="357">
        <f>+Общо!BT9</f>
        <v>0</v>
      </c>
      <c r="BU9" s="357">
        <f>+Общо!BU9</f>
        <v>0</v>
      </c>
      <c r="BV9" s="357">
        <f>+Общо!BV9</f>
        <v>13717329.190000001</v>
      </c>
      <c r="BW9" s="357">
        <f>+Общо!BW9</f>
        <v>15249723.549999999</v>
      </c>
      <c r="BX9" s="357">
        <f>+Общо!BX9</f>
        <v>0</v>
      </c>
      <c r="BY9" s="357">
        <f>+Общо!BY9</f>
        <v>3567553.1529600001</v>
      </c>
      <c r="BZ9" s="358">
        <f>+Общо!BZ9</f>
        <v>32534605.892960001</v>
      </c>
      <c r="CB9" s="329">
        <f t="shared" si="6"/>
        <v>45388</v>
      </c>
      <c r="CC9" s="357">
        <f>+Общо!CC9</f>
        <v>6825122.2699999996</v>
      </c>
      <c r="CD9" s="357">
        <f>+Общо!CD9</f>
        <v>1913745.64</v>
      </c>
      <c r="CE9" s="357">
        <f>+Общо!CE9</f>
        <v>0</v>
      </c>
      <c r="CF9" s="357">
        <f>+Общо!CF9</f>
        <v>397936.4200000001</v>
      </c>
      <c r="CG9" s="357">
        <f>+Общо!CG9</f>
        <v>16150604.580000002</v>
      </c>
      <c r="CH9" s="357">
        <f>+Общо!CH9</f>
        <v>15249723.549999999</v>
      </c>
      <c r="CI9" s="357">
        <f>+Общо!CI9</f>
        <v>179041.49</v>
      </c>
      <c r="CJ9" s="357">
        <f>+Общо!CJ9</f>
        <v>3567553.1529600001</v>
      </c>
      <c r="CK9" s="358">
        <f>+Общо!CK9</f>
        <v>44283727.102960005</v>
      </c>
    </row>
    <row r="10" spans="2:89" x14ac:dyDescent="0.25">
      <c r="B10" s="47">
        <f t="shared" si="0"/>
        <v>45389</v>
      </c>
      <c r="C10" s="333">
        <f>+Общо!C10</f>
        <v>1060.0419999999999</v>
      </c>
      <c r="D10" s="334">
        <f>+Общо!D10</f>
        <v>133.65200000000004</v>
      </c>
      <c r="E10" s="334">
        <f>+Общо!E10</f>
        <v>0</v>
      </c>
      <c r="F10" s="334">
        <f>+Общо!F10</f>
        <v>0</v>
      </c>
      <c r="G10" s="335">
        <f>+Общо!G10</f>
        <v>166.09200000000001</v>
      </c>
      <c r="H10" s="335">
        <f>+Общо!H10</f>
        <v>2.573</v>
      </c>
      <c r="I10" s="335">
        <f>+Общо!I10</f>
        <v>0</v>
      </c>
      <c r="J10" s="335">
        <f>+Общо!J10</f>
        <v>2.6469999999999998</v>
      </c>
      <c r="K10" s="335">
        <f>+Общо!K10</f>
        <v>28.704999999999998</v>
      </c>
      <c r="L10" s="335">
        <f>+Общо!L10</f>
        <v>63.204000000000008</v>
      </c>
      <c r="M10" s="335">
        <f>+Общо!M10</f>
        <v>0</v>
      </c>
      <c r="N10" s="335">
        <f>+Общо!N10</f>
        <v>0.53400000000000003</v>
      </c>
      <c r="O10" s="335">
        <f>+Общо!O10</f>
        <v>0</v>
      </c>
      <c r="P10" s="335">
        <f>+Общо!P10</f>
        <v>0</v>
      </c>
      <c r="Q10" s="335">
        <f>+Общо!Q10</f>
        <v>0</v>
      </c>
      <c r="R10" s="335">
        <f>+Общо!R10</f>
        <v>10.419</v>
      </c>
      <c r="S10" s="335">
        <f>+Общо!S10</f>
        <v>0</v>
      </c>
      <c r="T10" s="335">
        <f>+Общо!T10</f>
        <v>0</v>
      </c>
      <c r="U10" s="335">
        <f>+Общо!U10</f>
        <v>0</v>
      </c>
      <c r="V10" s="335">
        <f>+Общо!V10</f>
        <v>0</v>
      </c>
      <c r="W10" s="335">
        <f>+Общо!W10</f>
        <v>0</v>
      </c>
      <c r="X10" s="335">
        <f>+Общо!X10</f>
        <v>0</v>
      </c>
      <c r="Y10" s="336">
        <f>+Общо!Y10</f>
        <v>2.1059999999999945</v>
      </c>
      <c r="Z10" s="337">
        <f>+Общо!Z10</f>
        <v>0</v>
      </c>
      <c r="AA10" s="333">
        <f>+Общо!AA10</f>
        <v>0</v>
      </c>
      <c r="AB10" s="336">
        <f>+Общо!AB10</f>
        <v>-54.973999999999933</v>
      </c>
      <c r="AD10" s="342">
        <f>+Общо!AD10</f>
        <v>0</v>
      </c>
      <c r="AE10" s="342">
        <f>+Общо!AE10</f>
        <v>15</v>
      </c>
      <c r="AF10" s="342">
        <f>+Общо!AF10</f>
        <v>0</v>
      </c>
      <c r="AG10" s="343">
        <f>+Общо!AG10</f>
        <v>1400</v>
      </c>
      <c r="AH10" s="344">
        <f>+Общо!AH10</f>
        <v>1415</v>
      </c>
      <c r="AJ10" s="345">
        <f>+Общо!AJ10</f>
        <v>30796.227903999996</v>
      </c>
      <c r="AK10" s="346">
        <f>+Общо!AK10</f>
        <v>2485</v>
      </c>
      <c r="AL10" s="347">
        <f>+Общо!AL10</f>
        <v>28311.227903999996</v>
      </c>
      <c r="AM10" s="348">
        <f>+Общо!AM10</f>
        <v>0</v>
      </c>
      <c r="AN10" s="349">
        <f>+Общо!AN10</f>
        <v>28311.227903999996</v>
      </c>
      <c r="AO10" s="4"/>
      <c r="AP10" s="329">
        <f t="shared" si="1"/>
        <v>45389</v>
      </c>
      <c r="AQ10" s="353">
        <f>+Общо!AQ10</f>
        <v>58.84</v>
      </c>
      <c r="AR10" s="353">
        <f>+Общо!AR10</f>
        <v>40.226085631446544</v>
      </c>
      <c r="AS10" s="332">
        <f>+Общо!AS10</f>
        <v>52.562931249999998</v>
      </c>
      <c r="AT10" s="353">
        <v>62.410541499999994</v>
      </c>
      <c r="AV10" s="329">
        <f t="shared" si="2"/>
        <v>45389</v>
      </c>
      <c r="AW10" s="354">
        <f>+Общо!AW10</f>
        <v>40.226085631446544</v>
      </c>
      <c r="AX10" s="354">
        <f>+Общо!AX10</f>
        <v>60.549235864035694</v>
      </c>
      <c r="AY10" s="353">
        <v>-73.535300978565317</v>
      </c>
      <c r="BA10" s="329">
        <f t="shared" si="3"/>
        <v>45389</v>
      </c>
      <c r="BB10" s="355">
        <f>+Общо!BB10</f>
        <v>147998.64500000011</v>
      </c>
      <c r="BC10" s="353">
        <f>+Общо!BC10</f>
        <v>229.36627236379309</v>
      </c>
      <c r="BD10" s="359">
        <f>+Общо!BD10</f>
        <v>33945897.518542349</v>
      </c>
      <c r="BF10" s="329">
        <f t="shared" si="4"/>
        <v>45389</v>
      </c>
      <c r="BG10" s="357">
        <f>+Общо!BG10</f>
        <v>6825122.2699999996</v>
      </c>
      <c r="BH10" s="357">
        <f>+Общо!BH10</f>
        <v>1913745.64</v>
      </c>
      <c r="BI10" s="357">
        <f>+Общо!BI10</f>
        <v>1291527.2399999998</v>
      </c>
      <c r="BJ10" s="357">
        <f>+Общо!BJ10</f>
        <v>397936.4200000001</v>
      </c>
      <c r="BK10" s="357">
        <f>+Общо!BK10</f>
        <v>2433275.39</v>
      </c>
      <c r="BL10" s="357">
        <f>+Общо!BL10</f>
        <v>2389248.8800000004</v>
      </c>
      <c r="BM10" s="357">
        <f>+Общо!BM10</f>
        <v>79326</v>
      </c>
      <c r="BN10" s="357">
        <f>+Общо!BN10</f>
        <v>0</v>
      </c>
      <c r="BO10" s="358">
        <f>+Общо!BO10</f>
        <v>15330181.840000002</v>
      </c>
      <c r="BQ10" s="329">
        <f t="shared" si="5"/>
        <v>45389</v>
      </c>
      <c r="BR10" s="357">
        <f>+Общо!BR10</f>
        <v>0</v>
      </c>
      <c r="BS10" s="357">
        <f>+Общо!BS10</f>
        <v>0</v>
      </c>
      <c r="BT10" s="357">
        <f>+Общо!BT10</f>
        <v>0</v>
      </c>
      <c r="BU10" s="357">
        <f>+Общо!BU10</f>
        <v>0</v>
      </c>
      <c r="BV10" s="357">
        <f>+Общо!BV10</f>
        <v>13717329.190000001</v>
      </c>
      <c r="BW10" s="357">
        <f>+Общо!BW10</f>
        <v>15249723.549999999</v>
      </c>
      <c r="BX10" s="357">
        <f>+Общо!BX10</f>
        <v>0</v>
      </c>
      <c r="BY10" s="357">
        <f>+Общо!BY10</f>
        <v>3567553.1529600001</v>
      </c>
      <c r="BZ10" s="358">
        <f>+Общо!BZ10</f>
        <v>32534605.892960001</v>
      </c>
      <c r="CB10" s="329">
        <f t="shared" si="6"/>
        <v>45389</v>
      </c>
      <c r="CC10" s="357">
        <f>+Общо!CC10</f>
        <v>6825122.2699999996</v>
      </c>
      <c r="CD10" s="357">
        <f>+Общо!CD10</f>
        <v>1913745.64</v>
      </c>
      <c r="CE10" s="357">
        <f>+Общо!CE10</f>
        <v>1291527.2399999998</v>
      </c>
      <c r="CF10" s="357">
        <f>+Общо!CF10</f>
        <v>397936.4200000001</v>
      </c>
      <c r="CG10" s="357">
        <f>+Общо!CG10</f>
        <v>16150604.580000002</v>
      </c>
      <c r="CH10" s="357">
        <f>+Общо!CH10</f>
        <v>17638972.43</v>
      </c>
      <c r="CI10" s="357">
        <f>+Общо!CI10</f>
        <v>79326</v>
      </c>
      <c r="CJ10" s="357">
        <f>+Общо!CJ10</f>
        <v>3567553.1529600001</v>
      </c>
      <c r="CK10" s="358">
        <f>+Общо!CK10</f>
        <v>47864787.732960001</v>
      </c>
    </row>
    <row r="11" spans="2:89" x14ac:dyDescent="0.25">
      <c r="B11" s="47">
        <f t="shared" si="0"/>
        <v>45390</v>
      </c>
      <c r="C11" s="333">
        <f>+Общо!C11</f>
        <v>1091.9280000000001</v>
      </c>
      <c r="D11" s="334">
        <f>+Общо!D11</f>
        <v>3.4710000000000036</v>
      </c>
      <c r="E11" s="334">
        <f>+Общо!E11</f>
        <v>0</v>
      </c>
      <c r="F11" s="334">
        <f>+Общо!F11</f>
        <v>0</v>
      </c>
      <c r="G11" s="335">
        <f>+Общо!G11</f>
        <v>171.30199999999999</v>
      </c>
      <c r="H11" s="335">
        <f>+Общо!H11</f>
        <v>2.85</v>
      </c>
      <c r="I11" s="335">
        <f>+Общо!I11</f>
        <v>0</v>
      </c>
      <c r="J11" s="335">
        <f>+Общо!J11</f>
        <v>23.933</v>
      </c>
      <c r="K11" s="335">
        <f>+Общо!K11</f>
        <v>29.805</v>
      </c>
      <c r="L11" s="335">
        <f>+Общо!L11</f>
        <v>54.995000000000005</v>
      </c>
      <c r="M11" s="335">
        <f>+Общо!M11</f>
        <v>0</v>
      </c>
      <c r="N11" s="335">
        <f>+Общо!N11</f>
        <v>1.964</v>
      </c>
      <c r="O11" s="335">
        <f>+Общо!O11</f>
        <v>2.5190000000000001</v>
      </c>
      <c r="P11" s="335">
        <f>+Общо!P11</f>
        <v>0</v>
      </c>
      <c r="Q11" s="335">
        <f>+Общо!Q11</f>
        <v>0</v>
      </c>
      <c r="R11" s="335">
        <f>+Общо!R11</f>
        <v>11.102</v>
      </c>
      <c r="S11" s="335">
        <f>+Общо!S11</f>
        <v>0</v>
      </c>
      <c r="T11" s="335">
        <f>+Общо!T11</f>
        <v>2.0179999999999998</v>
      </c>
      <c r="U11" s="335">
        <f>+Общо!U11</f>
        <v>0</v>
      </c>
      <c r="V11" s="335">
        <f>+Общо!V11</f>
        <v>0</v>
      </c>
      <c r="W11" s="335">
        <f>+Общо!W11</f>
        <v>0</v>
      </c>
      <c r="X11" s="335">
        <f>+Общо!X11</f>
        <v>0</v>
      </c>
      <c r="Y11" s="336">
        <f>+Общо!Y11</f>
        <v>0</v>
      </c>
      <c r="Z11" s="337">
        <f>+Общо!Z11</f>
        <v>0</v>
      </c>
      <c r="AA11" s="333">
        <f>+Общо!AA11</f>
        <v>0</v>
      </c>
      <c r="AB11" s="336">
        <f>+Общо!AB11</f>
        <v>-80.887000000000171</v>
      </c>
      <c r="AD11" s="342">
        <f>+Общо!AD11</f>
        <v>0</v>
      </c>
      <c r="AE11" s="342">
        <f>+Общо!AE11</f>
        <v>15</v>
      </c>
      <c r="AF11" s="342">
        <f>+Общо!AF11</f>
        <v>0</v>
      </c>
      <c r="AG11" s="343">
        <f>+Общо!AG11</f>
        <v>1300</v>
      </c>
      <c r="AH11" s="344">
        <f>+Общо!AH11</f>
        <v>1315</v>
      </c>
      <c r="AJ11" s="345">
        <f>+Общо!AJ11</f>
        <v>27521.184174000024</v>
      </c>
      <c r="AK11" s="346">
        <f>+Общо!AK11</f>
        <v>2485</v>
      </c>
      <c r="AL11" s="347">
        <f>+Общо!AL11</f>
        <v>25036.184174000024</v>
      </c>
      <c r="AM11" s="348">
        <f>+Общо!AM11</f>
        <v>0</v>
      </c>
      <c r="AN11" s="349">
        <f>+Общо!AN11</f>
        <v>25036.184174000024</v>
      </c>
      <c r="AP11" s="329">
        <f t="shared" si="1"/>
        <v>45390</v>
      </c>
      <c r="AQ11" s="353">
        <f>+Общо!AQ11</f>
        <v>58.84</v>
      </c>
      <c r="AR11" s="353">
        <f>+Общо!AR11</f>
        <v>41.490930139760593</v>
      </c>
      <c r="AS11" s="332">
        <f>+Общо!AS11</f>
        <v>52.562931249999998</v>
      </c>
      <c r="AT11" s="353">
        <v>15.819640548977276</v>
      </c>
      <c r="AV11" s="329">
        <f t="shared" si="2"/>
        <v>45390</v>
      </c>
      <c r="AW11" s="354">
        <f>+Общо!AW11</f>
        <v>41.490930139760593</v>
      </c>
      <c r="AX11" s="354">
        <f>+Общо!AX11</f>
        <v>60.650637024820448</v>
      </c>
      <c r="AY11" s="353">
        <v>5.2364157809575147</v>
      </c>
      <c r="BA11" s="329">
        <f t="shared" si="3"/>
        <v>45390</v>
      </c>
      <c r="BB11" s="355">
        <f>+Общо!BB11</f>
        <v>147998.64500000011</v>
      </c>
      <c r="BC11" s="353">
        <f>+Общо!BC11</f>
        <v>229.36627236379309</v>
      </c>
      <c r="BD11" s="359">
        <f>+Общо!BD11</f>
        <v>33945897.518542349</v>
      </c>
      <c r="BF11" s="329">
        <f t="shared" si="4"/>
        <v>45390</v>
      </c>
      <c r="BG11" s="357">
        <f>+Общо!BG11</f>
        <v>5378456.4199999999</v>
      </c>
      <c r="BH11" s="357">
        <f>+Общо!BH11</f>
        <v>1913745.64</v>
      </c>
      <c r="BI11" s="357">
        <f>+Общо!BI11</f>
        <v>1291527.2399999998</v>
      </c>
      <c r="BJ11" s="357">
        <f>+Общо!BJ11</f>
        <v>397936.4200000001</v>
      </c>
      <c r="BK11" s="357">
        <f>+Общо!BK11</f>
        <v>2433275.39</v>
      </c>
      <c r="BL11" s="357">
        <f>+Общо!BL11</f>
        <v>2389248.8800000004</v>
      </c>
      <c r="BM11" s="357">
        <f>+Общо!BM11</f>
        <v>80621.75</v>
      </c>
      <c r="BN11" s="357">
        <f>+Общо!BN11</f>
        <v>0</v>
      </c>
      <c r="BO11" s="358">
        <f>+Общо!BO11</f>
        <v>13884811.74</v>
      </c>
      <c r="BQ11" s="329">
        <f t="shared" si="5"/>
        <v>45390</v>
      </c>
      <c r="BR11" s="357">
        <f>+Общо!BR11</f>
        <v>6786248.2699999996</v>
      </c>
      <c r="BS11" s="357">
        <f>+Общо!BS11</f>
        <v>0</v>
      </c>
      <c r="BT11" s="357">
        <f>+Общо!BT11</f>
        <v>0</v>
      </c>
      <c r="BU11" s="357">
        <f>+Общо!BU11</f>
        <v>0</v>
      </c>
      <c r="BV11" s="357">
        <f>+Общо!BV11</f>
        <v>13717329.190000001</v>
      </c>
      <c r="BW11" s="357">
        <f>+Общо!BW11</f>
        <v>15249723.549999999</v>
      </c>
      <c r="BX11" s="357">
        <f>+Общо!BX11</f>
        <v>0</v>
      </c>
      <c r="BY11" s="357">
        <f>+Общо!BY11</f>
        <v>3567553.1529600001</v>
      </c>
      <c r="BZ11" s="358">
        <f>+Общо!BZ11</f>
        <v>39320854.16296</v>
      </c>
      <c r="CB11" s="329">
        <f t="shared" si="6"/>
        <v>45390</v>
      </c>
      <c r="CC11" s="357">
        <f>+Общо!CC11</f>
        <v>12164704.689999999</v>
      </c>
      <c r="CD11" s="357">
        <f>+Общо!CD11</f>
        <v>1913745.64</v>
      </c>
      <c r="CE11" s="357">
        <f>+Общо!CE11</f>
        <v>1291527.2399999998</v>
      </c>
      <c r="CF11" s="357">
        <f>+Общо!CF11</f>
        <v>397936.4200000001</v>
      </c>
      <c r="CG11" s="357">
        <f>+Общо!CG11</f>
        <v>16150604.580000002</v>
      </c>
      <c r="CH11" s="357">
        <f>+Общо!CH11</f>
        <v>17638972.43</v>
      </c>
      <c r="CI11" s="357">
        <f>+Общо!CI11</f>
        <v>80621.75</v>
      </c>
      <c r="CJ11" s="357">
        <f>+Общо!CJ11</f>
        <v>3567553.1529600001</v>
      </c>
      <c r="CK11" s="358">
        <f>+Общо!CK11</f>
        <v>53205665.902960002</v>
      </c>
    </row>
    <row r="12" spans="2:89" x14ac:dyDescent="0.25">
      <c r="B12" s="47">
        <f t="shared" si="0"/>
        <v>45391</v>
      </c>
      <c r="C12" s="333">
        <f>+Общо!C12</f>
        <v>1084.5840000000001</v>
      </c>
      <c r="D12" s="334">
        <f>+Общо!D12</f>
        <v>0</v>
      </c>
      <c r="E12" s="334">
        <f>+Общо!E12</f>
        <v>0</v>
      </c>
      <c r="F12" s="334">
        <f>+Общо!F12</f>
        <v>0</v>
      </c>
      <c r="G12" s="335">
        <f>+Общо!G12</f>
        <v>169.167</v>
      </c>
      <c r="H12" s="335">
        <f>+Общо!H12</f>
        <v>2.7650000000000001</v>
      </c>
      <c r="I12" s="335">
        <f>+Общо!I12</f>
        <v>0</v>
      </c>
      <c r="J12" s="335">
        <f>+Общо!J12</f>
        <v>21.103999999999999</v>
      </c>
      <c r="K12" s="335">
        <f>+Общо!K12</f>
        <v>25.898</v>
      </c>
      <c r="L12" s="335">
        <f>+Общо!L12</f>
        <v>62.073000000000008</v>
      </c>
      <c r="M12" s="335">
        <f>+Общо!M12</f>
        <v>0</v>
      </c>
      <c r="N12" s="335">
        <f>+Общо!N12</f>
        <v>1.3660000000000001</v>
      </c>
      <c r="O12" s="335">
        <f>+Общо!O12</f>
        <v>0.98199999999999998</v>
      </c>
      <c r="P12" s="335">
        <f>+Общо!P12</f>
        <v>0</v>
      </c>
      <c r="Q12" s="335">
        <f>+Общо!Q12</f>
        <v>0</v>
      </c>
      <c r="R12" s="335">
        <f>+Общо!R12</f>
        <v>10.579000000000001</v>
      </c>
      <c r="S12" s="335">
        <f>+Общо!S12</f>
        <v>0</v>
      </c>
      <c r="T12" s="335">
        <f>+Общо!T12</f>
        <v>2.69</v>
      </c>
      <c r="U12" s="335">
        <f>+Общо!U12</f>
        <v>0</v>
      </c>
      <c r="V12" s="335">
        <f>+Общо!V12</f>
        <v>0</v>
      </c>
      <c r="W12" s="335">
        <f>+Общо!W12</f>
        <v>0</v>
      </c>
      <c r="X12" s="335">
        <f>+Общо!X12</f>
        <v>0</v>
      </c>
      <c r="Y12" s="336">
        <f>+Общо!Y12</f>
        <v>20.22199999999998</v>
      </c>
      <c r="Z12" s="337">
        <f>+Общо!Z12</f>
        <v>0</v>
      </c>
      <c r="AA12" s="333">
        <f>+Общо!AA12</f>
        <v>0</v>
      </c>
      <c r="AB12" s="336">
        <f>+Общо!AB12</f>
        <v>-6.4300000000000637</v>
      </c>
      <c r="AD12" s="342">
        <f>+Общо!AD12</f>
        <v>0</v>
      </c>
      <c r="AE12" s="342">
        <f>+Общо!AE12</f>
        <v>15</v>
      </c>
      <c r="AF12" s="342">
        <f>+Общо!AF12</f>
        <v>0</v>
      </c>
      <c r="AG12" s="343">
        <f>+Общо!AG12</f>
        <v>1380</v>
      </c>
      <c r="AH12" s="344">
        <f>+Общо!AH12</f>
        <v>1395</v>
      </c>
      <c r="AJ12" s="345">
        <f>+Общо!AJ12</f>
        <v>26767.092679000016</v>
      </c>
      <c r="AK12" s="346">
        <f>+Общо!AK12</f>
        <v>2485</v>
      </c>
      <c r="AL12" s="347">
        <f>+Общо!AL12</f>
        <v>24282.092679000016</v>
      </c>
      <c r="AM12" s="348">
        <f>+Общо!AM12</f>
        <v>0</v>
      </c>
      <c r="AN12" s="349">
        <f>+Общо!AN12</f>
        <v>24282.092679000016</v>
      </c>
      <c r="AP12" s="329">
        <f t="shared" si="1"/>
        <v>45391</v>
      </c>
      <c r="AQ12" s="353">
        <f>+Общо!AQ12</f>
        <v>58.84</v>
      </c>
      <c r="AR12" s="353">
        <f>+Общо!AR12</f>
        <v>42.161064055999937</v>
      </c>
      <c r="AS12" s="332">
        <f>+Общо!AS12</f>
        <v>54.518761249999997</v>
      </c>
      <c r="AT12" s="353">
        <v>63.950856859528159</v>
      </c>
      <c r="AV12" s="329">
        <f t="shared" si="2"/>
        <v>45391</v>
      </c>
      <c r="AW12" s="354">
        <f>+Общо!AW12</f>
        <v>42.161064055999937</v>
      </c>
      <c r="AX12" s="354">
        <f>+Общо!AX12</f>
        <v>60.662196639932375</v>
      </c>
      <c r="AY12" s="353">
        <v>18.383978129374157</v>
      </c>
      <c r="BA12" s="329">
        <f t="shared" si="3"/>
        <v>45391</v>
      </c>
      <c r="BB12" s="355">
        <f>+Общо!BB12</f>
        <v>147998.64500000011</v>
      </c>
      <c r="BC12" s="353">
        <f>+Общо!BC12</f>
        <v>229.36627236379309</v>
      </c>
      <c r="BD12" s="359">
        <f>+Общо!BD12</f>
        <v>33945897.518542349</v>
      </c>
      <c r="BF12" s="329">
        <f t="shared" si="4"/>
        <v>45391</v>
      </c>
      <c r="BG12" s="357">
        <f>+Общо!BG12</f>
        <v>5378456.4199999999</v>
      </c>
      <c r="BH12" s="357">
        <f>+Общо!BH12</f>
        <v>1913745.64</v>
      </c>
      <c r="BI12" s="357">
        <f>+Общо!BI12</f>
        <v>1073722.6599999999</v>
      </c>
      <c r="BJ12" s="357">
        <f>+Общо!BJ12</f>
        <v>397936.4200000001</v>
      </c>
      <c r="BK12" s="357">
        <f>+Общо!BK12</f>
        <v>2433275.39</v>
      </c>
      <c r="BL12" s="357">
        <f>+Общо!BL12</f>
        <v>2389248.8800000004</v>
      </c>
      <c r="BM12" s="357">
        <f>+Общо!BM12</f>
        <v>359024.79</v>
      </c>
      <c r="BN12" s="357">
        <f>+Общо!BN12</f>
        <v>0</v>
      </c>
      <c r="BO12" s="358">
        <f>+Общо!BO12</f>
        <v>13945410.200000001</v>
      </c>
      <c r="BQ12" s="329">
        <f t="shared" si="5"/>
        <v>45391</v>
      </c>
      <c r="BR12" s="357">
        <f>+Общо!BR12</f>
        <v>5705824.5700000003</v>
      </c>
      <c r="BS12" s="357">
        <f>+Общо!BS12</f>
        <v>0</v>
      </c>
      <c r="BT12" s="357">
        <f>+Общо!BT12</f>
        <v>0</v>
      </c>
      <c r="BU12" s="357">
        <f>+Общо!BU12</f>
        <v>0</v>
      </c>
      <c r="BV12" s="357">
        <f>+Общо!BV12</f>
        <v>13480795.16</v>
      </c>
      <c r="BW12" s="357">
        <f>+Общо!BW12</f>
        <v>15249723.549999999</v>
      </c>
      <c r="BX12" s="357">
        <f>+Общо!BX12</f>
        <v>0</v>
      </c>
      <c r="BY12" s="357">
        <f>+Общо!BY12</f>
        <v>3567553.1529600001</v>
      </c>
      <c r="BZ12" s="358">
        <f>+Общо!BZ12</f>
        <v>38003896.432960004</v>
      </c>
      <c r="CB12" s="329">
        <f t="shared" si="6"/>
        <v>45391</v>
      </c>
      <c r="CC12" s="357">
        <f>+Общо!CC12</f>
        <v>11084280.99</v>
      </c>
      <c r="CD12" s="357">
        <f>+Общо!CD12</f>
        <v>1913745.64</v>
      </c>
      <c r="CE12" s="357">
        <f>+Общо!CE12</f>
        <v>1073722.6599999999</v>
      </c>
      <c r="CF12" s="357">
        <f>+Общо!CF12</f>
        <v>397936.4200000001</v>
      </c>
      <c r="CG12" s="357">
        <f>+Общо!CG12</f>
        <v>15914070.550000001</v>
      </c>
      <c r="CH12" s="357">
        <f>+Общо!CH12</f>
        <v>17638972.43</v>
      </c>
      <c r="CI12" s="357">
        <f>+Общо!CI12</f>
        <v>359024.79</v>
      </c>
      <c r="CJ12" s="357">
        <f>+Общо!CJ12</f>
        <v>3567553.1529600001</v>
      </c>
      <c r="CK12" s="358">
        <f>+Общо!CK12</f>
        <v>51949306.632959999</v>
      </c>
    </row>
    <row r="13" spans="2:89" x14ac:dyDescent="0.25">
      <c r="B13" s="47">
        <f t="shared" si="0"/>
        <v>45392</v>
      </c>
      <c r="C13" s="333">
        <f>+Общо!C13</f>
        <v>1090.028</v>
      </c>
      <c r="D13" s="334">
        <f>+Общо!D13</f>
        <v>0</v>
      </c>
      <c r="E13" s="334">
        <f>+Общо!E13</f>
        <v>0</v>
      </c>
      <c r="F13" s="334">
        <f>+Общо!F13</f>
        <v>0</v>
      </c>
      <c r="G13" s="335">
        <f>+Общо!G13</f>
        <v>170.69300000000001</v>
      </c>
      <c r="H13" s="335">
        <f>+Общо!H13</f>
        <v>2.7010000000000001</v>
      </c>
      <c r="I13" s="335">
        <f>+Общо!I13</f>
        <v>0</v>
      </c>
      <c r="J13" s="335">
        <f>+Общо!J13</f>
        <v>22.012</v>
      </c>
      <c r="K13" s="335">
        <f>+Общо!K13</f>
        <v>30.37</v>
      </c>
      <c r="L13" s="335">
        <f>+Общо!L13</f>
        <v>59.703000000000003</v>
      </c>
      <c r="M13" s="335">
        <f>+Общо!M13</f>
        <v>0</v>
      </c>
      <c r="N13" s="335">
        <f>+Общо!N13</f>
        <v>0.39500000000000002</v>
      </c>
      <c r="O13" s="335">
        <f>+Общо!O13</f>
        <v>0.93899999999999995</v>
      </c>
      <c r="P13" s="335">
        <f>+Общо!P13</f>
        <v>0</v>
      </c>
      <c r="Q13" s="335">
        <f>+Общо!Q13</f>
        <v>0</v>
      </c>
      <c r="R13" s="335">
        <f>+Общо!R13</f>
        <v>10.023999999999999</v>
      </c>
      <c r="S13" s="335">
        <f>+Общо!S13</f>
        <v>0</v>
      </c>
      <c r="T13" s="335">
        <f>+Общо!T13</f>
        <v>4.9210000000000003</v>
      </c>
      <c r="U13" s="335">
        <f>+Общо!U13</f>
        <v>0</v>
      </c>
      <c r="V13" s="335">
        <f>+Общо!V13</f>
        <v>0</v>
      </c>
      <c r="W13" s="335">
        <f>+Общо!W13</f>
        <v>0</v>
      </c>
      <c r="X13" s="335">
        <f>+Общо!X13</f>
        <v>0</v>
      </c>
      <c r="Y13" s="336">
        <f>+Общо!Y13</f>
        <v>0.71800000000007458</v>
      </c>
      <c r="Z13" s="337">
        <f>+Общо!Z13</f>
        <v>0</v>
      </c>
      <c r="AA13" s="333">
        <f>+Общо!AA13</f>
        <v>0</v>
      </c>
      <c r="AB13" s="336">
        <f>+Общо!AB13</f>
        <v>-77.504000000000133</v>
      </c>
      <c r="AD13" s="342">
        <f>+Общо!AD13</f>
        <v>0</v>
      </c>
      <c r="AE13" s="342">
        <f>+Общо!AE13</f>
        <v>15</v>
      </c>
      <c r="AF13" s="342">
        <f>+Общо!AF13</f>
        <v>0</v>
      </c>
      <c r="AG13" s="343">
        <f>+Общо!AG13</f>
        <v>1300</v>
      </c>
      <c r="AH13" s="344">
        <f>+Общо!AH13</f>
        <v>1315</v>
      </c>
      <c r="AJ13" s="345">
        <f>+Общо!AJ13</f>
        <v>26016.387723000014</v>
      </c>
      <c r="AK13" s="346">
        <f>+Общо!AK13</f>
        <v>2485</v>
      </c>
      <c r="AL13" s="347">
        <f>+Общо!AL13</f>
        <v>23531.387723000014</v>
      </c>
      <c r="AM13" s="348">
        <f>+Общо!AM13</f>
        <v>0</v>
      </c>
      <c r="AN13" s="349">
        <f>+Общо!AN13</f>
        <v>23531.387723000014</v>
      </c>
      <c r="AP13" s="329">
        <f t="shared" si="1"/>
        <v>45392</v>
      </c>
      <c r="AQ13" s="353">
        <f>+Общо!AQ13</f>
        <v>58.84</v>
      </c>
      <c r="AR13" s="353">
        <f>+Общо!AR13</f>
        <v>42.485572752394248</v>
      </c>
      <c r="AS13" s="332">
        <f>+Общо!AS13</f>
        <v>54.078699499999999</v>
      </c>
      <c r="AT13" s="353">
        <v>56.552703228758872</v>
      </c>
      <c r="AV13" s="329">
        <f t="shared" si="2"/>
        <v>45392</v>
      </c>
      <c r="AW13" s="354">
        <f>+Общо!AW13</f>
        <v>42.485572752394248</v>
      </c>
      <c r="AX13" s="354">
        <f>+Общо!AX13</f>
        <v>60.547128247692363</v>
      </c>
      <c r="AY13" s="353">
        <v>13.919558442352184</v>
      </c>
      <c r="BA13" s="329">
        <f t="shared" si="3"/>
        <v>45392</v>
      </c>
      <c r="BB13" s="355">
        <f>+Общо!BB13</f>
        <v>147998.64500000011</v>
      </c>
      <c r="BC13" s="353">
        <f>+Общо!BC13</f>
        <v>229.36627236379309</v>
      </c>
      <c r="BD13" s="359">
        <f>+Общо!BD13</f>
        <v>33945897.518542349</v>
      </c>
      <c r="BF13" s="329">
        <f t="shared" si="4"/>
        <v>45392</v>
      </c>
      <c r="BG13" s="357">
        <f>+Общо!BG13</f>
        <v>5378456.4199999999</v>
      </c>
      <c r="BH13" s="357">
        <f>+Общо!BH13</f>
        <v>1592109.0899999999</v>
      </c>
      <c r="BI13" s="357">
        <f>+Общо!BI13</f>
        <v>1073722.6599999999</v>
      </c>
      <c r="BJ13" s="357">
        <f>+Общо!BJ13</f>
        <v>397936.4200000001</v>
      </c>
      <c r="BK13" s="357">
        <f>+Общо!BK13</f>
        <v>2433275.39</v>
      </c>
      <c r="BL13" s="357">
        <f>+Общо!BL13</f>
        <v>2389248.8800000004</v>
      </c>
      <c r="BM13" s="357">
        <f>+Общо!BM13</f>
        <v>281996.39</v>
      </c>
      <c r="BN13" s="357">
        <f>+Общо!BN13</f>
        <v>0</v>
      </c>
      <c r="BO13" s="358">
        <f>+Общо!BO13</f>
        <v>13546745.250000002</v>
      </c>
      <c r="BQ13" s="329">
        <f t="shared" si="5"/>
        <v>45392</v>
      </c>
      <c r="BR13" s="357">
        <f>+Общо!BR13</f>
        <v>5705824.5700000003</v>
      </c>
      <c r="BS13" s="357">
        <f>+Общо!BS13</f>
        <v>0</v>
      </c>
      <c r="BT13" s="357">
        <f>+Общо!BT13</f>
        <v>0</v>
      </c>
      <c r="BU13" s="357">
        <f>+Общо!BU13</f>
        <v>0</v>
      </c>
      <c r="BV13" s="357">
        <f>+Общо!BV13</f>
        <v>13622612.260000002</v>
      </c>
      <c r="BW13" s="357">
        <f>+Общо!BW13</f>
        <v>15200428.019999998</v>
      </c>
      <c r="BX13" s="357">
        <f>+Общо!BX13</f>
        <v>0</v>
      </c>
      <c r="BY13" s="357">
        <f>+Общо!BY13</f>
        <v>3567553.1529600001</v>
      </c>
      <c r="BZ13" s="358">
        <f>+Общо!BZ13</f>
        <v>38096418.002960004</v>
      </c>
      <c r="CB13" s="329">
        <f t="shared" si="6"/>
        <v>45392</v>
      </c>
      <c r="CC13" s="357">
        <f>+Общо!CC13</f>
        <v>11084280.99</v>
      </c>
      <c r="CD13" s="357">
        <f>+Общо!CD13</f>
        <v>1592109.0899999999</v>
      </c>
      <c r="CE13" s="357">
        <f>+Общо!CE13</f>
        <v>1073722.6599999999</v>
      </c>
      <c r="CF13" s="357">
        <f>+Общо!CF13</f>
        <v>397936.4200000001</v>
      </c>
      <c r="CG13" s="357">
        <f>+Общо!CG13</f>
        <v>16055887.650000002</v>
      </c>
      <c r="CH13" s="357">
        <f>+Общо!CH13</f>
        <v>17589676.899999999</v>
      </c>
      <c r="CI13" s="357">
        <f>+Общо!CI13</f>
        <v>281996.39</v>
      </c>
      <c r="CJ13" s="357">
        <f>+Общо!CJ13</f>
        <v>3567553.1529600001</v>
      </c>
      <c r="CK13" s="358">
        <f>+Общо!CK13</f>
        <v>51643163.252960004</v>
      </c>
    </row>
    <row r="14" spans="2:89" x14ac:dyDescent="0.25">
      <c r="B14" s="47">
        <f t="shared" si="0"/>
        <v>45393</v>
      </c>
      <c r="C14" s="333">
        <f>+Общо!C14</f>
        <v>1087.07</v>
      </c>
      <c r="D14" s="334">
        <f>+Общо!D14</f>
        <v>0</v>
      </c>
      <c r="E14" s="334">
        <f>+Общо!E14</f>
        <v>0</v>
      </c>
      <c r="F14" s="334">
        <f>+Общо!F14</f>
        <v>0</v>
      </c>
      <c r="G14" s="335">
        <f>+Общо!G14</f>
        <v>168.87899999999999</v>
      </c>
      <c r="H14" s="335">
        <f>+Общо!H14</f>
        <v>2.8079999999999998</v>
      </c>
      <c r="I14" s="335">
        <f>+Общо!I14</f>
        <v>0</v>
      </c>
      <c r="J14" s="335">
        <f>+Общо!J14</f>
        <v>21.318000000000001</v>
      </c>
      <c r="K14" s="335">
        <f>+Общо!K14</f>
        <v>29.559000000000001</v>
      </c>
      <c r="L14" s="335">
        <f>+Общо!L14</f>
        <v>58.207999999999998</v>
      </c>
      <c r="M14" s="335">
        <f>+Общо!M14</f>
        <v>0</v>
      </c>
      <c r="N14" s="335">
        <f>+Общо!N14</f>
        <v>1.7609999999999999</v>
      </c>
      <c r="O14" s="335">
        <f>+Общо!O14</f>
        <v>0.70499999999999996</v>
      </c>
      <c r="P14" s="335">
        <f>+Общо!P14</f>
        <v>0</v>
      </c>
      <c r="Q14" s="335">
        <f>+Общо!Q14</f>
        <v>0</v>
      </c>
      <c r="R14" s="335">
        <f>+Общо!R14</f>
        <v>9.9920000000000009</v>
      </c>
      <c r="S14" s="335">
        <f>+Общо!S14</f>
        <v>0</v>
      </c>
      <c r="T14" s="335">
        <f>+Общо!T14</f>
        <v>8.07</v>
      </c>
      <c r="U14" s="335">
        <f>+Общо!U14</f>
        <v>0</v>
      </c>
      <c r="V14" s="335">
        <f>+Общо!V14</f>
        <v>0</v>
      </c>
      <c r="W14" s="335">
        <f>+Общо!W14</f>
        <v>0</v>
      </c>
      <c r="X14" s="335">
        <f>+Общо!X14</f>
        <v>0</v>
      </c>
      <c r="Y14" s="336">
        <f>+Общо!Y14</f>
        <v>5.3299999999999272</v>
      </c>
      <c r="Z14" s="337">
        <f>+Общо!Z14</f>
        <v>0</v>
      </c>
      <c r="AA14" s="333">
        <f>+Общо!AA14</f>
        <v>0</v>
      </c>
      <c r="AB14" s="336">
        <f>+Общо!AB14</f>
        <v>-28.699999999999818</v>
      </c>
      <c r="AD14" s="342">
        <f>+Общо!AD14</f>
        <v>0</v>
      </c>
      <c r="AE14" s="342">
        <f>+Общо!AE14</f>
        <v>15</v>
      </c>
      <c r="AF14" s="342">
        <f>+Общо!AF14</f>
        <v>0</v>
      </c>
      <c r="AG14" s="343">
        <f>+Общо!AG14</f>
        <v>1350</v>
      </c>
      <c r="AH14" s="344">
        <f>+Общо!AH14</f>
        <v>1365</v>
      </c>
      <c r="AJ14" s="345">
        <f>+Общо!AJ14</f>
        <v>24836.9240255</v>
      </c>
      <c r="AK14" s="346">
        <f>+Общо!AK14</f>
        <v>2485</v>
      </c>
      <c r="AL14" s="347">
        <f>+Общо!AL14</f>
        <v>22351.9240255</v>
      </c>
      <c r="AM14" s="348">
        <f>+Общо!AM14</f>
        <v>0</v>
      </c>
      <c r="AN14" s="349">
        <f>+Общо!AN14</f>
        <v>22351.9240255</v>
      </c>
      <c r="AP14" s="329">
        <f t="shared" si="1"/>
        <v>45393</v>
      </c>
      <c r="AQ14" s="353">
        <f>+Общо!AQ14</f>
        <v>58.84</v>
      </c>
      <c r="AR14" s="353">
        <f>+Общо!AR14</f>
        <v>43.323670804333794</v>
      </c>
      <c r="AS14" s="332">
        <f>+Общо!AS14</f>
        <v>54.029803749999999</v>
      </c>
      <c r="AT14" s="353">
        <v>18.389386598987613</v>
      </c>
      <c r="AV14" s="329">
        <f t="shared" si="2"/>
        <v>45393</v>
      </c>
      <c r="AW14" s="354">
        <f>+Общо!AW14</f>
        <v>43.323670804333794</v>
      </c>
      <c r="AX14" s="354">
        <f>+Общо!AX14</f>
        <v>60.51717930789416</v>
      </c>
      <c r="AY14" s="353">
        <v>49.420107739593647</v>
      </c>
      <c r="BA14" s="329">
        <f t="shared" si="3"/>
        <v>45393</v>
      </c>
      <c r="BB14" s="355">
        <f>+Общо!BB14</f>
        <v>147998.64500000011</v>
      </c>
      <c r="BC14" s="353">
        <f>+Общо!BC14</f>
        <v>229.36627236379309</v>
      </c>
      <c r="BD14" s="359">
        <f>+Общо!BD14</f>
        <v>33945897.518542349</v>
      </c>
      <c r="BF14" s="329">
        <f t="shared" si="4"/>
        <v>45393</v>
      </c>
      <c r="BG14" s="357">
        <f>+Общо!BG14</f>
        <v>5378456.4199999999</v>
      </c>
      <c r="BH14" s="357">
        <f>+Общо!BH14</f>
        <v>1592109.0899999999</v>
      </c>
      <c r="BI14" s="357">
        <f>+Общо!BI14</f>
        <v>1073722.6599999999</v>
      </c>
      <c r="BJ14" s="357">
        <f>+Общо!BJ14</f>
        <v>397936.4200000001</v>
      </c>
      <c r="BK14" s="357">
        <f>+Общо!BK14</f>
        <v>2433275.39</v>
      </c>
      <c r="BL14" s="357">
        <f>+Общо!BL14</f>
        <v>2389248.8800000004</v>
      </c>
      <c r="BM14" s="357">
        <f>+Общо!BM14</f>
        <v>281996.39</v>
      </c>
      <c r="BN14" s="357">
        <f>+Общо!BN14</f>
        <v>0</v>
      </c>
      <c r="BO14" s="358">
        <f>+Общо!BO14</f>
        <v>13546745.250000002</v>
      </c>
      <c r="BQ14" s="329">
        <f t="shared" si="5"/>
        <v>45393</v>
      </c>
      <c r="BR14" s="357">
        <f>+Общо!BR14</f>
        <v>5705824.5700000003</v>
      </c>
      <c r="BS14" s="357">
        <f>+Общо!BS14</f>
        <v>0</v>
      </c>
      <c r="BT14" s="357">
        <f>+Общо!BT14</f>
        <v>0</v>
      </c>
      <c r="BU14" s="357">
        <f>+Общо!BU14</f>
        <v>0</v>
      </c>
      <c r="BV14" s="357">
        <f>+Общо!BV14</f>
        <v>13622612.260000002</v>
      </c>
      <c r="BW14" s="357">
        <f>+Общо!BW14</f>
        <v>15200428.019999998</v>
      </c>
      <c r="BX14" s="357">
        <f>+Общо!BX14</f>
        <v>0</v>
      </c>
      <c r="BY14" s="357">
        <f>+Общо!BY14</f>
        <v>3567553.1529600001</v>
      </c>
      <c r="BZ14" s="358">
        <f>+Общо!BZ14</f>
        <v>38096418.002960004</v>
      </c>
      <c r="CB14" s="329">
        <f t="shared" si="6"/>
        <v>45393</v>
      </c>
      <c r="CC14" s="357">
        <f>+Общо!CC14</f>
        <v>11084280.99</v>
      </c>
      <c r="CD14" s="357">
        <f>+Общо!CD14</f>
        <v>1592109.0899999999</v>
      </c>
      <c r="CE14" s="357">
        <f>+Общо!CE14</f>
        <v>1073722.6599999999</v>
      </c>
      <c r="CF14" s="357">
        <f>+Общо!CF14</f>
        <v>397936.4200000001</v>
      </c>
      <c r="CG14" s="357">
        <f>+Общо!CG14</f>
        <v>16055887.650000002</v>
      </c>
      <c r="CH14" s="357">
        <f>+Общо!CH14</f>
        <v>17589676.899999999</v>
      </c>
      <c r="CI14" s="357">
        <f>+Общо!CI14</f>
        <v>281996.39</v>
      </c>
      <c r="CJ14" s="357">
        <f>+Общо!CJ14</f>
        <v>3567553.1529600001</v>
      </c>
      <c r="CK14" s="358">
        <f>+Общо!CK14</f>
        <v>51643163.252960004</v>
      </c>
    </row>
    <row r="15" spans="2:89" x14ac:dyDescent="0.25">
      <c r="B15" s="47">
        <f t="shared" si="0"/>
        <v>45394</v>
      </c>
      <c r="C15" s="333">
        <f>+Общо!C15</f>
        <v>706.73099999999977</v>
      </c>
      <c r="D15" s="334">
        <f>+Общо!D15</f>
        <v>0</v>
      </c>
      <c r="E15" s="334">
        <f>+Общо!E15</f>
        <v>0</v>
      </c>
      <c r="F15" s="334">
        <f>+Общо!F15</f>
        <v>0</v>
      </c>
      <c r="G15" s="335">
        <f>+Общо!G15</f>
        <v>173.02</v>
      </c>
      <c r="H15" s="335">
        <f>+Общо!H15</f>
        <v>2.8820000000000001</v>
      </c>
      <c r="I15" s="335">
        <f>+Общо!I15</f>
        <v>0</v>
      </c>
      <c r="J15" s="335">
        <f>+Общо!J15</f>
        <v>21.018999999999998</v>
      </c>
      <c r="K15" s="335">
        <f>+Общо!K15</f>
        <v>29.879000000000001</v>
      </c>
      <c r="L15" s="335">
        <f>+Общо!L15</f>
        <v>52.412000000000006</v>
      </c>
      <c r="M15" s="335">
        <f>+Общо!M15</f>
        <v>0</v>
      </c>
      <c r="N15" s="335">
        <f>+Общо!N15</f>
        <v>1.8149999999999999</v>
      </c>
      <c r="O15" s="335">
        <f>+Общо!O15</f>
        <v>0</v>
      </c>
      <c r="P15" s="335">
        <f>+Общо!P15</f>
        <v>0</v>
      </c>
      <c r="Q15" s="335">
        <f>+Общо!Q15</f>
        <v>0</v>
      </c>
      <c r="R15" s="335">
        <f>+Общо!R15</f>
        <v>9.49</v>
      </c>
      <c r="S15" s="335">
        <f>+Общо!S15</f>
        <v>0</v>
      </c>
      <c r="T15" s="335">
        <f>+Общо!T15</f>
        <v>47.930999999999997</v>
      </c>
      <c r="U15" s="335">
        <f>+Общо!U15</f>
        <v>0</v>
      </c>
      <c r="V15" s="335">
        <f>+Общо!V15</f>
        <v>0</v>
      </c>
      <c r="W15" s="335">
        <f>+Общо!W15</f>
        <v>0</v>
      </c>
      <c r="X15" s="335">
        <f>+Общо!X15</f>
        <v>0</v>
      </c>
      <c r="Y15" s="336">
        <f>+Общо!Y15</f>
        <v>0.58999999999991815</v>
      </c>
      <c r="Z15" s="337">
        <f>+Общо!Z15</f>
        <v>150</v>
      </c>
      <c r="AA15" s="333">
        <f>+Общо!AA15</f>
        <v>0</v>
      </c>
      <c r="AB15" s="336">
        <f>+Общо!AB15</f>
        <v>-0.76899999999977808</v>
      </c>
      <c r="AD15" s="342">
        <f>+Общо!AD15</f>
        <v>0</v>
      </c>
      <c r="AE15" s="342">
        <f>+Общо!AE15</f>
        <v>15</v>
      </c>
      <c r="AF15" s="342">
        <f>+Общо!AF15</f>
        <v>0</v>
      </c>
      <c r="AG15" s="343">
        <f>+Общо!AG15</f>
        <v>1180</v>
      </c>
      <c r="AH15" s="344">
        <f>+Общо!AH15</f>
        <v>1195</v>
      </c>
      <c r="AJ15" s="345">
        <f>+Общо!AJ15</f>
        <v>16948.463824500002</v>
      </c>
      <c r="AK15" s="346">
        <f>+Общо!AK15</f>
        <v>2485</v>
      </c>
      <c r="AL15" s="347">
        <f>+Общо!AL15</f>
        <v>14463.463824500002</v>
      </c>
      <c r="AM15" s="348">
        <f>+Общо!AM15</f>
        <v>0</v>
      </c>
      <c r="AN15" s="349">
        <f>+Общо!AN15</f>
        <v>14463.463824500002</v>
      </c>
      <c r="AP15" s="329">
        <f t="shared" si="1"/>
        <v>45394</v>
      </c>
      <c r="AQ15" s="353">
        <f>+Общо!AQ15</f>
        <v>58.84</v>
      </c>
      <c r="AR15" s="353">
        <f>+Общо!AR15</f>
        <v>45.027952723310278</v>
      </c>
      <c r="AS15" s="332">
        <f>+Общо!AS15</f>
        <v>57.110236</v>
      </c>
      <c r="AT15" s="353">
        <v>7.5020082592934045</v>
      </c>
      <c r="AV15" s="329">
        <f t="shared" si="2"/>
        <v>45394</v>
      </c>
      <c r="AW15" s="354">
        <f>+Общо!AW15</f>
        <v>45.027952723310278</v>
      </c>
      <c r="AX15" s="354">
        <f>+Общо!AX15</f>
        <v>58.594932817291635</v>
      </c>
      <c r="AY15" s="353">
        <v>51.726410308632325</v>
      </c>
      <c r="BA15" s="329">
        <f t="shared" si="3"/>
        <v>45394</v>
      </c>
      <c r="BB15" s="355">
        <f>+Общо!BB15</f>
        <v>147998.64500000011</v>
      </c>
      <c r="BC15" s="353">
        <f>+Общо!BC15</f>
        <v>229.36627236379309</v>
      </c>
      <c r="BD15" s="359">
        <f>+Общо!BD15</f>
        <v>33945897.518542349</v>
      </c>
      <c r="BF15" s="329">
        <f t="shared" si="4"/>
        <v>45394</v>
      </c>
      <c r="BG15" s="357">
        <f>+Общо!BG15</f>
        <v>5378456.4199999999</v>
      </c>
      <c r="BH15" s="357">
        <f>+Общо!BH15</f>
        <v>1592109.0899999999</v>
      </c>
      <c r="BI15" s="357">
        <f>+Общо!BI15</f>
        <v>1073722.6599999999</v>
      </c>
      <c r="BJ15" s="357">
        <f>+Общо!BJ15</f>
        <v>397936.4200000001</v>
      </c>
      <c r="BK15" s="357">
        <f>+Общо!BK15</f>
        <v>2433275.39</v>
      </c>
      <c r="BL15" s="357">
        <f>+Общо!BL15</f>
        <v>2389248.8800000004</v>
      </c>
      <c r="BM15" s="357">
        <f>+Общо!BM15</f>
        <v>177825.42772299997</v>
      </c>
      <c r="BN15" s="357">
        <f>+Общо!BN15</f>
        <v>0</v>
      </c>
      <c r="BO15" s="358">
        <f>+Общо!BO15</f>
        <v>13442574.287723001</v>
      </c>
      <c r="BQ15" s="329">
        <f t="shared" si="5"/>
        <v>45394</v>
      </c>
      <c r="BR15" s="357">
        <f>+Общо!BR15</f>
        <v>5705824.5700000003</v>
      </c>
      <c r="BS15" s="357">
        <f>+Общо!BS15</f>
        <v>0</v>
      </c>
      <c r="BT15" s="357">
        <f>+Общо!BT15</f>
        <v>0</v>
      </c>
      <c r="BU15" s="357">
        <f>+Общо!BU15</f>
        <v>0</v>
      </c>
      <c r="BV15" s="357">
        <f>+Общо!BV15</f>
        <v>13622612.260000002</v>
      </c>
      <c r="BW15" s="357">
        <f>+Общо!BW15</f>
        <v>15200428.019999998</v>
      </c>
      <c r="BX15" s="357">
        <f>+Общо!BX15</f>
        <v>0</v>
      </c>
      <c r="BY15" s="357">
        <f>+Общо!BY15</f>
        <v>3567553.1529600001</v>
      </c>
      <c r="BZ15" s="358">
        <f>+Общо!BZ15</f>
        <v>38096418.002960004</v>
      </c>
      <c r="CB15" s="329">
        <f t="shared" si="6"/>
        <v>45394</v>
      </c>
      <c r="CC15" s="357">
        <f>+Общо!CC15</f>
        <v>11084280.99</v>
      </c>
      <c r="CD15" s="357">
        <f>+Общо!CD15</f>
        <v>1592109.0899999999</v>
      </c>
      <c r="CE15" s="357">
        <f>+Общо!CE15</f>
        <v>1073722.6599999999</v>
      </c>
      <c r="CF15" s="357">
        <f>+Общо!CF15</f>
        <v>397936.4200000001</v>
      </c>
      <c r="CG15" s="357">
        <f>+Общо!CG15</f>
        <v>16055887.650000002</v>
      </c>
      <c r="CH15" s="357">
        <f>+Общо!CH15</f>
        <v>17589676.899999999</v>
      </c>
      <c r="CI15" s="357">
        <f>+Общо!CI15</f>
        <v>177825.42772299997</v>
      </c>
      <c r="CJ15" s="357">
        <f>+Общо!CJ15</f>
        <v>3567553.1529600001</v>
      </c>
      <c r="CK15" s="358">
        <f>+Общо!CK15</f>
        <v>51538992.290683001</v>
      </c>
    </row>
    <row r="16" spans="2:89" x14ac:dyDescent="0.25">
      <c r="B16" s="47">
        <f t="shared" si="0"/>
        <v>45395</v>
      </c>
      <c r="C16" s="333">
        <f>+Общо!C16</f>
        <v>0</v>
      </c>
      <c r="D16" s="334">
        <f>+Общо!D16</f>
        <v>0</v>
      </c>
      <c r="E16" s="334">
        <f>+Общо!E16</f>
        <v>0</v>
      </c>
      <c r="F16" s="334">
        <f>+Общо!F16</f>
        <v>0</v>
      </c>
      <c r="G16" s="335">
        <f>+Общо!G16</f>
        <v>176.74600000000001</v>
      </c>
      <c r="H16" s="335">
        <f>+Общо!H16</f>
        <v>2.669</v>
      </c>
      <c r="I16" s="335">
        <f>+Общо!I16</f>
        <v>0</v>
      </c>
      <c r="J16" s="335">
        <f>+Общо!J16</f>
        <v>1.0999999999999999E-2</v>
      </c>
      <c r="K16" s="335">
        <f>+Общо!K16</f>
        <v>17.966000000000001</v>
      </c>
      <c r="L16" s="335">
        <f>+Общо!L16</f>
        <v>66.694999999999993</v>
      </c>
      <c r="M16" s="335">
        <f>+Общо!M16</f>
        <v>0</v>
      </c>
      <c r="N16" s="335">
        <f>+Общо!N16</f>
        <v>0.85399999999999998</v>
      </c>
      <c r="O16" s="335">
        <f>+Общо!O16</f>
        <v>0</v>
      </c>
      <c r="P16" s="335">
        <f>+Общо!P16</f>
        <v>0</v>
      </c>
      <c r="Q16" s="335">
        <f>+Общо!Q16</f>
        <v>0</v>
      </c>
      <c r="R16" s="335">
        <f>+Общо!R16</f>
        <v>9.1910000000000007</v>
      </c>
      <c r="S16" s="335">
        <f>+Общо!S16</f>
        <v>0</v>
      </c>
      <c r="T16" s="335">
        <f>+Общо!T16</f>
        <v>3.992</v>
      </c>
      <c r="U16" s="335">
        <f>+Общо!U16</f>
        <v>0</v>
      </c>
      <c r="V16" s="335">
        <f>+Общо!V16</f>
        <v>0</v>
      </c>
      <c r="W16" s="335">
        <f>+Общо!W16</f>
        <v>0</v>
      </c>
      <c r="X16" s="335">
        <f>+Общо!X16</f>
        <v>0</v>
      </c>
      <c r="Y16" s="336">
        <f>+Общо!Y16</f>
        <v>0</v>
      </c>
      <c r="Z16" s="337">
        <f>+Общо!Z16</f>
        <v>0</v>
      </c>
      <c r="AA16" s="333">
        <f>+Общо!AA16</f>
        <v>0</v>
      </c>
      <c r="AB16" s="336">
        <f>+Общо!AB16</f>
        <v>-33.123999999999967</v>
      </c>
      <c r="AD16" s="342">
        <f>+Общо!AD16</f>
        <v>0</v>
      </c>
      <c r="AE16" s="342">
        <f>+Общо!AE16</f>
        <v>15</v>
      </c>
      <c r="AF16" s="342">
        <f>+Общо!AF16</f>
        <v>0</v>
      </c>
      <c r="AG16" s="343">
        <f>+Общо!AG16</f>
        <v>230</v>
      </c>
      <c r="AH16" s="344">
        <f>+Общо!AH16</f>
        <v>245</v>
      </c>
      <c r="AJ16" s="345">
        <f>+Общо!AJ16</f>
        <v>5203.2963264999971</v>
      </c>
      <c r="AK16" s="346">
        <f>+Общо!AK16</f>
        <v>2485</v>
      </c>
      <c r="AL16" s="347">
        <f>+Общо!AL16</f>
        <v>2718.2963264999971</v>
      </c>
      <c r="AM16" s="348">
        <f>+Общо!AM16</f>
        <v>0</v>
      </c>
      <c r="AN16" s="349">
        <f>+Общо!AN16</f>
        <v>2718.2963264999971</v>
      </c>
      <c r="AO16" s="4"/>
      <c r="AP16" s="329">
        <f t="shared" si="1"/>
        <v>45395</v>
      </c>
      <c r="AQ16" s="353">
        <f>+Общо!AQ16</f>
        <v>58.84</v>
      </c>
      <c r="AR16" s="353">
        <f>+Общо!AR16</f>
        <v>45.128611698379146</v>
      </c>
      <c r="AS16" s="332">
        <f>+Общо!AS16</f>
        <v>58.577108499999994</v>
      </c>
      <c r="AT16" s="353">
        <v>10.407577010744816</v>
      </c>
      <c r="AV16" s="329">
        <f t="shared" si="2"/>
        <v>45395</v>
      </c>
      <c r="AW16" s="354">
        <f>+Общо!AW16</f>
        <v>45.128611698379146</v>
      </c>
      <c r="AX16" s="354">
        <f>+Общо!AX16</f>
        <v>62.921106808473901</v>
      </c>
      <c r="AY16" s="353">
        <v>51.216717260800607</v>
      </c>
      <c r="BA16" s="329">
        <f t="shared" si="3"/>
        <v>45395</v>
      </c>
      <c r="BB16" s="355">
        <f>+Общо!BB16</f>
        <v>147998.64500000011</v>
      </c>
      <c r="BC16" s="353">
        <f>+Общо!BC16</f>
        <v>229.36627236379309</v>
      </c>
      <c r="BD16" s="359">
        <f>+Общо!BD16</f>
        <v>33945897.518542349</v>
      </c>
      <c r="BF16" s="329">
        <f t="shared" si="4"/>
        <v>45395</v>
      </c>
      <c r="BG16" s="357">
        <f>+Общо!BG16</f>
        <v>5378456.4199999999</v>
      </c>
      <c r="BH16" s="357">
        <f>+Общо!BH16</f>
        <v>1592109.0899999999</v>
      </c>
      <c r="BI16" s="357">
        <f>+Общо!BI16</f>
        <v>1073722.6599999999</v>
      </c>
      <c r="BJ16" s="357">
        <f>+Общо!BJ16</f>
        <v>397936.4200000001</v>
      </c>
      <c r="BK16" s="357">
        <f>+Общо!BK16</f>
        <v>2433275.39</v>
      </c>
      <c r="BL16" s="357">
        <f>+Общо!BL16</f>
        <v>2389248.8800000004</v>
      </c>
      <c r="BM16" s="357">
        <f>+Общо!BM16</f>
        <v>177825.42772299997</v>
      </c>
      <c r="BN16" s="357">
        <f>+Общо!BN16</f>
        <v>0</v>
      </c>
      <c r="BO16" s="358">
        <f>+Общо!BO16</f>
        <v>13442574.287723001</v>
      </c>
      <c r="BQ16" s="329">
        <f t="shared" si="5"/>
        <v>45395</v>
      </c>
      <c r="BR16" s="357">
        <f>+Общо!BR16</f>
        <v>5705824.5700000003</v>
      </c>
      <c r="BS16" s="357">
        <f>+Общо!BS16</f>
        <v>0</v>
      </c>
      <c r="BT16" s="357">
        <f>+Общо!BT16</f>
        <v>0</v>
      </c>
      <c r="BU16" s="357">
        <f>+Общо!BU16</f>
        <v>0</v>
      </c>
      <c r="BV16" s="357">
        <f>+Общо!BV16</f>
        <v>13622612.260000002</v>
      </c>
      <c r="BW16" s="357">
        <f>+Общо!BW16</f>
        <v>15200428.019999998</v>
      </c>
      <c r="BX16" s="357">
        <f>+Общо!BX16</f>
        <v>0</v>
      </c>
      <c r="BY16" s="357">
        <f>+Общо!BY16</f>
        <v>3567553.1529600001</v>
      </c>
      <c r="BZ16" s="358">
        <f>+Общо!BZ16</f>
        <v>38096418.002960004</v>
      </c>
      <c r="CB16" s="329">
        <f t="shared" si="6"/>
        <v>45395</v>
      </c>
      <c r="CC16" s="357">
        <f>+Общо!CC16</f>
        <v>11084280.99</v>
      </c>
      <c r="CD16" s="357">
        <f>+Общо!CD16</f>
        <v>1592109.0899999999</v>
      </c>
      <c r="CE16" s="357">
        <f>+Общо!CE16</f>
        <v>1073722.6599999999</v>
      </c>
      <c r="CF16" s="357">
        <f>+Общо!CF16</f>
        <v>397936.4200000001</v>
      </c>
      <c r="CG16" s="357">
        <f>+Общо!CG16</f>
        <v>16055887.650000002</v>
      </c>
      <c r="CH16" s="357">
        <f>+Общо!CH16</f>
        <v>17589676.899999999</v>
      </c>
      <c r="CI16" s="357">
        <f>+Общо!CI16</f>
        <v>177825.42772299997</v>
      </c>
      <c r="CJ16" s="357">
        <f>+Общо!CJ16</f>
        <v>3567553.1529600001</v>
      </c>
      <c r="CK16" s="358">
        <f>+Общо!CK16</f>
        <v>51538992.290683001</v>
      </c>
    </row>
    <row r="17" spans="2:89" x14ac:dyDescent="0.25">
      <c r="B17" s="47">
        <f t="shared" si="0"/>
        <v>45396</v>
      </c>
      <c r="C17" s="333">
        <f>+Общо!C17</f>
        <v>0</v>
      </c>
      <c r="D17" s="334">
        <f>+Общо!D17</f>
        <v>0</v>
      </c>
      <c r="E17" s="334">
        <f>+Общо!E17</f>
        <v>0</v>
      </c>
      <c r="F17" s="334">
        <f>+Общо!F17</f>
        <v>0</v>
      </c>
      <c r="G17" s="335">
        <f>+Общо!G17</f>
        <v>171.66499999999999</v>
      </c>
      <c r="H17" s="335">
        <f>+Общо!H17</f>
        <v>0</v>
      </c>
      <c r="I17" s="335">
        <f>+Общо!I17</f>
        <v>0</v>
      </c>
      <c r="J17" s="335">
        <f>+Общо!J17</f>
        <v>2.21</v>
      </c>
      <c r="K17" s="335">
        <f>+Общо!K17</f>
        <v>0</v>
      </c>
      <c r="L17" s="335">
        <f>+Общо!L17</f>
        <v>65.712999999999994</v>
      </c>
      <c r="M17" s="335">
        <f>+Общо!M17</f>
        <v>0</v>
      </c>
      <c r="N17" s="335">
        <f>+Общо!N17</f>
        <v>1.121</v>
      </c>
      <c r="O17" s="335">
        <f>+Общо!O17</f>
        <v>0</v>
      </c>
      <c r="P17" s="335">
        <f>+Общо!P17</f>
        <v>0</v>
      </c>
      <c r="Q17" s="335">
        <f>+Общо!Q17</f>
        <v>0</v>
      </c>
      <c r="R17" s="335">
        <f>+Общо!R17</f>
        <v>9.3940000000000001</v>
      </c>
      <c r="S17" s="335">
        <f>+Общо!S17</f>
        <v>0</v>
      </c>
      <c r="T17" s="335">
        <f>+Общо!T17</f>
        <v>5.1559999999999997</v>
      </c>
      <c r="U17" s="335">
        <f>+Общо!U17</f>
        <v>0</v>
      </c>
      <c r="V17" s="335">
        <f>+Общо!V17</f>
        <v>0</v>
      </c>
      <c r="W17" s="335">
        <f>+Общо!W17</f>
        <v>0</v>
      </c>
      <c r="X17" s="335">
        <f>+Общо!X17</f>
        <v>0</v>
      </c>
      <c r="Y17" s="336">
        <f>+Общо!Y17</f>
        <v>2.1269999999999527</v>
      </c>
      <c r="Z17" s="337">
        <f>+Общо!Z17</f>
        <v>0</v>
      </c>
      <c r="AA17" s="333">
        <f>+Общо!AA17</f>
        <v>0</v>
      </c>
      <c r="AB17" s="336">
        <f>+Общо!AB17</f>
        <v>-32.385999999999967</v>
      </c>
      <c r="AD17" s="342">
        <f>+Общо!AD17</f>
        <v>0</v>
      </c>
      <c r="AE17" s="342">
        <f>+Общо!AE17</f>
        <v>15</v>
      </c>
      <c r="AF17" s="342">
        <f>+Общо!AF17</f>
        <v>0</v>
      </c>
      <c r="AG17" s="343">
        <f>+Общо!AG17</f>
        <v>210</v>
      </c>
      <c r="AH17" s="344">
        <f>+Общо!AH17</f>
        <v>225</v>
      </c>
      <c r="AJ17" s="345">
        <f>+Общо!AJ17</f>
        <v>4988.5259224999991</v>
      </c>
      <c r="AK17" s="346">
        <f>+Общо!AK17</f>
        <v>2485</v>
      </c>
      <c r="AL17" s="347">
        <f>+Общо!AL17</f>
        <v>2503.5259224999991</v>
      </c>
      <c r="AM17" s="348">
        <f>+Общо!AM17</f>
        <v>0</v>
      </c>
      <c r="AN17" s="349">
        <f>+Общо!AN17</f>
        <v>2503.5259224999991</v>
      </c>
      <c r="AP17" s="329">
        <f t="shared" si="1"/>
        <v>45396</v>
      </c>
      <c r="AQ17" s="353">
        <f>+Общо!AQ17</f>
        <v>58.84</v>
      </c>
      <c r="AR17" s="353">
        <f>+Общо!AR17</f>
        <v>45.246322643811247</v>
      </c>
      <c r="AS17" s="332">
        <f>+Общо!AS17</f>
        <v>59.017170249999999</v>
      </c>
      <c r="AT17" s="353">
        <v>99.864686000000006</v>
      </c>
      <c r="AV17" s="329">
        <f t="shared" si="2"/>
        <v>45396</v>
      </c>
      <c r="AW17" s="354">
        <f>+Общо!AW17</f>
        <v>45.246322643811247</v>
      </c>
      <c r="AX17" s="354">
        <f>+Общо!AX17</f>
        <v>64.139928706301049</v>
      </c>
      <c r="AY17" s="353">
        <v>-26.847039572011226</v>
      </c>
      <c r="BA17" s="329">
        <f t="shared" si="3"/>
        <v>45396</v>
      </c>
      <c r="BB17" s="355">
        <f>+Общо!BB17</f>
        <v>147998.64500000011</v>
      </c>
      <c r="BC17" s="353">
        <f>+Общо!BC17</f>
        <v>229.36627236379309</v>
      </c>
      <c r="BD17" s="359">
        <f>+Общо!BD17</f>
        <v>33945897.518542349</v>
      </c>
      <c r="BF17" s="329">
        <f t="shared" si="4"/>
        <v>45396</v>
      </c>
      <c r="BG17" s="357">
        <f>+Общо!BG17</f>
        <v>5378456.4199999999</v>
      </c>
      <c r="BH17" s="357">
        <f>+Общо!BH17</f>
        <v>1592109.0899999999</v>
      </c>
      <c r="BI17" s="357">
        <f>+Общо!BI17</f>
        <v>1073722.6599999999</v>
      </c>
      <c r="BJ17" s="357">
        <f>+Общо!BJ17</f>
        <v>397936.4200000001</v>
      </c>
      <c r="BK17" s="357">
        <f>+Общо!BK17</f>
        <v>2433275.39</v>
      </c>
      <c r="BL17" s="357">
        <f>+Общо!BL17</f>
        <v>2389248.8800000004</v>
      </c>
      <c r="BM17" s="357">
        <f>+Общо!BM17</f>
        <v>78190.152418999991</v>
      </c>
      <c r="BN17" s="357">
        <f>+Общо!BN17</f>
        <v>0</v>
      </c>
      <c r="BO17" s="358">
        <f>+Общо!BO17</f>
        <v>13342939.012419002</v>
      </c>
      <c r="BQ17" s="329">
        <f t="shared" si="5"/>
        <v>45396</v>
      </c>
      <c r="BR17" s="357">
        <f>+Общо!BR17</f>
        <v>5705824.5700000003</v>
      </c>
      <c r="BS17" s="357">
        <f>+Общо!BS17</f>
        <v>0</v>
      </c>
      <c r="BT17" s="357">
        <f>+Общо!BT17</f>
        <v>0</v>
      </c>
      <c r="BU17" s="357">
        <f>+Общо!BU17</f>
        <v>0</v>
      </c>
      <c r="BV17" s="357">
        <f>+Общо!BV17</f>
        <v>13622612.260000002</v>
      </c>
      <c r="BW17" s="357">
        <f>+Общо!BW17</f>
        <v>15200428.019999998</v>
      </c>
      <c r="BX17" s="357">
        <f>+Общо!BX17</f>
        <v>0</v>
      </c>
      <c r="BY17" s="357">
        <f>+Общо!BY17</f>
        <v>3567553.1529600001</v>
      </c>
      <c r="BZ17" s="358">
        <f>+Общо!BZ17</f>
        <v>38096418.002960004</v>
      </c>
      <c r="CB17" s="329">
        <f t="shared" si="6"/>
        <v>45396</v>
      </c>
      <c r="CC17" s="357">
        <f>+Общо!CC17</f>
        <v>11084280.99</v>
      </c>
      <c r="CD17" s="357">
        <f>+Общо!CD17</f>
        <v>1592109.0899999999</v>
      </c>
      <c r="CE17" s="357">
        <f>+Общо!CE17</f>
        <v>1073722.6599999999</v>
      </c>
      <c r="CF17" s="357">
        <f>+Общо!CF17</f>
        <v>397936.4200000001</v>
      </c>
      <c r="CG17" s="357">
        <f>+Общо!CG17</f>
        <v>16055887.650000002</v>
      </c>
      <c r="CH17" s="357">
        <f>+Общо!CH17</f>
        <v>17589676.899999999</v>
      </c>
      <c r="CI17" s="357">
        <f>+Общо!CI17</f>
        <v>78190.152418999991</v>
      </c>
      <c r="CJ17" s="357">
        <f>+Общо!CJ17</f>
        <v>3567553.1529600001</v>
      </c>
      <c r="CK17" s="358">
        <f>+Общо!CK17</f>
        <v>51439357.015379004</v>
      </c>
    </row>
    <row r="18" spans="2:89" x14ac:dyDescent="0.25">
      <c r="B18" s="47">
        <f t="shared" si="0"/>
        <v>45397</v>
      </c>
      <c r="C18" s="333">
        <f>+Общо!C18</f>
        <v>0</v>
      </c>
      <c r="D18" s="334">
        <f>+Общо!D18</f>
        <v>0</v>
      </c>
      <c r="E18" s="334">
        <f>+Общо!E18</f>
        <v>0</v>
      </c>
      <c r="F18" s="334">
        <f>+Общо!F18</f>
        <v>0</v>
      </c>
      <c r="G18" s="335">
        <f>+Общо!G18</f>
        <v>166.989</v>
      </c>
      <c r="H18" s="335">
        <f>+Общо!H18</f>
        <v>0</v>
      </c>
      <c r="I18" s="335">
        <f>+Общо!I18</f>
        <v>0</v>
      </c>
      <c r="J18" s="335">
        <f>+Общо!J18</f>
        <v>19.097999999999999</v>
      </c>
      <c r="K18" s="335">
        <f>+Общо!K18</f>
        <v>0</v>
      </c>
      <c r="L18" s="335">
        <f>+Общо!L18</f>
        <v>52.156000000000006</v>
      </c>
      <c r="M18" s="335">
        <f>+Общо!M18</f>
        <v>0</v>
      </c>
      <c r="N18" s="335">
        <f>+Общо!N18</f>
        <v>1.847</v>
      </c>
      <c r="O18" s="335">
        <f>+Общо!O18</f>
        <v>1.591</v>
      </c>
      <c r="P18" s="335">
        <f>+Общо!P18</f>
        <v>0</v>
      </c>
      <c r="Q18" s="335">
        <f>+Общо!Q18</f>
        <v>0</v>
      </c>
      <c r="R18" s="335">
        <f>+Общо!R18</f>
        <v>8.6790000000000003</v>
      </c>
      <c r="S18" s="335">
        <f>+Общо!S18</f>
        <v>0</v>
      </c>
      <c r="T18" s="335">
        <f>+Общо!T18</f>
        <v>53.258000000000003</v>
      </c>
      <c r="U18" s="335">
        <f>+Общо!U18</f>
        <v>0</v>
      </c>
      <c r="V18" s="335">
        <f>+Общо!V18</f>
        <v>0</v>
      </c>
      <c r="W18" s="335">
        <f>+Общо!W18</f>
        <v>0</v>
      </c>
      <c r="X18" s="335">
        <f>+Общо!X18</f>
        <v>0</v>
      </c>
      <c r="Y18" s="336">
        <f>+Общо!Y18</f>
        <v>0</v>
      </c>
      <c r="Z18" s="337">
        <f>+Общо!Z18</f>
        <v>0</v>
      </c>
      <c r="AA18" s="333">
        <f>+Общо!AA18</f>
        <v>0</v>
      </c>
      <c r="AB18" s="336">
        <f>+Общо!AB18</f>
        <v>-8.617999999999995</v>
      </c>
      <c r="AD18" s="342">
        <f>+Общо!AD18</f>
        <v>0</v>
      </c>
      <c r="AE18" s="342">
        <f>+Общо!AE18</f>
        <v>15</v>
      </c>
      <c r="AF18" s="342">
        <f>+Общо!AF18</f>
        <v>0</v>
      </c>
      <c r="AG18" s="343">
        <f>+Общо!AG18</f>
        <v>280</v>
      </c>
      <c r="AH18" s="344">
        <f>+Общо!AH18</f>
        <v>295</v>
      </c>
      <c r="AJ18" s="345">
        <f>+Общо!AJ18</f>
        <v>4863.266262500003</v>
      </c>
      <c r="AK18" s="346">
        <f>+Общо!AK18</f>
        <v>2485</v>
      </c>
      <c r="AL18" s="347">
        <f>+Общо!AL18</f>
        <v>2378.266262500003</v>
      </c>
      <c r="AM18" s="348">
        <f>+Общо!AM18</f>
        <v>0</v>
      </c>
      <c r="AN18" s="349">
        <f>+Общо!AN18</f>
        <v>2378.266262500003</v>
      </c>
      <c r="AP18" s="329">
        <f t="shared" si="1"/>
        <v>45397</v>
      </c>
      <c r="AQ18" s="353">
        <f>+Общо!AQ18</f>
        <v>58.84</v>
      </c>
      <c r="AR18" s="353">
        <f>+Общо!AR18</f>
        <v>45.202820649632102</v>
      </c>
      <c r="AS18" s="332">
        <f>+Общо!AS18</f>
        <v>59.017170249999999</v>
      </c>
      <c r="AT18" s="353">
        <v>84.315837500000001</v>
      </c>
      <c r="AV18" s="329">
        <f t="shared" si="2"/>
        <v>45397</v>
      </c>
      <c r="AW18" s="354">
        <f>+Общо!AW18</f>
        <v>45.202820649632102</v>
      </c>
      <c r="AX18" s="354">
        <f>+Общо!AX18</f>
        <v>61.033545908147289</v>
      </c>
      <c r="AY18" s="353">
        <v>-58.103011056193765</v>
      </c>
      <c r="BA18" s="329">
        <f t="shared" si="3"/>
        <v>45397</v>
      </c>
      <c r="BB18" s="355">
        <f>+Общо!BB18</f>
        <v>147998.64500000011</v>
      </c>
      <c r="BC18" s="353">
        <f>+Общо!BC18</f>
        <v>229.36627236379309</v>
      </c>
      <c r="BD18" s="359">
        <f>+Общо!BD18</f>
        <v>33945897.518542349</v>
      </c>
      <c r="BF18" s="329">
        <f t="shared" si="4"/>
        <v>45397</v>
      </c>
      <c r="BG18" s="357">
        <f>+Общо!BG18</f>
        <v>5378456.4199999999</v>
      </c>
      <c r="BH18" s="357">
        <f>+Общо!BH18</f>
        <v>1592109.0899999999</v>
      </c>
      <c r="BI18" s="357">
        <f>+Общо!BI18</f>
        <v>1073722.6599999999</v>
      </c>
      <c r="BJ18" s="357">
        <f>+Общо!BJ18</f>
        <v>397936.4200000001</v>
      </c>
      <c r="BK18" s="357">
        <f>+Общо!BK18</f>
        <v>2433275.39</v>
      </c>
      <c r="BL18" s="357">
        <f>+Общо!BL18</f>
        <v>2389248.8800000004</v>
      </c>
      <c r="BM18" s="357">
        <f>+Общо!BM18</f>
        <v>57725.73</v>
      </c>
      <c r="BN18" s="357">
        <f>+Общо!BN18</f>
        <v>0</v>
      </c>
      <c r="BO18" s="358">
        <f>+Общо!BO18</f>
        <v>13322474.590000002</v>
      </c>
      <c r="BQ18" s="329">
        <f t="shared" si="5"/>
        <v>45397</v>
      </c>
      <c r="BR18" s="357">
        <f>+Общо!BR18</f>
        <v>5705824.5700000003</v>
      </c>
      <c r="BS18" s="357">
        <f>+Общо!BS18</f>
        <v>0</v>
      </c>
      <c r="BT18" s="357">
        <f>+Общо!BT18</f>
        <v>0</v>
      </c>
      <c r="BU18" s="357">
        <f>+Общо!BU18</f>
        <v>0</v>
      </c>
      <c r="BV18" s="357">
        <f>+Общо!BV18</f>
        <v>13622612.260000002</v>
      </c>
      <c r="BW18" s="357">
        <f>+Общо!BW18</f>
        <v>15200428.019999998</v>
      </c>
      <c r="BX18" s="357">
        <f>+Общо!BX18</f>
        <v>0</v>
      </c>
      <c r="BY18" s="357">
        <f>+Общо!BY18</f>
        <v>3567553.1529600001</v>
      </c>
      <c r="BZ18" s="358">
        <f>+Общо!BZ18</f>
        <v>38096418.002960004</v>
      </c>
      <c r="CB18" s="329">
        <f t="shared" si="6"/>
        <v>45397</v>
      </c>
      <c r="CC18" s="357">
        <f>+Общо!CC18</f>
        <v>11084280.99</v>
      </c>
      <c r="CD18" s="357">
        <f>+Общо!CD18</f>
        <v>1592109.0899999999</v>
      </c>
      <c r="CE18" s="357">
        <f>+Общо!CE18</f>
        <v>1073722.6599999999</v>
      </c>
      <c r="CF18" s="357">
        <f>+Общо!CF18</f>
        <v>397936.4200000001</v>
      </c>
      <c r="CG18" s="357">
        <f>+Общо!CG18</f>
        <v>16055887.650000002</v>
      </c>
      <c r="CH18" s="357">
        <f>+Общо!CH18</f>
        <v>17589676.899999999</v>
      </c>
      <c r="CI18" s="357">
        <f>+Общо!CI18</f>
        <v>57725.73</v>
      </c>
      <c r="CJ18" s="357">
        <f>+Общо!CJ18</f>
        <v>3567553.1529600001</v>
      </c>
      <c r="CK18" s="358">
        <f>+Общо!CK18</f>
        <v>51418892.59296</v>
      </c>
    </row>
    <row r="19" spans="2:89" x14ac:dyDescent="0.25">
      <c r="B19" s="47">
        <f t="shared" si="0"/>
        <v>45398</v>
      </c>
      <c r="C19" s="333">
        <f>+Общо!C19</f>
        <v>0</v>
      </c>
      <c r="D19" s="334">
        <f>+Общо!D19</f>
        <v>0</v>
      </c>
      <c r="E19" s="334">
        <f>+Общо!E19</f>
        <v>0</v>
      </c>
      <c r="F19" s="334">
        <f>+Общо!F19</f>
        <v>0</v>
      </c>
      <c r="G19" s="335">
        <f>+Общо!G19</f>
        <v>0</v>
      </c>
      <c r="H19" s="335">
        <f>+Общо!H19</f>
        <v>0</v>
      </c>
      <c r="I19" s="335">
        <f>+Общо!I19</f>
        <v>0</v>
      </c>
      <c r="J19" s="335">
        <f>+Общо!J19</f>
        <v>0</v>
      </c>
      <c r="K19" s="335">
        <f>+Общо!K19</f>
        <v>0</v>
      </c>
      <c r="L19" s="335">
        <f>+Общо!L19</f>
        <v>0</v>
      </c>
      <c r="M19" s="335">
        <f>+Общо!M19</f>
        <v>0</v>
      </c>
      <c r="N19" s="335">
        <f>+Общо!N19</f>
        <v>0</v>
      </c>
      <c r="O19" s="335">
        <f>+Общо!O19</f>
        <v>0</v>
      </c>
      <c r="P19" s="335">
        <f>+Общо!P19</f>
        <v>0</v>
      </c>
      <c r="Q19" s="335">
        <f>+Общо!Q19</f>
        <v>0</v>
      </c>
      <c r="R19" s="335">
        <f>+Общо!R19</f>
        <v>0</v>
      </c>
      <c r="S19" s="335">
        <f>+Общо!S19</f>
        <v>0</v>
      </c>
      <c r="T19" s="335">
        <f>+Общо!T19</f>
        <v>0</v>
      </c>
      <c r="U19" s="335">
        <f>+Общо!U19</f>
        <v>0</v>
      </c>
      <c r="V19" s="335">
        <f>+Общо!V19</f>
        <v>0</v>
      </c>
      <c r="W19" s="335">
        <f>+Общо!W19</f>
        <v>0</v>
      </c>
      <c r="X19" s="335">
        <f>+Общо!X19</f>
        <v>0</v>
      </c>
      <c r="Y19" s="336">
        <f>+Общо!Y19</f>
        <v>0</v>
      </c>
      <c r="Z19" s="337">
        <f>+Общо!Z19</f>
        <v>0</v>
      </c>
      <c r="AA19" s="333">
        <f>+Общо!AA19</f>
        <v>0</v>
      </c>
      <c r="AB19" s="336">
        <f>+Общо!AB19</f>
        <v>0</v>
      </c>
      <c r="AD19" s="342">
        <f>+Общо!AD19</f>
        <v>0</v>
      </c>
      <c r="AE19" s="342">
        <f>+Общо!AE19</f>
        <v>0</v>
      </c>
      <c r="AF19" s="342">
        <f>+Общо!AF19</f>
        <v>0</v>
      </c>
      <c r="AG19" s="343">
        <f>+Общо!AG19</f>
        <v>0</v>
      </c>
      <c r="AH19" s="344">
        <f>+Общо!AH19</f>
        <v>0</v>
      </c>
      <c r="AJ19" s="345">
        <f>+Общо!AJ19</f>
        <v>0</v>
      </c>
      <c r="AK19" s="346">
        <f>+Общо!AK19</f>
        <v>0</v>
      </c>
      <c r="AL19" s="347">
        <f>+Общо!AL19</f>
        <v>0</v>
      </c>
      <c r="AM19" s="348">
        <f>+Общо!AM19</f>
        <v>0</v>
      </c>
      <c r="AN19" s="349">
        <f>+Общо!AN19</f>
        <v>0</v>
      </c>
      <c r="AP19" s="329">
        <f t="shared" si="1"/>
        <v>45398</v>
      </c>
      <c r="AQ19" s="353">
        <f>+Общо!AQ19</f>
        <v>58.84</v>
      </c>
      <c r="AR19" s="353">
        <f>+Общо!AR19</f>
        <v>0</v>
      </c>
      <c r="AS19" s="332">
        <f>+Общо!AS19</f>
        <v>0</v>
      </c>
      <c r="AT19" s="353">
        <v>52.770936762593848</v>
      </c>
      <c r="AV19" s="329">
        <f t="shared" si="2"/>
        <v>45398</v>
      </c>
      <c r="AW19" s="354">
        <f>+Общо!AW19</f>
        <v>0</v>
      </c>
      <c r="AX19" s="354">
        <f>+Общо!AX19</f>
        <v>0</v>
      </c>
      <c r="AY19" s="353">
        <v>7.8654485905367153</v>
      </c>
      <c r="BA19" s="329">
        <f t="shared" si="3"/>
        <v>45398</v>
      </c>
      <c r="BB19" s="355">
        <f>+Общо!BB19</f>
        <v>0</v>
      </c>
      <c r="BC19" s="353">
        <f>+Общо!BC19</f>
        <v>0</v>
      </c>
      <c r="BD19" s="359">
        <f>+Общо!BD19</f>
        <v>0</v>
      </c>
      <c r="BF19" s="329">
        <f t="shared" si="4"/>
        <v>45398</v>
      </c>
      <c r="BG19" s="357">
        <f>+Общо!BG19</f>
        <v>0</v>
      </c>
      <c r="BH19" s="357">
        <f>+Общо!BH19</f>
        <v>0</v>
      </c>
      <c r="BI19" s="357">
        <f>+Общо!BI19</f>
        <v>0</v>
      </c>
      <c r="BJ19" s="357">
        <f>+Общо!BJ19</f>
        <v>0</v>
      </c>
      <c r="BK19" s="357">
        <f>+Общо!BK19</f>
        <v>0</v>
      </c>
      <c r="BL19" s="357">
        <f>+Общо!BL19</f>
        <v>0</v>
      </c>
      <c r="BM19" s="357">
        <f>+Общо!BM19</f>
        <v>0</v>
      </c>
      <c r="BN19" s="357">
        <f>+Общо!BN19</f>
        <v>0</v>
      </c>
      <c r="BO19" s="358">
        <f>+Общо!BO19</f>
        <v>0</v>
      </c>
      <c r="BQ19" s="329">
        <f t="shared" si="5"/>
        <v>45398</v>
      </c>
      <c r="BR19" s="357">
        <f>+Общо!BR19</f>
        <v>0</v>
      </c>
      <c r="BS19" s="357">
        <f>+Общо!BS19</f>
        <v>0</v>
      </c>
      <c r="BT19" s="357">
        <f>+Общо!BT19</f>
        <v>0</v>
      </c>
      <c r="BU19" s="357">
        <f>+Общо!BU19</f>
        <v>0</v>
      </c>
      <c r="BV19" s="357">
        <f>+Общо!BV19</f>
        <v>0</v>
      </c>
      <c r="BW19" s="357">
        <f>+Общо!BW19</f>
        <v>0</v>
      </c>
      <c r="BX19" s="357">
        <f>+Общо!BX19</f>
        <v>0</v>
      </c>
      <c r="BY19" s="357">
        <f>+Общо!BY19</f>
        <v>0</v>
      </c>
      <c r="BZ19" s="358">
        <f>+Общо!BZ19</f>
        <v>0</v>
      </c>
      <c r="CB19" s="329">
        <f t="shared" si="6"/>
        <v>45398</v>
      </c>
      <c r="CC19" s="357">
        <f>+Общо!CC19</f>
        <v>0</v>
      </c>
      <c r="CD19" s="357">
        <f>+Общо!CD19</f>
        <v>0</v>
      </c>
      <c r="CE19" s="357">
        <f>+Общо!CE19</f>
        <v>0</v>
      </c>
      <c r="CF19" s="357">
        <f>+Общо!CF19</f>
        <v>0</v>
      </c>
      <c r="CG19" s="357">
        <f>+Общо!CG19</f>
        <v>0</v>
      </c>
      <c r="CH19" s="357">
        <f>+Общо!CH19</f>
        <v>0</v>
      </c>
      <c r="CI19" s="357">
        <f>+Общо!CI19</f>
        <v>0</v>
      </c>
      <c r="CJ19" s="357">
        <f>+Общо!CJ19</f>
        <v>0</v>
      </c>
      <c r="CK19" s="358">
        <f>+Общо!CK19</f>
        <v>0</v>
      </c>
    </row>
    <row r="20" spans="2:89" x14ac:dyDescent="0.25">
      <c r="B20" s="47">
        <f t="shared" si="0"/>
        <v>45399</v>
      </c>
      <c r="C20" s="333">
        <f>+Общо!C20</f>
        <v>0</v>
      </c>
      <c r="D20" s="334">
        <f>+Общо!D20</f>
        <v>0</v>
      </c>
      <c r="E20" s="334">
        <f>+Общо!E20</f>
        <v>0</v>
      </c>
      <c r="F20" s="334">
        <f>+Общо!F20</f>
        <v>0</v>
      </c>
      <c r="G20" s="335">
        <f>+Общо!G20</f>
        <v>0</v>
      </c>
      <c r="H20" s="335">
        <f>+Общо!H20</f>
        <v>0</v>
      </c>
      <c r="I20" s="335">
        <f>+Общо!I20</f>
        <v>0</v>
      </c>
      <c r="J20" s="335">
        <f>+Общо!J20</f>
        <v>0</v>
      </c>
      <c r="K20" s="335">
        <f>+Общо!K20</f>
        <v>0</v>
      </c>
      <c r="L20" s="335">
        <f>+Общо!L20</f>
        <v>0</v>
      </c>
      <c r="M20" s="335">
        <f>+Общо!M20</f>
        <v>0</v>
      </c>
      <c r="N20" s="335">
        <f>+Общо!N20</f>
        <v>0</v>
      </c>
      <c r="O20" s="335">
        <f>+Общо!O20</f>
        <v>0</v>
      </c>
      <c r="P20" s="335">
        <f>+Общо!P20</f>
        <v>0</v>
      </c>
      <c r="Q20" s="335">
        <f>+Общо!Q20</f>
        <v>0</v>
      </c>
      <c r="R20" s="335">
        <f>+Общо!R20</f>
        <v>0</v>
      </c>
      <c r="S20" s="335">
        <f>+Общо!S20</f>
        <v>0</v>
      </c>
      <c r="T20" s="335">
        <f>+Общо!T20</f>
        <v>0</v>
      </c>
      <c r="U20" s="335">
        <f>+Общо!U20</f>
        <v>0</v>
      </c>
      <c r="V20" s="335">
        <f>+Общо!V20</f>
        <v>0</v>
      </c>
      <c r="W20" s="335">
        <f>+Общо!W20</f>
        <v>0</v>
      </c>
      <c r="X20" s="335">
        <f>+Общо!X20</f>
        <v>0</v>
      </c>
      <c r="Y20" s="336">
        <f>+Общо!Y20</f>
        <v>0</v>
      </c>
      <c r="Z20" s="337">
        <f>+Общо!Z20</f>
        <v>0</v>
      </c>
      <c r="AA20" s="333">
        <f>+Общо!AA20</f>
        <v>0</v>
      </c>
      <c r="AB20" s="336">
        <f>+Общо!AB20</f>
        <v>0</v>
      </c>
      <c r="AD20" s="342">
        <f>+Общо!AD20</f>
        <v>0</v>
      </c>
      <c r="AE20" s="342">
        <f>+Общо!AE20</f>
        <v>0</v>
      </c>
      <c r="AF20" s="342">
        <f>+Общо!AF20</f>
        <v>0</v>
      </c>
      <c r="AG20" s="343">
        <f>+Общо!AG20</f>
        <v>0</v>
      </c>
      <c r="AH20" s="344">
        <f>+Общо!AH20</f>
        <v>0</v>
      </c>
      <c r="AJ20" s="345">
        <f>+Общо!AJ20</f>
        <v>0</v>
      </c>
      <c r="AK20" s="346">
        <f>+Общо!AK20</f>
        <v>0</v>
      </c>
      <c r="AL20" s="347">
        <f>+Общо!AL20</f>
        <v>0</v>
      </c>
      <c r="AM20" s="348">
        <f>+Общо!AM20</f>
        <v>0</v>
      </c>
      <c r="AN20" s="349">
        <f>+Общо!AN20</f>
        <v>0</v>
      </c>
      <c r="AP20" s="329">
        <f t="shared" si="1"/>
        <v>45399</v>
      </c>
      <c r="AQ20" s="353">
        <f>+Общо!AQ20</f>
        <v>58.84</v>
      </c>
      <c r="AR20" s="353">
        <f>+Общо!AR20</f>
        <v>0</v>
      </c>
      <c r="AS20" s="332">
        <f>+Общо!AS20</f>
        <v>0</v>
      </c>
      <c r="AT20" s="353">
        <v>-8.9097382499999895</v>
      </c>
      <c r="AV20" s="329">
        <f t="shared" si="2"/>
        <v>45399</v>
      </c>
      <c r="AW20" s="354">
        <f>+Общо!AW20</f>
        <v>0</v>
      </c>
      <c r="AX20" s="354">
        <f>+Общо!AX20</f>
        <v>0</v>
      </c>
      <c r="AY20" s="353">
        <v>78.251800542401213</v>
      </c>
      <c r="BA20" s="329">
        <f t="shared" si="3"/>
        <v>45399</v>
      </c>
      <c r="BB20" s="355">
        <f>+Общо!BB20</f>
        <v>0</v>
      </c>
      <c r="BC20" s="353">
        <f>+Общо!BC20</f>
        <v>0</v>
      </c>
      <c r="BD20" s="359">
        <f>+Общо!BD20</f>
        <v>0</v>
      </c>
      <c r="BF20" s="329">
        <f t="shared" si="4"/>
        <v>45399</v>
      </c>
      <c r="BG20" s="357">
        <f>+Общо!BG20</f>
        <v>0</v>
      </c>
      <c r="BH20" s="357">
        <f>+Общо!BH20</f>
        <v>0</v>
      </c>
      <c r="BI20" s="357">
        <f>+Общо!BI20</f>
        <v>0</v>
      </c>
      <c r="BJ20" s="357">
        <f>+Общо!BJ20</f>
        <v>0</v>
      </c>
      <c r="BK20" s="357">
        <f>+Общо!BK20</f>
        <v>0</v>
      </c>
      <c r="BL20" s="357">
        <f>+Общо!BL20</f>
        <v>0</v>
      </c>
      <c r="BM20" s="357">
        <f>+Общо!BM20</f>
        <v>0</v>
      </c>
      <c r="BN20" s="357">
        <f>+Общо!BN20</f>
        <v>0</v>
      </c>
      <c r="BO20" s="358">
        <f>+Общо!BO20</f>
        <v>0</v>
      </c>
      <c r="BQ20" s="329">
        <f t="shared" si="5"/>
        <v>45399</v>
      </c>
      <c r="BR20" s="357">
        <f>+Общо!BR20</f>
        <v>0</v>
      </c>
      <c r="BS20" s="357">
        <f>+Общо!BS20</f>
        <v>0</v>
      </c>
      <c r="BT20" s="357">
        <f>+Общо!BT20</f>
        <v>0</v>
      </c>
      <c r="BU20" s="357">
        <f>+Общо!BU20</f>
        <v>0</v>
      </c>
      <c r="BV20" s="357">
        <f>+Общо!BV20</f>
        <v>0</v>
      </c>
      <c r="BW20" s="357">
        <f>+Общо!BW20</f>
        <v>0</v>
      </c>
      <c r="BX20" s="357">
        <f>+Общо!BX20</f>
        <v>0</v>
      </c>
      <c r="BY20" s="357">
        <f>+Общо!BY20</f>
        <v>0</v>
      </c>
      <c r="BZ20" s="358">
        <f>+Общо!BZ20</f>
        <v>0</v>
      </c>
      <c r="CB20" s="329">
        <f t="shared" si="6"/>
        <v>45399</v>
      </c>
      <c r="CC20" s="357">
        <f>+Общо!CC20</f>
        <v>0</v>
      </c>
      <c r="CD20" s="357">
        <f>+Общо!CD20</f>
        <v>0</v>
      </c>
      <c r="CE20" s="357">
        <f>+Общо!CE20</f>
        <v>0</v>
      </c>
      <c r="CF20" s="357">
        <f>+Общо!CF20</f>
        <v>0</v>
      </c>
      <c r="CG20" s="357">
        <f>+Общо!CG20</f>
        <v>0</v>
      </c>
      <c r="CH20" s="357">
        <f>+Общо!CH20</f>
        <v>0</v>
      </c>
      <c r="CI20" s="357">
        <f>+Общо!CI20</f>
        <v>0</v>
      </c>
      <c r="CJ20" s="357">
        <f>+Общо!CJ20</f>
        <v>0</v>
      </c>
      <c r="CK20" s="358">
        <f>+Общо!CK20</f>
        <v>0</v>
      </c>
    </row>
    <row r="21" spans="2:89" x14ac:dyDescent="0.25">
      <c r="B21" s="47">
        <f t="shared" si="0"/>
        <v>45400</v>
      </c>
      <c r="C21" s="333">
        <f>+Общо!C21</f>
        <v>0</v>
      </c>
      <c r="D21" s="334">
        <f>+Общо!D21</f>
        <v>0</v>
      </c>
      <c r="E21" s="334">
        <f>+Общо!E21</f>
        <v>0</v>
      </c>
      <c r="F21" s="334">
        <f>+Общо!F21</f>
        <v>0</v>
      </c>
      <c r="G21" s="335">
        <f>+Общо!G21</f>
        <v>0</v>
      </c>
      <c r="H21" s="335">
        <f>+Общо!H21</f>
        <v>0</v>
      </c>
      <c r="I21" s="335">
        <f>+Общо!I21</f>
        <v>0</v>
      </c>
      <c r="J21" s="335">
        <f>+Общо!J21</f>
        <v>0</v>
      </c>
      <c r="K21" s="335">
        <f>+Общо!K21</f>
        <v>0</v>
      </c>
      <c r="L21" s="335">
        <f>+Общо!L21</f>
        <v>0</v>
      </c>
      <c r="M21" s="335">
        <f>+Общо!M21</f>
        <v>0</v>
      </c>
      <c r="N21" s="335">
        <f>+Общо!N21</f>
        <v>0</v>
      </c>
      <c r="O21" s="335">
        <f>+Общо!O21</f>
        <v>0</v>
      </c>
      <c r="P21" s="335">
        <f>+Общо!P21</f>
        <v>0</v>
      </c>
      <c r="Q21" s="335">
        <f>+Общо!Q21</f>
        <v>0</v>
      </c>
      <c r="R21" s="335">
        <f>+Общо!R21</f>
        <v>0</v>
      </c>
      <c r="S21" s="335">
        <f>+Общо!S21</f>
        <v>0</v>
      </c>
      <c r="T21" s="335">
        <f>+Общо!T21</f>
        <v>0</v>
      </c>
      <c r="U21" s="335">
        <f>+Общо!U21</f>
        <v>0</v>
      </c>
      <c r="V21" s="335">
        <f>+Общо!V21</f>
        <v>0</v>
      </c>
      <c r="W21" s="335">
        <f>+Общо!W21</f>
        <v>0</v>
      </c>
      <c r="X21" s="335">
        <f>+Общо!X21</f>
        <v>0</v>
      </c>
      <c r="Y21" s="336">
        <f>+Общо!Y21</f>
        <v>0</v>
      </c>
      <c r="Z21" s="337">
        <f>+Общо!Z21</f>
        <v>0</v>
      </c>
      <c r="AA21" s="333">
        <f>+Общо!AA21</f>
        <v>0</v>
      </c>
      <c r="AB21" s="336">
        <f>+Общо!AB21</f>
        <v>0</v>
      </c>
      <c r="AD21" s="342">
        <f>+Общо!AD21</f>
        <v>0</v>
      </c>
      <c r="AE21" s="342">
        <f>+Общо!AE21</f>
        <v>0</v>
      </c>
      <c r="AF21" s="342">
        <f>+Общо!AF21</f>
        <v>0</v>
      </c>
      <c r="AG21" s="343">
        <f>+Общо!AG21</f>
        <v>0</v>
      </c>
      <c r="AH21" s="344">
        <f>+Общо!AH21</f>
        <v>0</v>
      </c>
      <c r="AJ21" s="345">
        <f>+Общо!AJ21</f>
        <v>0</v>
      </c>
      <c r="AK21" s="346">
        <f>+Общо!AK21</f>
        <v>0</v>
      </c>
      <c r="AL21" s="347">
        <f>+Общо!AL21</f>
        <v>0</v>
      </c>
      <c r="AM21" s="348">
        <f>+Общо!AM21</f>
        <v>0</v>
      </c>
      <c r="AN21" s="349">
        <f>+Общо!AN21</f>
        <v>0</v>
      </c>
      <c r="AP21" s="329">
        <f t="shared" si="1"/>
        <v>45400</v>
      </c>
      <c r="AQ21" s="353">
        <f>+Общо!AQ21</f>
        <v>58.84</v>
      </c>
      <c r="AR21" s="353">
        <f>+Общо!AR21</f>
        <v>0</v>
      </c>
      <c r="AS21" s="332">
        <f>+Общо!AS21</f>
        <v>0</v>
      </c>
      <c r="AT21" s="353">
        <v>0</v>
      </c>
      <c r="AV21" s="329">
        <f t="shared" si="2"/>
        <v>45400</v>
      </c>
      <c r="AW21" s="353">
        <f>+Общо!AW21</f>
        <v>0</v>
      </c>
      <c r="AX21" s="353">
        <f>+Общо!AX21</f>
        <v>0</v>
      </c>
      <c r="AY21" s="353">
        <v>0</v>
      </c>
      <c r="BA21" s="329">
        <f t="shared" si="3"/>
        <v>45400</v>
      </c>
      <c r="BB21" s="355">
        <f>+Общо!BB21</f>
        <v>0</v>
      </c>
      <c r="BC21" s="353">
        <f>+Общо!BC21</f>
        <v>0</v>
      </c>
      <c r="BD21" s="359">
        <f>+Общо!BD21</f>
        <v>0</v>
      </c>
      <c r="BF21" s="329">
        <f t="shared" si="4"/>
        <v>45400</v>
      </c>
      <c r="BG21" s="357">
        <f>+Общо!BG21</f>
        <v>0</v>
      </c>
      <c r="BH21" s="357">
        <f>+Общо!BH21</f>
        <v>0</v>
      </c>
      <c r="BI21" s="357">
        <f>+Общо!BI21</f>
        <v>0</v>
      </c>
      <c r="BJ21" s="357">
        <f>+Общо!BJ21</f>
        <v>0</v>
      </c>
      <c r="BK21" s="357">
        <f>+Общо!BK21</f>
        <v>0</v>
      </c>
      <c r="BL21" s="357">
        <f>+Общо!BL21</f>
        <v>0</v>
      </c>
      <c r="BM21" s="357">
        <f>+Общо!BM21</f>
        <v>0</v>
      </c>
      <c r="BN21" s="357">
        <f>+Общо!BN21</f>
        <v>0</v>
      </c>
      <c r="BO21" s="358">
        <f>+Общо!BO21</f>
        <v>0</v>
      </c>
      <c r="BQ21" s="329">
        <f t="shared" si="5"/>
        <v>45400</v>
      </c>
      <c r="BR21" s="357">
        <f>+Общо!BR21</f>
        <v>0</v>
      </c>
      <c r="BS21" s="357">
        <f>+Общо!BS21</f>
        <v>0</v>
      </c>
      <c r="BT21" s="357">
        <f>+Общо!BT21</f>
        <v>0</v>
      </c>
      <c r="BU21" s="357">
        <f>+Общо!BU21</f>
        <v>0</v>
      </c>
      <c r="BV21" s="357">
        <f>+Общо!BV21</f>
        <v>0</v>
      </c>
      <c r="BW21" s="357">
        <f>+Общо!BW21</f>
        <v>0</v>
      </c>
      <c r="BX21" s="357">
        <f>+Общо!BX21</f>
        <v>0</v>
      </c>
      <c r="BY21" s="357">
        <f>+Общо!BY21</f>
        <v>0</v>
      </c>
      <c r="BZ21" s="358">
        <f>+Общо!BZ21</f>
        <v>0</v>
      </c>
      <c r="CB21" s="329">
        <f t="shared" si="6"/>
        <v>45400</v>
      </c>
      <c r="CC21" s="357">
        <f>+Общо!CC21</f>
        <v>0</v>
      </c>
      <c r="CD21" s="357">
        <f>+Общо!CD21</f>
        <v>0</v>
      </c>
      <c r="CE21" s="357">
        <f>+Общо!CE21</f>
        <v>0</v>
      </c>
      <c r="CF21" s="357">
        <f>+Общо!CF21</f>
        <v>0</v>
      </c>
      <c r="CG21" s="357">
        <f>+Общо!CG21</f>
        <v>0</v>
      </c>
      <c r="CH21" s="357">
        <f>+Общо!CH21</f>
        <v>0</v>
      </c>
      <c r="CI21" s="357">
        <f>+Общо!CI21</f>
        <v>0</v>
      </c>
      <c r="CJ21" s="357">
        <f>+Общо!CJ21</f>
        <v>0</v>
      </c>
      <c r="CK21" s="358">
        <f>+Общо!CK21</f>
        <v>0</v>
      </c>
    </row>
    <row r="22" spans="2:89" x14ac:dyDescent="0.25">
      <c r="B22" s="47">
        <f t="shared" si="0"/>
        <v>45401</v>
      </c>
      <c r="C22" s="333">
        <f>+Общо!C22</f>
        <v>0</v>
      </c>
      <c r="D22" s="334">
        <f>+Общо!D22</f>
        <v>0</v>
      </c>
      <c r="E22" s="334">
        <f>+Общо!E22</f>
        <v>0</v>
      </c>
      <c r="F22" s="334">
        <f>+Общо!F22</f>
        <v>0</v>
      </c>
      <c r="G22" s="335">
        <f>+Общо!G22</f>
        <v>0</v>
      </c>
      <c r="H22" s="335">
        <f>+Общо!H22</f>
        <v>0</v>
      </c>
      <c r="I22" s="335">
        <f>+Общо!I22</f>
        <v>0</v>
      </c>
      <c r="J22" s="335">
        <f>+Общо!J22</f>
        <v>0</v>
      </c>
      <c r="K22" s="335">
        <f>+Общо!K22</f>
        <v>0</v>
      </c>
      <c r="L22" s="335">
        <f>+Общо!L22</f>
        <v>0</v>
      </c>
      <c r="M22" s="335">
        <f>+Общо!M22</f>
        <v>0</v>
      </c>
      <c r="N22" s="335">
        <f>+Общо!N22</f>
        <v>0</v>
      </c>
      <c r="O22" s="335">
        <f>+Общо!O22</f>
        <v>0</v>
      </c>
      <c r="P22" s="335">
        <f>+Общо!P22</f>
        <v>0</v>
      </c>
      <c r="Q22" s="335">
        <f>+Общо!Q22</f>
        <v>0</v>
      </c>
      <c r="R22" s="335">
        <f>+Общо!R22</f>
        <v>0</v>
      </c>
      <c r="S22" s="335">
        <f>+Общо!S22</f>
        <v>0</v>
      </c>
      <c r="T22" s="335">
        <f>+Общо!T22</f>
        <v>0</v>
      </c>
      <c r="U22" s="335">
        <f>+Общо!U22</f>
        <v>0</v>
      </c>
      <c r="V22" s="335">
        <f>+Общо!V22</f>
        <v>0</v>
      </c>
      <c r="W22" s="335">
        <f>+Общо!W22</f>
        <v>0</v>
      </c>
      <c r="X22" s="335">
        <f>+Общо!X22</f>
        <v>0</v>
      </c>
      <c r="Y22" s="336">
        <f>+Общо!Y22</f>
        <v>0</v>
      </c>
      <c r="Z22" s="337">
        <f>+Общо!Z22</f>
        <v>0</v>
      </c>
      <c r="AA22" s="333">
        <f>+Общо!AA22</f>
        <v>0</v>
      </c>
      <c r="AB22" s="336">
        <f>+Общо!AB22</f>
        <v>0</v>
      </c>
      <c r="AD22" s="342">
        <f>+Общо!AD22</f>
        <v>0</v>
      </c>
      <c r="AE22" s="342">
        <f>+Общо!AE22</f>
        <v>0</v>
      </c>
      <c r="AF22" s="342">
        <f>+Общо!AF22</f>
        <v>0</v>
      </c>
      <c r="AG22" s="343">
        <f>+Общо!AG22</f>
        <v>0</v>
      </c>
      <c r="AH22" s="344">
        <f>+Общо!AH22</f>
        <v>0</v>
      </c>
      <c r="AJ22" s="345">
        <f>+Общо!AJ22</f>
        <v>0</v>
      </c>
      <c r="AK22" s="346">
        <f>+Общо!AK22</f>
        <v>0</v>
      </c>
      <c r="AL22" s="347">
        <f>+Общо!AL22</f>
        <v>0</v>
      </c>
      <c r="AM22" s="348">
        <f>+Общо!AM22</f>
        <v>0</v>
      </c>
      <c r="AN22" s="349">
        <f>+Общо!AN22</f>
        <v>0</v>
      </c>
      <c r="AP22" s="329">
        <f t="shared" si="1"/>
        <v>45401</v>
      </c>
      <c r="AQ22" s="353">
        <f>+Общо!AQ22</f>
        <v>58.84</v>
      </c>
      <c r="AR22" s="353">
        <f>+Общо!AR22</f>
        <v>0</v>
      </c>
      <c r="AS22" s="332">
        <f>+Общо!AS22</f>
        <v>0</v>
      </c>
      <c r="AT22" s="353">
        <v>0</v>
      </c>
      <c r="AV22" s="329">
        <f t="shared" si="2"/>
        <v>45401</v>
      </c>
      <c r="AW22" s="353">
        <f>+Общо!AW22</f>
        <v>0</v>
      </c>
      <c r="AX22" s="353">
        <f>+Общо!AX22</f>
        <v>0</v>
      </c>
      <c r="AY22" s="353">
        <v>0</v>
      </c>
      <c r="BA22" s="329">
        <f t="shared" si="3"/>
        <v>45401</v>
      </c>
      <c r="BB22" s="355">
        <f>+Общо!BB22</f>
        <v>0</v>
      </c>
      <c r="BC22" s="353">
        <f>+Общо!BC22</f>
        <v>0</v>
      </c>
      <c r="BD22" s="359">
        <f>+Общо!BD22</f>
        <v>0</v>
      </c>
      <c r="BF22" s="329">
        <f t="shared" si="4"/>
        <v>45401</v>
      </c>
      <c r="BG22" s="357">
        <f>+Общо!BG22</f>
        <v>0</v>
      </c>
      <c r="BH22" s="357">
        <f>+Общо!BH22</f>
        <v>0</v>
      </c>
      <c r="BI22" s="357">
        <f>+Общо!BI22</f>
        <v>0</v>
      </c>
      <c r="BJ22" s="357">
        <f>+Общо!BJ22</f>
        <v>0</v>
      </c>
      <c r="BK22" s="357">
        <f>+Общо!BK22</f>
        <v>0</v>
      </c>
      <c r="BL22" s="357">
        <f>+Общо!BL22</f>
        <v>0</v>
      </c>
      <c r="BM22" s="357">
        <f>+Общо!BM22</f>
        <v>0</v>
      </c>
      <c r="BN22" s="357">
        <f>+Общо!BN22</f>
        <v>0</v>
      </c>
      <c r="BO22" s="358">
        <f>+Общо!BO22</f>
        <v>0</v>
      </c>
      <c r="BQ22" s="329">
        <f t="shared" si="5"/>
        <v>45401</v>
      </c>
      <c r="BR22" s="357">
        <f>+Общо!BR22</f>
        <v>0</v>
      </c>
      <c r="BS22" s="357">
        <f>+Общо!BS22</f>
        <v>0</v>
      </c>
      <c r="BT22" s="357">
        <f>+Общо!BT22</f>
        <v>0</v>
      </c>
      <c r="BU22" s="357">
        <f>+Общо!BU22</f>
        <v>0</v>
      </c>
      <c r="BV22" s="357">
        <f>+Общо!BV22</f>
        <v>0</v>
      </c>
      <c r="BW22" s="357">
        <f>+Общо!BW22</f>
        <v>0</v>
      </c>
      <c r="BX22" s="357">
        <f>+Общо!BX22</f>
        <v>0</v>
      </c>
      <c r="BY22" s="357">
        <f>+Общо!BY22</f>
        <v>0</v>
      </c>
      <c r="BZ22" s="358">
        <f>+Общо!BZ22</f>
        <v>0</v>
      </c>
      <c r="CB22" s="329">
        <f t="shared" si="6"/>
        <v>45401</v>
      </c>
      <c r="CC22" s="357">
        <f>+Общо!CC22</f>
        <v>0</v>
      </c>
      <c r="CD22" s="357">
        <f>+Общо!CD22</f>
        <v>0</v>
      </c>
      <c r="CE22" s="357">
        <f>+Общо!CE22</f>
        <v>0</v>
      </c>
      <c r="CF22" s="357">
        <f>+Общо!CF22</f>
        <v>0</v>
      </c>
      <c r="CG22" s="357">
        <f>+Общо!CG22</f>
        <v>0</v>
      </c>
      <c r="CH22" s="357">
        <f>+Общо!CH22</f>
        <v>0</v>
      </c>
      <c r="CI22" s="357">
        <f>+Общо!CI22</f>
        <v>0</v>
      </c>
      <c r="CJ22" s="357">
        <f>+Общо!CJ22</f>
        <v>0</v>
      </c>
      <c r="CK22" s="358">
        <f>+Общо!CK22</f>
        <v>0</v>
      </c>
    </row>
    <row r="23" spans="2:89" x14ac:dyDescent="0.25">
      <c r="B23" s="47">
        <f t="shared" si="0"/>
        <v>45402</v>
      </c>
      <c r="C23" s="333">
        <f>+Общо!C23</f>
        <v>0</v>
      </c>
      <c r="D23" s="334">
        <f>+Общо!D23</f>
        <v>0</v>
      </c>
      <c r="E23" s="334">
        <f>+Общо!E23</f>
        <v>0</v>
      </c>
      <c r="F23" s="334">
        <f>+Общо!F23</f>
        <v>0</v>
      </c>
      <c r="G23" s="335">
        <f>+Общо!G23</f>
        <v>0</v>
      </c>
      <c r="H23" s="335">
        <f>+Общо!H23</f>
        <v>0</v>
      </c>
      <c r="I23" s="335">
        <f>+Общо!I23</f>
        <v>0</v>
      </c>
      <c r="J23" s="335">
        <f>+Общо!J23</f>
        <v>0</v>
      </c>
      <c r="K23" s="335">
        <f>+Общо!K23</f>
        <v>0</v>
      </c>
      <c r="L23" s="335">
        <f>+Общо!L23</f>
        <v>0</v>
      </c>
      <c r="M23" s="335">
        <f>+Общо!M23</f>
        <v>0</v>
      </c>
      <c r="N23" s="335">
        <f>+Общо!N23</f>
        <v>0</v>
      </c>
      <c r="O23" s="335">
        <f>+Общо!O23</f>
        <v>0</v>
      </c>
      <c r="P23" s="335">
        <f>+Общо!P23</f>
        <v>0</v>
      </c>
      <c r="Q23" s="335">
        <f>+Общо!Q23</f>
        <v>0</v>
      </c>
      <c r="R23" s="335">
        <f>+Общо!R23</f>
        <v>0</v>
      </c>
      <c r="S23" s="335">
        <f>+Общо!S23</f>
        <v>0</v>
      </c>
      <c r="T23" s="335">
        <f>+Общо!T23</f>
        <v>0</v>
      </c>
      <c r="U23" s="335">
        <f>+Общо!U23</f>
        <v>0</v>
      </c>
      <c r="V23" s="335">
        <f>+Общо!V23</f>
        <v>0</v>
      </c>
      <c r="W23" s="335">
        <f>+Общо!W23</f>
        <v>0</v>
      </c>
      <c r="X23" s="335">
        <f>+Общо!X23</f>
        <v>0</v>
      </c>
      <c r="Y23" s="336">
        <f>+Общо!Y23</f>
        <v>0</v>
      </c>
      <c r="Z23" s="337">
        <f>+Общо!Z23</f>
        <v>0</v>
      </c>
      <c r="AA23" s="333">
        <f>+Общо!AA23</f>
        <v>0</v>
      </c>
      <c r="AB23" s="336">
        <f>+Общо!AB23</f>
        <v>0</v>
      </c>
      <c r="AD23" s="342">
        <f>+Общо!AD23</f>
        <v>0</v>
      </c>
      <c r="AE23" s="342">
        <f>+Общо!AE23</f>
        <v>0</v>
      </c>
      <c r="AF23" s="342">
        <f>+Общо!AF23</f>
        <v>0</v>
      </c>
      <c r="AG23" s="343">
        <f>+Общо!AG23</f>
        <v>0</v>
      </c>
      <c r="AH23" s="344">
        <f>+Общо!AH23</f>
        <v>0</v>
      </c>
      <c r="AJ23" s="345">
        <f>+Общо!AJ23</f>
        <v>0</v>
      </c>
      <c r="AK23" s="346">
        <f>+Общо!AK23</f>
        <v>0</v>
      </c>
      <c r="AL23" s="347">
        <f>+Общо!AL23</f>
        <v>0</v>
      </c>
      <c r="AM23" s="348">
        <f>+Общо!AM23</f>
        <v>0</v>
      </c>
      <c r="AN23" s="349">
        <f>+Общо!AN23</f>
        <v>0</v>
      </c>
      <c r="AP23" s="329">
        <f t="shared" si="1"/>
        <v>45402</v>
      </c>
      <c r="AQ23" s="353">
        <f>+Общо!AQ23</f>
        <v>58.84</v>
      </c>
      <c r="AR23" s="353">
        <f>+Общо!AR23</f>
        <v>0</v>
      </c>
      <c r="AS23" s="332">
        <f>+Общо!AS23</f>
        <v>0</v>
      </c>
      <c r="AT23" s="353">
        <v>0</v>
      </c>
      <c r="AV23" s="329">
        <f t="shared" si="2"/>
        <v>45402</v>
      </c>
      <c r="AW23" s="353">
        <f>+Общо!AW23</f>
        <v>0</v>
      </c>
      <c r="AX23" s="353">
        <f>+Общо!AX23</f>
        <v>0</v>
      </c>
      <c r="AY23" s="353">
        <v>0</v>
      </c>
      <c r="BA23" s="329">
        <f t="shared" si="3"/>
        <v>45402</v>
      </c>
      <c r="BB23" s="355">
        <f>+Общо!BB23</f>
        <v>0</v>
      </c>
      <c r="BC23" s="353">
        <f>+Общо!BC23</f>
        <v>0</v>
      </c>
      <c r="BD23" s="359">
        <f>+Общо!BD23</f>
        <v>0</v>
      </c>
      <c r="BF23" s="329">
        <f t="shared" si="4"/>
        <v>45402</v>
      </c>
      <c r="BG23" s="357">
        <f>+Общо!BG23</f>
        <v>0</v>
      </c>
      <c r="BH23" s="357">
        <f>+Общо!BH23</f>
        <v>0</v>
      </c>
      <c r="BI23" s="357">
        <f>+Общо!BI23</f>
        <v>0</v>
      </c>
      <c r="BJ23" s="357">
        <f>+Общо!BJ23</f>
        <v>0</v>
      </c>
      <c r="BK23" s="357">
        <f>+Общо!BK23</f>
        <v>0</v>
      </c>
      <c r="BL23" s="357">
        <f>+Общо!BL23</f>
        <v>0</v>
      </c>
      <c r="BM23" s="357">
        <f>+Общо!BM23</f>
        <v>0</v>
      </c>
      <c r="BN23" s="357">
        <f>+Общо!BN23</f>
        <v>0</v>
      </c>
      <c r="BO23" s="358">
        <f>+Общо!BO23</f>
        <v>0</v>
      </c>
      <c r="BQ23" s="329">
        <f t="shared" si="5"/>
        <v>45402</v>
      </c>
      <c r="BR23" s="357">
        <f>+Общо!BR23</f>
        <v>0</v>
      </c>
      <c r="BS23" s="357">
        <f>+Общо!BS23</f>
        <v>0</v>
      </c>
      <c r="BT23" s="357">
        <f>+Общо!BT23</f>
        <v>0</v>
      </c>
      <c r="BU23" s="357">
        <f>+Общо!BU23</f>
        <v>0</v>
      </c>
      <c r="BV23" s="357">
        <f>+Общо!BV23</f>
        <v>0</v>
      </c>
      <c r="BW23" s="357">
        <f>+Общо!BW23</f>
        <v>0</v>
      </c>
      <c r="BX23" s="357">
        <f>+Общо!BX23</f>
        <v>0</v>
      </c>
      <c r="BY23" s="357">
        <f>+Общо!BY23</f>
        <v>0</v>
      </c>
      <c r="BZ23" s="358">
        <f>+Общо!BZ23</f>
        <v>0</v>
      </c>
      <c r="CB23" s="329">
        <f t="shared" si="6"/>
        <v>45402</v>
      </c>
      <c r="CC23" s="357">
        <f>+Общо!CC23</f>
        <v>0</v>
      </c>
      <c r="CD23" s="357">
        <f>+Общо!CD23</f>
        <v>0</v>
      </c>
      <c r="CE23" s="357">
        <f>+Общо!CE23</f>
        <v>0</v>
      </c>
      <c r="CF23" s="357">
        <f>+Общо!CF23</f>
        <v>0</v>
      </c>
      <c r="CG23" s="357">
        <f>+Общо!CG23</f>
        <v>0</v>
      </c>
      <c r="CH23" s="357">
        <f>+Общо!CH23</f>
        <v>0</v>
      </c>
      <c r="CI23" s="357">
        <f>+Общо!CI23</f>
        <v>0</v>
      </c>
      <c r="CJ23" s="357">
        <f>+Общо!CJ23</f>
        <v>0</v>
      </c>
      <c r="CK23" s="358">
        <f>+Общо!CK23</f>
        <v>0</v>
      </c>
    </row>
    <row r="24" spans="2:89" x14ac:dyDescent="0.25">
      <c r="B24" s="47">
        <f t="shared" si="0"/>
        <v>45403</v>
      </c>
      <c r="C24" s="333">
        <f>+Общо!C24</f>
        <v>0</v>
      </c>
      <c r="D24" s="334">
        <f>+Общо!D24</f>
        <v>0</v>
      </c>
      <c r="E24" s="334">
        <f>+Общо!E24</f>
        <v>0</v>
      </c>
      <c r="F24" s="334">
        <f>+Общо!F24</f>
        <v>0</v>
      </c>
      <c r="G24" s="335">
        <f>+Общо!G24</f>
        <v>0</v>
      </c>
      <c r="H24" s="335">
        <f>+Общо!H24</f>
        <v>0</v>
      </c>
      <c r="I24" s="335">
        <f>+Общо!I24</f>
        <v>0</v>
      </c>
      <c r="J24" s="335">
        <f>+Общо!J24</f>
        <v>0</v>
      </c>
      <c r="K24" s="335">
        <f>+Общо!K24</f>
        <v>0</v>
      </c>
      <c r="L24" s="335">
        <f>+Общо!L24</f>
        <v>0</v>
      </c>
      <c r="M24" s="335">
        <f>+Общо!M24</f>
        <v>0</v>
      </c>
      <c r="N24" s="335">
        <f>+Общо!N24</f>
        <v>0</v>
      </c>
      <c r="O24" s="335">
        <f>+Общо!O24</f>
        <v>0</v>
      </c>
      <c r="P24" s="335">
        <f>+Общо!P24</f>
        <v>0</v>
      </c>
      <c r="Q24" s="335">
        <f>+Общо!Q24</f>
        <v>0</v>
      </c>
      <c r="R24" s="335">
        <f>+Общо!R24</f>
        <v>0</v>
      </c>
      <c r="S24" s="335">
        <f>+Общо!S24</f>
        <v>0</v>
      </c>
      <c r="T24" s="335">
        <f>+Общо!T24</f>
        <v>0</v>
      </c>
      <c r="U24" s="335">
        <f>+Общо!U24</f>
        <v>0</v>
      </c>
      <c r="V24" s="335">
        <f>+Общо!V24</f>
        <v>0</v>
      </c>
      <c r="W24" s="335">
        <f>+Общо!W24</f>
        <v>0</v>
      </c>
      <c r="X24" s="335">
        <f>+Общо!X24</f>
        <v>0</v>
      </c>
      <c r="Y24" s="336">
        <f>+Общо!Y24</f>
        <v>0</v>
      </c>
      <c r="Z24" s="337">
        <f>+Общо!Z24</f>
        <v>0</v>
      </c>
      <c r="AA24" s="333">
        <f>+Общо!AA24</f>
        <v>0</v>
      </c>
      <c r="AB24" s="336">
        <f>+Общо!AB24</f>
        <v>0</v>
      </c>
      <c r="AD24" s="342">
        <f>+Общо!AD24</f>
        <v>0</v>
      </c>
      <c r="AE24" s="342">
        <f>+Общо!AE24</f>
        <v>0</v>
      </c>
      <c r="AF24" s="342">
        <f>+Общо!AF24</f>
        <v>0</v>
      </c>
      <c r="AG24" s="343">
        <f>+Общо!AG24</f>
        <v>0</v>
      </c>
      <c r="AH24" s="344">
        <f>+Общо!AH24</f>
        <v>0</v>
      </c>
      <c r="AJ24" s="345">
        <f>+Общо!AJ24</f>
        <v>0</v>
      </c>
      <c r="AK24" s="346">
        <f>+Общо!AK24</f>
        <v>0</v>
      </c>
      <c r="AL24" s="347">
        <f>+Общо!AL24</f>
        <v>0</v>
      </c>
      <c r="AM24" s="348">
        <f>+Общо!AM24</f>
        <v>0</v>
      </c>
      <c r="AN24" s="349">
        <f>+Общо!AN24</f>
        <v>0</v>
      </c>
      <c r="AO24" s="4"/>
      <c r="AP24" s="329">
        <f t="shared" si="1"/>
        <v>45403</v>
      </c>
      <c r="AQ24" s="353">
        <f>+Общо!AQ24</f>
        <v>58.84</v>
      </c>
      <c r="AR24" s="353">
        <f>+Общо!AR24</f>
        <v>0</v>
      </c>
      <c r="AS24" s="332">
        <f>+Общо!AS24</f>
        <v>0</v>
      </c>
      <c r="AT24" s="353">
        <v>0</v>
      </c>
      <c r="AV24" s="329">
        <f t="shared" si="2"/>
        <v>45403</v>
      </c>
      <c r="AW24" s="353">
        <f>+Общо!AW24</f>
        <v>0</v>
      </c>
      <c r="AX24" s="353">
        <f>+Общо!AX24</f>
        <v>0</v>
      </c>
      <c r="AY24" s="353">
        <v>0</v>
      </c>
      <c r="BA24" s="329">
        <f t="shared" si="3"/>
        <v>45403</v>
      </c>
      <c r="BB24" s="355">
        <f>+Общо!BB24</f>
        <v>0</v>
      </c>
      <c r="BC24" s="353">
        <f>+Общо!BC24</f>
        <v>0</v>
      </c>
      <c r="BD24" s="359">
        <f>+Общо!BD24</f>
        <v>0</v>
      </c>
      <c r="BF24" s="329">
        <f t="shared" si="4"/>
        <v>45403</v>
      </c>
      <c r="BG24" s="357">
        <f>+Общо!BG24</f>
        <v>0</v>
      </c>
      <c r="BH24" s="357">
        <f>+Общо!BH24</f>
        <v>0</v>
      </c>
      <c r="BI24" s="357">
        <f>+Общо!BI24</f>
        <v>0</v>
      </c>
      <c r="BJ24" s="357">
        <f>+Общо!BJ24</f>
        <v>0</v>
      </c>
      <c r="BK24" s="357">
        <f>+Общо!BK24</f>
        <v>0</v>
      </c>
      <c r="BL24" s="357">
        <f>+Общо!BL24</f>
        <v>0</v>
      </c>
      <c r="BM24" s="357">
        <f>+Общо!BM24</f>
        <v>0</v>
      </c>
      <c r="BN24" s="357">
        <f>+Общо!BN24</f>
        <v>0</v>
      </c>
      <c r="BO24" s="358">
        <f>+Общо!BO24</f>
        <v>0</v>
      </c>
      <c r="BQ24" s="329">
        <f t="shared" si="5"/>
        <v>45403</v>
      </c>
      <c r="BR24" s="357">
        <f>+Общо!BR24</f>
        <v>0</v>
      </c>
      <c r="BS24" s="357">
        <f>+Общо!BS24</f>
        <v>0</v>
      </c>
      <c r="BT24" s="357">
        <f>+Общо!BT24</f>
        <v>0</v>
      </c>
      <c r="BU24" s="357">
        <f>+Общо!BU24</f>
        <v>0</v>
      </c>
      <c r="BV24" s="357">
        <f>+Общо!BV24</f>
        <v>0</v>
      </c>
      <c r="BW24" s="357">
        <f>+Общо!BW24</f>
        <v>0</v>
      </c>
      <c r="BX24" s="357">
        <f>+Общо!BX24</f>
        <v>0</v>
      </c>
      <c r="BY24" s="357">
        <f>+Общо!BY24</f>
        <v>0</v>
      </c>
      <c r="BZ24" s="358">
        <f>+Общо!BZ24</f>
        <v>0</v>
      </c>
      <c r="CB24" s="329">
        <f t="shared" si="6"/>
        <v>45403</v>
      </c>
      <c r="CC24" s="357">
        <f>+Общо!CC24</f>
        <v>0</v>
      </c>
      <c r="CD24" s="357">
        <f>+Общо!CD24</f>
        <v>0</v>
      </c>
      <c r="CE24" s="357">
        <f>+Общо!CE24</f>
        <v>0</v>
      </c>
      <c r="CF24" s="357">
        <f>+Общо!CF24</f>
        <v>0</v>
      </c>
      <c r="CG24" s="357">
        <f>+Общо!CG24</f>
        <v>0</v>
      </c>
      <c r="CH24" s="357">
        <f>+Общо!CH24</f>
        <v>0</v>
      </c>
      <c r="CI24" s="357">
        <f>+Общо!CI24</f>
        <v>0</v>
      </c>
      <c r="CJ24" s="357">
        <f>+Общо!CJ24</f>
        <v>0</v>
      </c>
      <c r="CK24" s="358">
        <f>+Общо!CK24</f>
        <v>0</v>
      </c>
    </row>
    <row r="25" spans="2:89" x14ac:dyDescent="0.25">
      <c r="B25" s="47">
        <f t="shared" si="0"/>
        <v>45404</v>
      </c>
      <c r="C25" s="333">
        <f>+Общо!C25</f>
        <v>0</v>
      </c>
      <c r="D25" s="334">
        <f>+Общо!D25</f>
        <v>0</v>
      </c>
      <c r="E25" s="334">
        <f>+Общо!E25</f>
        <v>0</v>
      </c>
      <c r="F25" s="334">
        <f>+Общо!F25</f>
        <v>0</v>
      </c>
      <c r="G25" s="335">
        <f>+Общо!G25</f>
        <v>0</v>
      </c>
      <c r="H25" s="335">
        <f>+Общо!H25</f>
        <v>0</v>
      </c>
      <c r="I25" s="335">
        <f>+Общо!I25</f>
        <v>0</v>
      </c>
      <c r="J25" s="335">
        <f>+Общо!J25</f>
        <v>0</v>
      </c>
      <c r="K25" s="335">
        <f>+Общо!K25</f>
        <v>0</v>
      </c>
      <c r="L25" s="335">
        <f>+Общо!L25</f>
        <v>0</v>
      </c>
      <c r="M25" s="335">
        <f>+Общо!M25</f>
        <v>0</v>
      </c>
      <c r="N25" s="335">
        <f>+Общо!N25</f>
        <v>0</v>
      </c>
      <c r="O25" s="335">
        <f>+Общо!O25</f>
        <v>0</v>
      </c>
      <c r="P25" s="335">
        <f>+Общо!P25</f>
        <v>0</v>
      </c>
      <c r="Q25" s="335">
        <f>+Общо!Q25</f>
        <v>0</v>
      </c>
      <c r="R25" s="335">
        <f>+Общо!R25</f>
        <v>0</v>
      </c>
      <c r="S25" s="335">
        <f>+Общо!S25</f>
        <v>0</v>
      </c>
      <c r="T25" s="335">
        <f>+Общо!T25</f>
        <v>0</v>
      </c>
      <c r="U25" s="335">
        <f>+Общо!U25</f>
        <v>0</v>
      </c>
      <c r="V25" s="335">
        <f>+Общо!V25</f>
        <v>0</v>
      </c>
      <c r="W25" s="335">
        <f>+Общо!W25</f>
        <v>0</v>
      </c>
      <c r="X25" s="335">
        <f>+Общо!X25</f>
        <v>0</v>
      </c>
      <c r="Y25" s="336">
        <f>+Общо!Y25</f>
        <v>0</v>
      </c>
      <c r="Z25" s="337">
        <f>+Общо!Z25</f>
        <v>0</v>
      </c>
      <c r="AA25" s="333">
        <f>+Общо!AA25</f>
        <v>0</v>
      </c>
      <c r="AB25" s="336">
        <f>+Общо!AB25</f>
        <v>0</v>
      </c>
      <c r="AD25" s="342">
        <f>+Общо!AD25</f>
        <v>0</v>
      </c>
      <c r="AE25" s="342">
        <f>+Общо!AE25</f>
        <v>0</v>
      </c>
      <c r="AF25" s="342">
        <f>+Общо!AF25</f>
        <v>0</v>
      </c>
      <c r="AG25" s="343">
        <f>+Общо!AG25</f>
        <v>0</v>
      </c>
      <c r="AH25" s="344">
        <f>+Общо!AH25</f>
        <v>0</v>
      </c>
      <c r="AJ25" s="345">
        <f>+Общо!AJ25</f>
        <v>0</v>
      </c>
      <c r="AK25" s="346">
        <f>+Общо!AK25</f>
        <v>0</v>
      </c>
      <c r="AL25" s="347">
        <f>+Общо!AL25</f>
        <v>0</v>
      </c>
      <c r="AM25" s="348">
        <f>+Общо!AM25</f>
        <v>0</v>
      </c>
      <c r="AN25" s="349">
        <f>+Общо!AN25</f>
        <v>0</v>
      </c>
      <c r="AP25" s="329">
        <f t="shared" si="1"/>
        <v>45404</v>
      </c>
      <c r="AQ25" s="353">
        <f>+Общо!AQ25</f>
        <v>58.84</v>
      </c>
      <c r="AR25" s="353">
        <f>+Общо!AR25</f>
        <v>0</v>
      </c>
      <c r="AS25" s="332">
        <f>+Общо!AS25</f>
        <v>0</v>
      </c>
      <c r="AT25" s="353">
        <v>0</v>
      </c>
      <c r="AV25" s="329">
        <f t="shared" si="2"/>
        <v>45404</v>
      </c>
      <c r="AW25" s="353">
        <f>+Общо!AW25</f>
        <v>0</v>
      </c>
      <c r="AX25" s="353">
        <f>+Общо!AX25</f>
        <v>0</v>
      </c>
      <c r="AY25" s="353">
        <v>0</v>
      </c>
      <c r="BA25" s="329">
        <f t="shared" si="3"/>
        <v>45404</v>
      </c>
      <c r="BB25" s="355">
        <f>+Общо!BB25</f>
        <v>0</v>
      </c>
      <c r="BC25" s="353">
        <f>+Общо!BC25</f>
        <v>0</v>
      </c>
      <c r="BD25" s="359">
        <f>+Общо!BD25</f>
        <v>0</v>
      </c>
      <c r="BF25" s="329">
        <f t="shared" si="4"/>
        <v>45404</v>
      </c>
      <c r="BG25" s="357">
        <f>+Общо!BG25</f>
        <v>0</v>
      </c>
      <c r="BH25" s="357">
        <f>+Общо!BH25</f>
        <v>0</v>
      </c>
      <c r="BI25" s="357">
        <f>+Общо!BI25</f>
        <v>0</v>
      </c>
      <c r="BJ25" s="357">
        <f>+Общо!BJ25</f>
        <v>0</v>
      </c>
      <c r="BK25" s="357">
        <f>+Общо!BK25</f>
        <v>0</v>
      </c>
      <c r="BL25" s="357">
        <f>+Общо!BL25</f>
        <v>0</v>
      </c>
      <c r="BM25" s="357">
        <f>+Общо!BM25</f>
        <v>0</v>
      </c>
      <c r="BN25" s="357">
        <f>+Общо!BN25</f>
        <v>0</v>
      </c>
      <c r="BO25" s="358">
        <f>+Общо!BO25</f>
        <v>0</v>
      </c>
      <c r="BQ25" s="329">
        <f t="shared" si="5"/>
        <v>45404</v>
      </c>
      <c r="BR25" s="357">
        <f>+Общо!BR25</f>
        <v>0</v>
      </c>
      <c r="BS25" s="357">
        <f>+Общо!BS25</f>
        <v>0</v>
      </c>
      <c r="BT25" s="357">
        <f>+Общо!BT25</f>
        <v>0</v>
      </c>
      <c r="BU25" s="357">
        <f>+Общо!BU25</f>
        <v>0</v>
      </c>
      <c r="BV25" s="357">
        <f>+Общо!BV25</f>
        <v>0</v>
      </c>
      <c r="BW25" s="357">
        <f>+Общо!BW25</f>
        <v>0</v>
      </c>
      <c r="BX25" s="357">
        <f>+Общо!BX25</f>
        <v>0</v>
      </c>
      <c r="BY25" s="357">
        <f>+Общо!BY25</f>
        <v>0</v>
      </c>
      <c r="BZ25" s="358">
        <f>+Общо!BZ25</f>
        <v>0</v>
      </c>
      <c r="CB25" s="329">
        <f t="shared" si="6"/>
        <v>45404</v>
      </c>
      <c r="CC25" s="357">
        <f>+Общо!CC25</f>
        <v>0</v>
      </c>
      <c r="CD25" s="357">
        <f>+Общо!CD25</f>
        <v>0</v>
      </c>
      <c r="CE25" s="357">
        <f>+Общо!CE25</f>
        <v>0</v>
      </c>
      <c r="CF25" s="357">
        <f>+Общо!CF25</f>
        <v>0</v>
      </c>
      <c r="CG25" s="357">
        <f>+Общо!CG25</f>
        <v>0</v>
      </c>
      <c r="CH25" s="357">
        <f>+Общо!CH25</f>
        <v>0</v>
      </c>
      <c r="CI25" s="357">
        <f>+Общо!CI25</f>
        <v>0</v>
      </c>
      <c r="CJ25" s="357">
        <f>+Общо!CJ25</f>
        <v>0</v>
      </c>
      <c r="CK25" s="358">
        <f>+Общо!CK25</f>
        <v>0</v>
      </c>
    </row>
    <row r="26" spans="2:89" x14ac:dyDescent="0.25">
      <c r="B26" s="47">
        <f t="shared" si="0"/>
        <v>45405</v>
      </c>
      <c r="C26" s="333">
        <f>+Общо!C26</f>
        <v>0</v>
      </c>
      <c r="D26" s="334">
        <f>+Общо!D26</f>
        <v>0</v>
      </c>
      <c r="E26" s="334">
        <f>+Общо!E26</f>
        <v>0</v>
      </c>
      <c r="F26" s="334">
        <f>+Общо!F26</f>
        <v>0</v>
      </c>
      <c r="G26" s="335">
        <f>+Общо!G26</f>
        <v>0</v>
      </c>
      <c r="H26" s="335">
        <f>+Общо!H26</f>
        <v>0</v>
      </c>
      <c r="I26" s="335">
        <f>+Общо!I26</f>
        <v>0</v>
      </c>
      <c r="J26" s="335">
        <f>+Общо!J26</f>
        <v>0</v>
      </c>
      <c r="K26" s="335">
        <f>+Общо!K26</f>
        <v>0</v>
      </c>
      <c r="L26" s="335">
        <f>+Общо!L26</f>
        <v>0</v>
      </c>
      <c r="M26" s="335">
        <f>+Общо!M26</f>
        <v>0</v>
      </c>
      <c r="N26" s="335">
        <f>+Общо!N26</f>
        <v>0</v>
      </c>
      <c r="O26" s="335">
        <f>+Общо!O26</f>
        <v>0</v>
      </c>
      <c r="P26" s="335">
        <f>+Общо!P26</f>
        <v>0</v>
      </c>
      <c r="Q26" s="335">
        <f>+Общо!Q26</f>
        <v>0</v>
      </c>
      <c r="R26" s="335">
        <f>+Общо!R26</f>
        <v>0</v>
      </c>
      <c r="S26" s="335">
        <f>+Общо!S26</f>
        <v>0</v>
      </c>
      <c r="T26" s="335">
        <f>+Общо!T26</f>
        <v>0</v>
      </c>
      <c r="U26" s="335">
        <f>+Общо!U26</f>
        <v>0</v>
      </c>
      <c r="V26" s="335">
        <f>+Общо!V26</f>
        <v>0</v>
      </c>
      <c r="W26" s="335">
        <f>+Общо!W26</f>
        <v>0</v>
      </c>
      <c r="X26" s="335">
        <f>+Общо!X26</f>
        <v>0</v>
      </c>
      <c r="Y26" s="336">
        <f>+Общо!Y26</f>
        <v>0</v>
      </c>
      <c r="Z26" s="337">
        <f>+Общо!Z26</f>
        <v>0</v>
      </c>
      <c r="AA26" s="333">
        <f>+Общо!AA26</f>
        <v>0</v>
      </c>
      <c r="AB26" s="336">
        <f>+Общо!AB26</f>
        <v>0</v>
      </c>
      <c r="AD26" s="342">
        <f>+Общо!AD26</f>
        <v>0</v>
      </c>
      <c r="AE26" s="342">
        <f>+Общо!AE26</f>
        <v>0</v>
      </c>
      <c r="AF26" s="342">
        <f>+Общо!AF26</f>
        <v>0</v>
      </c>
      <c r="AG26" s="343">
        <f>+Общо!AG26</f>
        <v>0</v>
      </c>
      <c r="AH26" s="344">
        <f>+Общо!AH26</f>
        <v>0</v>
      </c>
      <c r="AJ26" s="345">
        <f>+Общо!AJ26</f>
        <v>0</v>
      </c>
      <c r="AK26" s="346">
        <f>+Общо!AK26</f>
        <v>0</v>
      </c>
      <c r="AL26" s="347">
        <f>+Общо!AL26</f>
        <v>0</v>
      </c>
      <c r="AM26" s="348">
        <f>+Общо!AM26</f>
        <v>0</v>
      </c>
      <c r="AN26" s="349">
        <f>+Общо!AN26</f>
        <v>0</v>
      </c>
      <c r="AO26" s="4"/>
      <c r="AP26" s="329">
        <f t="shared" si="1"/>
        <v>45405</v>
      </c>
      <c r="AQ26" s="353">
        <f>+Общо!AQ26</f>
        <v>58.84</v>
      </c>
      <c r="AR26" s="353">
        <f>+Общо!AR26</f>
        <v>0</v>
      </c>
      <c r="AS26" s="332">
        <f>+Общо!AS26</f>
        <v>0</v>
      </c>
      <c r="AT26" s="353">
        <v>0</v>
      </c>
      <c r="AV26" s="329">
        <f t="shared" si="2"/>
        <v>45405</v>
      </c>
      <c r="AW26" s="353">
        <f>+Общо!AW26</f>
        <v>0</v>
      </c>
      <c r="AX26" s="353">
        <f>+Общо!AX26</f>
        <v>0</v>
      </c>
      <c r="AY26" s="353">
        <v>0</v>
      </c>
      <c r="BA26" s="329">
        <f t="shared" si="3"/>
        <v>45405</v>
      </c>
      <c r="BB26" s="355">
        <f>+Общо!BB26</f>
        <v>0</v>
      </c>
      <c r="BC26" s="353">
        <f>+Общо!BC26</f>
        <v>0</v>
      </c>
      <c r="BD26" s="359">
        <f>+Общо!BD26</f>
        <v>0</v>
      </c>
      <c r="BF26" s="329">
        <f t="shared" si="4"/>
        <v>45405</v>
      </c>
      <c r="BG26" s="357">
        <f>+Общо!BG26</f>
        <v>0</v>
      </c>
      <c r="BH26" s="357">
        <f>+Общо!BH26</f>
        <v>0</v>
      </c>
      <c r="BI26" s="357">
        <f>+Общо!BI26</f>
        <v>0</v>
      </c>
      <c r="BJ26" s="357">
        <f>+Общо!BJ26</f>
        <v>0</v>
      </c>
      <c r="BK26" s="357">
        <f>+Общо!BK26</f>
        <v>0</v>
      </c>
      <c r="BL26" s="357">
        <f>+Общо!BL26</f>
        <v>0</v>
      </c>
      <c r="BM26" s="357">
        <f>+Общо!BM26</f>
        <v>0</v>
      </c>
      <c r="BN26" s="357">
        <f>+Общо!BN26</f>
        <v>0</v>
      </c>
      <c r="BO26" s="358">
        <f>+Общо!BO26</f>
        <v>0</v>
      </c>
      <c r="BQ26" s="329">
        <f t="shared" si="5"/>
        <v>45405</v>
      </c>
      <c r="BR26" s="357">
        <f>+Общо!BR26</f>
        <v>0</v>
      </c>
      <c r="BS26" s="357">
        <f>+Общо!BS26</f>
        <v>0</v>
      </c>
      <c r="BT26" s="357">
        <f>+Общо!BT26</f>
        <v>0</v>
      </c>
      <c r="BU26" s="357">
        <f>+Общо!BU26</f>
        <v>0</v>
      </c>
      <c r="BV26" s="357">
        <f>+Общо!BV26</f>
        <v>0</v>
      </c>
      <c r="BW26" s="357">
        <f>+Общо!BW26</f>
        <v>0</v>
      </c>
      <c r="BX26" s="357">
        <f>+Общо!BX26</f>
        <v>0</v>
      </c>
      <c r="BY26" s="357">
        <f>+Общо!BY26</f>
        <v>0</v>
      </c>
      <c r="BZ26" s="358">
        <f>+Общо!BZ26</f>
        <v>0</v>
      </c>
      <c r="CB26" s="329">
        <f t="shared" si="6"/>
        <v>45405</v>
      </c>
      <c r="CC26" s="357">
        <f>+Общо!CC26</f>
        <v>0</v>
      </c>
      <c r="CD26" s="357">
        <f>+Общо!CD26</f>
        <v>0</v>
      </c>
      <c r="CE26" s="357">
        <f>+Общо!CE26</f>
        <v>0</v>
      </c>
      <c r="CF26" s="357">
        <f>+Общо!CF26</f>
        <v>0</v>
      </c>
      <c r="CG26" s="357">
        <f>+Общо!CG26</f>
        <v>0</v>
      </c>
      <c r="CH26" s="357">
        <f>+Общо!CH26</f>
        <v>0</v>
      </c>
      <c r="CI26" s="357">
        <f>+Общо!CI26</f>
        <v>0</v>
      </c>
      <c r="CJ26" s="357">
        <f>+Общо!CJ26</f>
        <v>0</v>
      </c>
      <c r="CK26" s="358">
        <f>+Общо!CK26</f>
        <v>0</v>
      </c>
    </row>
    <row r="27" spans="2:89" x14ac:dyDescent="0.25">
      <c r="B27" s="47">
        <f t="shared" si="0"/>
        <v>45406</v>
      </c>
      <c r="C27" s="333">
        <f>+Общо!C27</f>
        <v>0</v>
      </c>
      <c r="D27" s="334">
        <f>+Общо!D27</f>
        <v>0</v>
      </c>
      <c r="E27" s="334">
        <f>+Общо!E27</f>
        <v>0</v>
      </c>
      <c r="F27" s="334">
        <f>+Общо!F27</f>
        <v>0</v>
      </c>
      <c r="G27" s="335">
        <f>+Общо!G27</f>
        <v>0</v>
      </c>
      <c r="H27" s="335">
        <f>+Общо!H27</f>
        <v>0</v>
      </c>
      <c r="I27" s="335">
        <f>+Общо!I27</f>
        <v>0</v>
      </c>
      <c r="J27" s="335">
        <f>+Общо!J27</f>
        <v>0</v>
      </c>
      <c r="K27" s="335">
        <f>+Общо!K27</f>
        <v>0</v>
      </c>
      <c r="L27" s="335">
        <f>+Общо!L27</f>
        <v>0</v>
      </c>
      <c r="M27" s="335">
        <f>+Общо!M27</f>
        <v>0</v>
      </c>
      <c r="N27" s="335">
        <f>+Общо!N27</f>
        <v>0</v>
      </c>
      <c r="O27" s="335">
        <f>+Общо!O27</f>
        <v>0</v>
      </c>
      <c r="P27" s="335">
        <f>+Общо!P27</f>
        <v>0</v>
      </c>
      <c r="Q27" s="335">
        <f>+Общо!Q27</f>
        <v>0</v>
      </c>
      <c r="R27" s="335">
        <f>+Общо!R27</f>
        <v>0</v>
      </c>
      <c r="S27" s="335">
        <f>+Общо!S27</f>
        <v>0</v>
      </c>
      <c r="T27" s="335">
        <f>+Общо!T27</f>
        <v>0</v>
      </c>
      <c r="U27" s="335">
        <f>+Общо!U27</f>
        <v>0</v>
      </c>
      <c r="V27" s="335">
        <f>+Общо!V27</f>
        <v>0</v>
      </c>
      <c r="W27" s="335">
        <f>+Общо!W27</f>
        <v>0</v>
      </c>
      <c r="X27" s="335">
        <f>+Общо!X27</f>
        <v>0</v>
      </c>
      <c r="Y27" s="336">
        <f>+Общо!Y27</f>
        <v>0</v>
      </c>
      <c r="Z27" s="337">
        <f>+Общо!Z27</f>
        <v>0</v>
      </c>
      <c r="AA27" s="333">
        <f>+Общо!AA27</f>
        <v>0</v>
      </c>
      <c r="AB27" s="336">
        <f>+Общо!AB27</f>
        <v>0</v>
      </c>
      <c r="AD27" s="342">
        <f>+Общо!AD27</f>
        <v>0</v>
      </c>
      <c r="AE27" s="342">
        <f>+Общо!AE27</f>
        <v>0</v>
      </c>
      <c r="AF27" s="342">
        <f>+Общо!AF27</f>
        <v>0</v>
      </c>
      <c r="AG27" s="343">
        <f>+Общо!AG27</f>
        <v>0</v>
      </c>
      <c r="AH27" s="344">
        <f>+Общо!AH27</f>
        <v>0</v>
      </c>
      <c r="AJ27" s="345">
        <f>+Общо!AJ27</f>
        <v>0</v>
      </c>
      <c r="AK27" s="346">
        <f>+Общо!AK27</f>
        <v>0</v>
      </c>
      <c r="AL27" s="347">
        <f>+Общо!AL27</f>
        <v>0</v>
      </c>
      <c r="AM27" s="348">
        <f>+Общо!AM27</f>
        <v>0</v>
      </c>
      <c r="AN27" s="349">
        <f>+Общо!AN27</f>
        <v>0</v>
      </c>
      <c r="AP27" s="329">
        <f t="shared" si="1"/>
        <v>45406</v>
      </c>
      <c r="AQ27" s="353">
        <f>+Общо!AQ27</f>
        <v>58.84</v>
      </c>
      <c r="AR27" s="353">
        <f>+Общо!AR27</f>
        <v>0</v>
      </c>
      <c r="AS27" s="332">
        <f>+Общо!AS27</f>
        <v>0</v>
      </c>
      <c r="AT27" s="353">
        <v>0</v>
      </c>
      <c r="AV27" s="329">
        <f t="shared" si="2"/>
        <v>45406</v>
      </c>
      <c r="AW27" s="353">
        <f>+Общо!AW27</f>
        <v>0</v>
      </c>
      <c r="AX27" s="353">
        <f>+Общо!AX27</f>
        <v>0</v>
      </c>
      <c r="AY27" s="353">
        <v>0</v>
      </c>
      <c r="BA27" s="329">
        <f t="shared" si="3"/>
        <v>45406</v>
      </c>
      <c r="BB27" s="355">
        <f>+Общо!BB27</f>
        <v>0</v>
      </c>
      <c r="BC27" s="353">
        <f>+Общо!BC27</f>
        <v>0</v>
      </c>
      <c r="BD27" s="359">
        <f>+Общо!BD27</f>
        <v>0</v>
      </c>
      <c r="BF27" s="329">
        <f t="shared" si="4"/>
        <v>45406</v>
      </c>
      <c r="BG27" s="357">
        <f>+Общо!BG27</f>
        <v>0</v>
      </c>
      <c r="BH27" s="357">
        <f>+Общо!BH27</f>
        <v>0</v>
      </c>
      <c r="BI27" s="357">
        <f>+Общо!BI27</f>
        <v>0</v>
      </c>
      <c r="BJ27" s="357">
        <f>+Общо!BJ27</f>
        <v>0</v>
      </c>
      <c r="BK27" s="357">
        <f>+Общо!BK27</f>
        <v>0</v>
      </c>
      <c r="BL27" s="357">
        <f>+Общо!BL27</f>
        <v>0</v>
      </c>
      <c r="BM27" s="357">
        <f>+Общо!BM27</f>
        <v>0</v>
      </c>
      <c r="BN27" s="357">
        <f>+Общо!BN27</f>
        <v>0</v>
      </c>
      <c r="BO27" s="358">
        <f>+Общо!BO27</f>
        <v>0</v>
      </c>
      <c r="BQ27" s="329">
        <f t="shared" si="5"/>
        <v>45406</v>
      </c>
      <c r="BR27" s="357">
        <f>+Общо!BR27</f>
        <v>0</v>
      </c>
      <c r="BS27" s="357">
        <f>+Общо!BS27</f>
        <v>0</v>
      </c>
      <c r="BT27" s="357">
        <f>+Общо!BT27</f>
        <v>0</v>
      </c>
      <c r="BU27" s="357">
        <f>+Общо!BU27</f>
        <v>0</v>
      </c>
      <c r="BV27" s="357">
        <f>+Общо!BV27</f>
        <v>0</v>
      </c>
      <c r="BW27" s="357">
        <f>+Общо!BW27</f>
        <v>0</v>
      </c>
      <c r="BX27" s="357">
        <f>+Общо!BX27</f>
        <v>0</v>
      </c>
      <c r="BY27" s="357">
        <f>+Общо!BY27</f>
        <v>0</v>
      </c>
      <c r="BZ27" s="358">
        <f>+Общо!BZ27</f>
        <v>0</v>
      </c>
      <c r="CB27" s="329">
        <f t="shared" si="6"/>
        <v>45406</v>
      </c>
      <c r="CC27" s="357">
        <f>+Общо!CC27</f>
        <v>0</v>
      </c>
      <c r="CD27" s="357">
        <f>+Общо!CD27</f>
        <v>0</v>
      </c>
      <c r="CE27" s="357">
        <f>+Общо!CE27</f>
        <v>0</v>
      </c>
      <c r="CF27" s="357">
        <f>+Общо!CF27</f>
        <v>0</v>
      </c>
      <c r="CG27" s="357">
        <f>+Общо!CG27</f>
        <v>0</v>
      </c>
      <c r="CH27" s="357">
        <f>+Общо!CH27</f>
        <v>0</v>
      </c>
      <c r="CI27" s="357">
        <f>+Общо!CI27</f>
        <v>0</v>
      </c>
      <c r="CJ27" s="357">
        <f>+Общо!CJ27</f>
        <v>0</v>
      </c>
      <c r="CK27" s="358">
        <f>+Общо!CK27</f>
        <v>0</v>
      </c>
    </row>
    <row r="28" spans="2:89" x14ac:dyDescent="0.25">
      <c r="B28" s="47">
        <f t="shared" si="0"/>
        <v>45407</v>
      </c>
      <c r="C28" s="333">
        <f>+Общо!C28</f>
        <v>0</v>
      </c>
      <c r="D28" s="334">
        <f>+Общо!D28</f>
        <v>0</v>
      </c>
      <c r="E28" s="334">
        <f>+Общо!E28</f>
        <v>0</v>
      </c>
      <c r="F28" s="334">
        <f>+Общо!F28</f>
        <v>0</v>
      </c>
      <c r="G28" s="335">
        <f>+Общо!G28</f>
        <v>0</v>
      </c>
      <c r="H28" s="335">
        <f>+Общо!H28</f>
        <v>0</v>
      </c>
      <c r="I28" s="335">
        <f>+Общо!I28</f>
        <v>0</v>
      </c>
      <c r="J28" s="335">
        <f>+Общо!J28</f>
        <v>0</v>
      </c>
      <c r="K28" s="335">
        <f>+Общо!K28</f>
        <v>0</v>
      </c>
      <c r="L28" s="335">
        <f>+Общо!L28</f>
        <v>0</v>
      </c>
      <c r="M28" s="335">
        <f>+Общо!M28</f>
        <v>0</v>
      </c>
      <c r="N28" s="335">
        <f>+Общо!N28</f>
        <v>0</v>
      </c>
      <c r="O28" s="335">
        <f>+Общо!O28</f>
        <v>0</v>
      </c>
      <c r="P28" s="335">
        <f>+Общо!P28</f>
        <v>0</v>
      </c>
      <c r="Q28" s="335">
        <f>+Общо!Q28</f>
        <v>0</v>
      </c>
      <c r="R28" s="335">
        <f>+Общо!R28</f>
        <v>0</v>
      </c>
      <c r="S28" s="335">
        <f>+Общо!S28</f>
        <v>0</v>
      </c>
      <c r="T28" s="335">
        <f>+Общо!T28</f>
        <v>0</v>
      </c>
      <c r="U28" s="335">
        <f>+Общо!U28</f>
        <v>0</v>
      </c>
      <c r="V28" s="335">
        <f>+Общо!V28</f>
        <v>0</v>
      </c>
      <c r="W28" s="335">
        <f>+Общо!W28</f>
        <v>0</v>
      </c>
      <c r="X28" s="335">
        <f>+Общо!X28</f>
        <v>0</v>
      </c>
      <c r="Y28" s="336">
        <f>+Общо!Y28</f>
        <v>0</v>
      </c>
      <c r="Z28" s="337">
        <f>+Общо!Z28</f>
        <v>0</v>
      </c>
      <c r="AA28" s="333">
        <f>+Общо!AA28</f>
        <v>0</v>
      </c>
      <c r="AB28" s="336">
        <f>+Общо!AB28</f>
        <v>0</v>
      </c>
      <c r="AD28" s="342">
        <f>+Общо!AD28</f>
        <v>0</v>
      </c>
      <c r="AE28" s="342">
        <f>+Общо!AE28</f>
        <v>0</v>
      </c>
      <c r="AF28" s="342">
        <f>+Общо!AF28</f>
        <v>0</v>
      </c>
      <c r="AG28" s="343">
        <f>+Общо!AG28</f>
        <v>0</v>
      </c>
      <c r="AH28" s="344">
        <f>+Общо!AH28</f>
        <v>0</v>
      </c>
      <c r="AJ28" s="345">
        <f>+Общо!AJ28</f>
        <v>0</v>
      </c>
      <c r="AK28" s="346">
        <f>+Общо!AK28</f>
        <v>0</v>
      </c>
      <c r="AL28" s="347">
        <f>+Общо!AL28</f>
        <v>0</v>
      </c>
      <c r="AM28" s="348">
        <f>+Общо!AM28</f>
        <v>0</v>
      </c>
      <c r="AN28" s="349">
        <f>+Общо!AN28</f>
        <v>0</v>
      </c>
      <c r="AP28" s="329">
        <f t="shared" si="1"/>
        <v>45407</v>
      </c>
      <c r="AQ28" s="353">
        <f>+Общо!AQ28</f>
        <v>58.84</v>
      </c>
      <c r="AR28" s="353">
        <f>+Общо!AR28</f>
        <v>0</v>
      </c>
      <c r="AS28" s="332">
        <f>+Общо!AS28</f>
        <v>0</v>
      </c>
      <c r="AT28" s="353">
        <v>0</v>
      </c>
      <c r="AV28" s="329">
        <f t="shared" si="2"/>
        <v>45407</v>
      </c>
      <c r="AW28" s="353">
        <f>+Общо!AW28</f>
        <v>0</v>
      </c>
      <c r="AX28" s="353">
        <f>+Общо!AX28</f>
        <v>0</v>
      </c>
      <c r="AY28" s="353">
        <v>0</v>
      </c>
      <c r="BA28" s="329">
        <f t="shared" si="3"/>
        <v>45407</v>
      </c>
      <c r="BB28" s="355">
        <f>+Общо!BB28</f>
        <v>0</v>
      </c>
      <c r="BC28" s="353">
        <f>+Общо!BC28</f>
        <v>0</v>
      </c>
      <c r="BD28" s="359">
        <f>+Общо!BD28</f>
        <v>0</v>
      </c>
      <c r="BF28" s="329">
        <f t="shared" si="4"/>
        <v>45407</v>
      </c>
      <c r="BG28" s="357">
        <f>+Общо!BG28</f>
        <v>0</v>
      </c>
      <c r="BH28" s="357">
        <f>+Общо!BH28</f>
        <v>0</v>
      </c>
      <c r="BI28" s="357">
        <f>+Общо!BI28</f>
        <v>0</v>
      </c>
      <c r="BJ28" s="357">
        <f>+Общо!BJ28</f>
        <v>0</v>
      </c>
      <c r="BK28" s="357">
        <f>+Общо!BK28</f>
        <v>0</v>
      </c>
      <c r="BL28" s="357">
        <f>+Общо!BL28</f>
        <v>0</v>
      </c>
      <c r="BM28" s="357">
        <f>+Общо!BM28</f>
        <v>0</v>
      </c>
      <c r="BN28" s="357">
        <f>+Общо!BN28</f>
        <v>0</v>
      </c>
      <c r="BO28" s="358">
        <f>+Общо!BO28</f>
        <v>0</v>
      </c>
      <c r="BQ28" s="329">
        <f t="shared" si="5"/>
        <v>45407</v>
      </c>
      <c r="BR28" s="357">
        <f>+Общо!BR28</f>
        <v>0</v>
      </c>
      <c r="BS28" s="357">
        <f>+Общо!BS28</f>
        <v>0</v>
      </c>
      <c r="BT28" s="357">
        <f>+Общо!BT28</f>
        <v>0</v>
      </c>
      <c r="BU28" s="357">
        <f>+Общо!BU28</f>
        <v>0</v>
      </c>
      <c r="BV28" s="357">
        <f>+Общо!BV28</f>
        <v>0</v>
      </c>
      <c r="BW28" s="357">
        <f>+Общо!BW28</f>
        <v>0</v>
      </c>
      <c r="BX28" s="357">
        <f>+Общо!BX28</f>
        <v>0</v>
      </c>
      <c r="BY28" s="357">
        <f>+Общо!BY28</f>
        <v>0</v>
      </c>
      <c r="BZ28" s="358">
        <f>+Общо!BZ28</f>
        <v>0</v>
      </c>
      <c r="CB28" s="329">
        <f t="shared" si="6"/>
        <v>45407</v>
      </c>
      <c r="CC28" s="357">
        <f>+Общо!CC28</f>
        <v>0</v>
      </c>
      <c r="CD28" s="357">
        <f>+Общо!CD28</f>
        <v>0</v>
      </c>
      <c r="CE28" s="357">
        <f>+Общо!CE28</f>
        <v>0</v>
      </c>
      <c r="CF28" s="357">
        <f>+Общо!CF28</f>
        <v>0</v>
      </c>
      <c r="CG28" s="357">
        <f>+Общо!CG28</f>
        <v>0</v>
      </c>
      <c r="CH28" s="357">
        <f>+Общо!CH28</f>
        <v>0</v>
      </c>
      <c r="CI28" s="357">
        <f>+Общо!CI28</f>
        <v>0</v>
      </c>
      <c r="CJ28" s="357">
        <f>+Общо!CJ28</f>
        <v>0</v>
      </c>
      <c r="CK28" s="358">
        <f>+Общо!CK28</f>
        <v>0</v>
      </c>
    </row>
    <row r="29" spans="2:89" x14ac:dyDescent="0.25">
      <c r="B29" s="47">
        <f t="shared" si="0"/>
        <v>45408</v>
      </c>
      <c r="C29" s="333">
        <f>+Общо!C29</f>
        <v>0</v>
      </c>
      <c r="D29" s="334">
        <f>+Общо!D29</f>
        <v>0</v>
      </c>
      <c r="E29" s="334">
        <f>+Общо!E29</f>
        <v>0</v>
      </c>
      <c r="F29" s="334">
        <f>+Общо!F29</f>
        <v>0</v>
      </c>
      <c r="G29" s="335">
        <f>+Общо!G29</f>
        <v>0</v>
      </c>
      <c r="H29" s="335">
        <f>+Общо!H29</f>
        <v>0</v>
      </c>
      <c r="I29" s="335">
        <f>+Общо!I29</f>
        <v>0</v>
      </c>
      <c r="J29" s="335">
        <f>+Общо!J29</f>
        <v>0</v>
      </c>
      <c r="K29" s="335">
        <f>+Общо!K29</f>
        <v>0</v>
      </c>
      <c r="L29" s="335">
        <f>+Общо!L29</f>
        <v>0</v>
      </c>
      <c r="M29" s="335">
        <f>+Общо!M29</f>
        <v>0</v>
      </c>
      <c r="N29" s="335">
        <f>+Общо!N29</f>
        <v>0</v>
      </c>
      <c r="O29" s="335">
        <f>+Общо!O29</f>
        <v>0</v>
      </c>
      <c r="P29" s="335">
        <f>+Общо!P29</f>
        <v>0</v>
      </c>
      <c r="Q29" s="335">
        <f>+Общо!Q29</f>
        <v>0</v>
      </c>
      <c r="R29" s="335">
        <f>+Общо!R29</f>
        <v>0</v>
      </c>
      <c r="S29" s="335">
        <f>+Общо!S29</f>
        <v>0</v>
      </c>
      <c r="T29" s="335">
        <f>+Общо!T29</f>
        <v>0</v>
      </c>
      <c r="U29" s="335">
        <f>+Общо!U29</f>
        <v>0</v>
      </c>
      <c r="V29" s="335">
        <f>+Общо!V29</f>
        <v>0</v>
      </c>
      <c r="W29" s="335">
        <f>+Общо!W29</f>
        <v>0</v>
      </c>
      <c r="X29" s="335">
        <f>+Общо!X29</f>
        <v>0</v>
      </c>
      <c r="Y29" s="336">
        <f>+Общо!Y29</f>
        <v>0</v>
      </c>
      <c r="Z29" s="337">
        <f>+Общо!Z29</f>
        <v>0</v>
      </c>
      <c r="AA29" s="333">
        <f>+Общо!AA29</f>
        <v>0</v>
      </c>
      <c r="AB29" s="336">
        <f>+Общо!AB29</f>
        <v>0</v>
      </c>
      <c r="AD29" s="342">
        <f>+Общо!AD29</f>
        <v>0</v>
      </c>
      <c r="AE29" s="342">
        <f>+Общо!AE29</f>
        <v>0</v>
      </c>
      <c r="AF29" s="342">
        <f>+Общо!AF29</f>
        <v>0</v>
      </c>
      <c r="AG29" s="343">
        <f>+Общо!AG29</f>
        <v>0</v>
      </c>
      <c r="AH29" s="344">
        <f>+Общо!AH29</f>
        <v>0</v>
      </c>
      <c r="AJ29" s="345">
        <f>+Общо!AJ29</f>
        <v>0</v>
      </c>
      <c r="AK29" s="346">
        <f>+Общо!AK29</f>
        <v>0</v>
      </c>
      <c r="AL29" s="347">
        <f>+Общо!AL29</f>
        <v>0</v>
      </c>
      <c r="AM29" s="348">
        <f>+Общо!AM29</f>
        <v>0</v>
      </c>
      <c r="AN29" s="349">
        <f>+Общо!AN29</f>
        <v>0</v>
      </c>
      <c r="AP29" s="329">
        <f t="shared" si="1"/>
        <v>45408</v>
      </c>
      <c r="AQ29" s="353">
        <f>+Общо!AQ29</f>
        <v>58.84</v>
      </c>
      <c r="AR29" s="353">
        <f>+Общо!AR29</f>
        <v>0</v>
      </c>
      <c r="AS29" s="332">
        <f>+Общо!AS29</f>
        <v>0</v>
      </c>
      <c r="AT29" s="353">
        <v>0</v>
      </c>
      <c r="AV29" s="329">
        <f t="shared" si="2"/>
        <v>45408</v>
      </c>
      <c r="AW29" s="353">
        <f>+Общо!AW29</f>
        <v>0</v>
      </c>
      <c r="AX29" s="353">
        <f>+Общо!AX29</f>
        <v>0</v>
      </c>
      <c r="AY29" s="353">
        <v>0</v>
      </c>
      <c r="BA29" s="329">
        <f t="shared" si="3"/>
        <v>45408</v>
      </c>
      <c r="BB29" s="355">
        <f>+Общо!BB29</f>
        <v>0</v>
      </c>
      <c r="BC29" s="353">
        <f>+Общо!BC29</f>
        <v>0</v>
      </c>
      <c r="BD29" s="359">
        <f>+Общо!BD29</f>
        <v>0</v>
      </c>
      <c r="BF29" s="329">
        <f t="shared" si="4"/>
        <v>45408</v>
      </c>
      <c r="BG29" s="357">
        <f>+Общо!BG29</f>
        <v>0</v>
      </c>
      <c r="BH29" s="357">
        <f>+Общо!BH29</f>
        <v>0</v>
      </c>
      <c r="BI29" s="357">
        <f>+Общо!BI29</f>
        <v>0</v>
      </c>
      <c r="BJ29" s="357">
        <f>+Общо!BJ29</f>
        <v>0</v>
      </c>
      <c r="BK29" s="357">
        <f>+Общо!BK29</f>
        <v>0</v>
      </c>
      <c r="BL29" s="357">
        <f>+Общо!BL29</f>
        <v>0</v>
      </c>
      <c r="BM29" s="357">
        <f>+Общо!BM29</f>
        <v>0</v>
      </c>
      <c r="BN29" s="357">
        <f>+Общо!BN29</f>
        <v>0</v>
      </c>
      <c r="BO29" s="358">
        <f>+Общо!BO29</f>
        <v>0</v>
      </c>
      <c r="BQ29" s="329">
        <f t="shared" si="5"/>
        <v>45408</v>
      </c>
      <c r="BR29" s="357">
        <f>+Общо!BR29</f>
        <v>0</v>
      </c>
      <c r="BS29" s="357">
        <f>+Общо!BS29</f>
        <v>0</v>
      </c>
      <c r="BT29" s="357">
        <f>+Общо!BT29</f>
        <v>0</v>
      </c>
      <c r="BU29" s="357">
        <f>+Общо!BU29</f>
        <v>0</v>
      </c>
      <c r="BV29" s="357">
        <f>+Общо!BV29</f>
        <v>0</v>
      </c>
      <c r="BW29" s="357">
        <f>+Общо!BW29</f>
        <v>0</v>
      </c>
      <c r="BX29" s="357">
        <f>+Общо!BX29</f>
        <v>0</v>
      </c>
      <c r="BY29" s="357">
        <f>+Общо!BY29</f>
        <v>0</v>
      </c>
      <c r="BZ29" s="358">
        <f>+Общо!BZ29</f>
        <v>0</v>
      </c>
      <c r="CB29" s="329">
        <f t="shared" si="6"/>
        <v>45408</v>
      </c>
      <c r="CC29" s="357">
        <f>+Общо!CC29</f>
        <v>0</v>
      </c>
      <c r="CD29" s="357">
        <f>+Общо!CD29</f>
        <v>0</v>
      </c>
      <c r="CE29" s="357">
        <f>+Общо!CE29</f>
        <v>0</v>
      </c>
      <c r="CF29" s="357">
        <f>+Общо!CF29</f>
        <v>0</v>
      </c>
      <c r="CG29" s="357">
        <f>+Общо!CG29</f>
        <v>0</v>
      </c>
      <c r="CH29" s="357">
        <f>+Общо!CH29</f>
        <v>0</v>
      </c>
      <c r="CI29" s="357">
        <f>+Общо!CI29</f>
        <v>0</v>
      </c>
      <c r="CJ29" s="357">
        <f>+Общо!CJ29</f>
        <v>0</v>
      </c>
      <c r="CK29" s="358">
        <f>+Общо!CK29</f>
        <v>0</v>
      </c>
    </row>
    <row r="30" spans="2:89" x14ac:dyDescent="0.25">
      <c r="B30" s="47">
        <f t="shared" si="0"/>
        <v>45409</v>
      </c>
      <c r="C30" s="333">
        <f>+Общо!C30</f>
        <v>0</v>
      </c>
      <c r="D30" s="334">
        <f>+Общо!D30</f>
        <v>0</v>
      </c>
      <c r="E30" s="334">
        <f>+Общо!E30</f>
        <v>0</v>
      </c>
      <c r="F30" s="334">
        <f>+Общо!F30</f>
        <v>0</v>
      </c>
      <c r="G30" s="335">
        <f>+Общо!G30</f>
        <v>0</v>
      </c>
      <c r="H30" s="335">
        <f>+Общо!H30</f>
        <v>0</v>
      </c>
      <c r="I30" s="335">
        <f>+Общо!I30</f>
        <v>0</v>
      </c>
      <c r="J30" s="335">
        <f>+Общо!J30</f>
        <v>0</v>
      </c>
      <c r="K30" s="335">
        <f>+Общо!K30</f>
        <v>0</v>
      </c>
      <c r="L30" s="335">
        <f>+Общо!L30</f>
        <v>0</v>
      </c>
      <c r="M30" s="335">
        <f>+Общо!M30</f>
        <v>0</v>
      </c>
      <c r="N30" s="335">
        <f>+Общо!N30</f>
        <v>0</v>
      </c>
      <c r="O30" s="335">
        <f>+Общо!O30</f>
        <v>0</v>
      </c>
      <c r="P30" s="335">
        <f>+Общо!P30</f>
        <v>0</v>
      </c>
      <c r="Q30" s="335">
        <f>+Общо!Q30</f>
        <v>0</v>
      </c>
      <c r="R30" s="335">
        <f>+Общо!R30</f>
        <v>0</v>
      </c>
      <c r="S30" s="335">
        <f>+Общо!S30</f>
        <v>0</v>
      </c>
      <c r="T30" s="335">
        <f>+Общо!T30</f>
        <v>0</v>
      </c>
      <c r="U30" s="335">
        <f>+Общо!U30</f>
        <v>0</v>
      </c>
      <c r="V30" s="335">
        <f>+Общо!V30</f>
        <v>0</v>
      </c>
      <c r="W30" s="335">
        <f>+Общо!W30</f>
        <v>0</v>
      </c>
      <c r="X30" s="335">
        <f>+Общо!X30</f>
        <v>0</v>
      </c>
      <c r="Y30" s="336">
        <f>+Общо!Y30</f>
        <v>0</v>
      </c>
      <c r="Z30" s="337">
        <f>+Общо!Z30</f>
        <v>0</v>
      </c>
      <c r="AA30" s="333">
        <f>+Общо!AA30</f>
        <v>0</v>
      </c>
      <c r="AB30" s="336">
        <f>+Общо!AB30</f>
        <v>0</v>
      </c>
      <c r="AD30" s="342">
        <f>+Общо!AD30</f>
        <v>0</v>
      </c>
      <c r="AE30" s="342">
        <f>+Общо!AE30</f>
        <v>0</v>
      </c>
      <c r="AF30" s="342">
        <f>+Общо!AF30</f>
        <v>0</v>
      </c>
      <c r="AG30" s="343">
        <f>+Общо!AG30</f>
        <v>0</v>
      </c>
      <c r="AH30" s="344">
        <f>+Общо!AH30</f>
        <v>0</v>
      </c>
      <c r="AJ30" s="345">
        <f>+Общо!AJ30</f>
        <v>0</v>
      </c>
      <c r="AK30" s="346">
        <f>+Общо!AK30</f>
        <v>0</v>
      </c>
      <c r="AL30" s="347">
        <f>+Общо!AL30</f>
        <v>0</v>
      </c>
      <c r="AM30" s="348">
        <f>+Общо!AM30</f>
        <v>0</v>
      </c>
      <c r="AN30" s="349">
        <f>+Общо!AN30</f>
        <v>0</v>
      </c>
      <c r="AO30" s="4"/>
      <c r="AP30" s="329">
        <f t="shared" si="1"/>
        <v>45409</v>
      </c>
      <c r="AQ30" s="353">
        <f>+Общо!AQ30</f>
        <v>58.84</v>
      </c>
      <c r="AR30" s="353">
        <f>+Общо!AR30</f>
        <v>0</v>
      </c>
      <c r="AS30" s="332">
        <f>+Общо!AS30</f>
        <v>0</v>
      </c>
      <c r="AT30" s="353">
        <v>0</v>
      </c>
      <c r="AV30" s="329">
        <f t="shared" si="2"/>
        <v>45409</v>
      </c>
      <c r="AW30" s="353">
        <f>+Общо!AW30</f>
        <v>0</v>
      </c>
      <c r="AX30" s="353">
        <f>+Общо!AX30</f>
        <v>0</v>
      </c>
      <c r="AY30" s="353">
        <v>0</v>
      </c>
      <c r="BA30" s="329">
        <f t="shared" si="3"/>
        <v>45409</v>
      </c>
      <c r="BB30" s="355">
        <f>+Общо!BB30</f>
        <v>0</v>
      </c>
      <c r="BC30" s="353">
        <f>+Общо!BC30</f>
        <v>0</v>
      </c>
      <c r="BD30" s="359">
        <f>+Общо!BD30</f>
        <v>0</v>
      </c>
      <c r="BF30" s="329">
        <f t="shared" si="4"/>
        <v>45409</v>
      </c>
      <c r="BG30" s="357">
        <f>+Общо!BG30</f>
        <v>0</v>
      </c>
      <c r="BH30" s="357">
        <f>+Общо!BH30</f>
        <v>0</v>
      </c>
      <c r="BI30" s="357">
        <f>+Общо!BI30</f>
        <v>0</v>
      </c>
      <c r="BJ30" s="357">
        <f>+Общо!BJ30</f>
        <v>0</v>
      </c>
      <c r="BK30" s="357">
        <f>+Общо!BK30</f>
        <v>0</v>
      </c>
      <c r="BL30" s="357">
        <f>+Общо!BL30</f>
        <v>0</v>
      </c>
      <c r="BM30" s="357">
        <f>+Общо!BM30</f>
        <v>0</v>
      </c>
      <c r="BN30" s="357">
        <f>+Общо!BN30</f>
        <v>0</v>
      </c>
      <c r="BO30" s="358">
        <f>+Общо!BO30</f>
        <v>0</v>
      </c>
      <c r="BQ30" s="329">
        <f t="shared" si="5"/>
        <v>45409</v>
      </c>
      <c r="BR30" s="357">
        <f>+Общо!BR30</f>
        <v>0</v>
      </c>
      <c r="BS30" s="357">
        <f>+Общо!BS30</f>
        <v>0</v>
      </c>
      <c r="BT30" s="357">
        <f>+Общо!BT30</f>
        <v>0</v>
      </c>
      <c r="BU30" s="357">
        <f>+Общо!BU30</f>
        <v>0</v>
      </c>
      <c r="BV30" s="357">
        <f>+Общо!BV30</f>
        <v>0</v>
      </c>
      <c r="BW30" s="357">
        <f>+Общо!BW30</f>
        <v>0</v>
      </c>
      <c r="BX30" s="357">
        <f>+Общо!BX30</f>
        <v>0</v>
      </c>
      <c r="BY30" s="357">
        <f>+Общо!BY30</f>
        <v>0</v>
      </c>
      <c r="BZ30" s="358">
        <f>+Общо!BZ30</f>
        <v>0</v>
      </c>
      <c r="CB30" s="329">
        <f t="shared" si="6"/>
        <v>45409</v>
      </c>
      <c r="CC30" s="357">
        <f>+Общо!CC30</f>
        <v>0</v>
      </c>
      <c r="CD30" s="357">
        <f>+Общо!CD30</f>
        <v>0</v>
      </c>
      <c r="CE30" s="357">
        <f>+Общо!CE30</f>
        <v>0</v>
      </c>
      <c r="CF30" s="357">
        <f>+Общо!CF30</f>
        <v>0</v>
      </c>
      <c r="CG30" s="357">
        <f>+Общо!CG30</f>
        <v>0</v>
      </c>
      <c r="CH30" s="357">
        <f>+Общо!CH30</f>
        <v>0</v>
      </c>
      <c r="CI30" s="357">
        <f>+Общо!CI30</f>
        <v>0</v>
      </c>
      <c r="CJ30" s="357">
        <f>+Общо!CJ30</f>
        <v>0</v>
      </c>
      <c r="CK30" s="358">
        <f>+Общо!CK30</f>
        <v>0</v>
      </c>
    </row>
    <row r="31" spans="2:89" x14ac:dyDescent="0.25">
      <c r="B31" s="47">
        <f t="shared" si="0"/>
        <v>45410</v>
      </c>
      <c r="C31" s="333">
        <f>+Общо!C33</f>
        <v>0</v>
      </c>
      <c r="D31" s="334">
        <f>+Общо!D33</f>
        <v>0</v>
      </c>
      <c r="E31" s="334">
        <f>+Общо!E33</f>
        <v>0</v>
      </c>
      <c r="F31" s="334">
        <f>+Общо!F33</f>
        <v>0</v>
      </c>
      <c r="G31" s="335">
        <f>+Общо!G33</f>
        <v>0</v>
      </c>
      <c r="H31" s="335">
        <f>+Общо!H33</f>
        <v>0</v>
      </c>
      <c r="I31" s="335">
        <f>+Общо!I33</f>
        <v>0</v>
      </c>
      <c r="J31" s="335">
        <f>+Общо!J33</f>
        <v>0</v>
      </c>
      <c r="K31" s="335">
        <f>+Общо!K33</f>
        <v>0</v>
      </c>
      <c r="L31" s="335">
        <f>+Общо!L33</f>
        <v>0</v>
      </c>
      <c r="M31" s="335">
        <f>+Общо!M33</f>
        <v>0</v>
      </c>
      <c r="N31" s="335">
        <f>+Общо!N33</f>
        <v>0</v>
      </c>
      <c r="O31" s="335">
        <f>+Общо!O33</f>
        <v>0</v>
      </c>
      <c r="P31" s="335">
        <f>+Общо!P33</f>
        <v>0</v>
      </c>
      <c r="Q31" s="335">
        <f>+Общо!Q33</f>
        <v>0</v>
      </c>
      <c r="R31" s="335">
        <f>+Общо!R33</f>
        <v>0</v>
      </c>
      <c r="S31" s="335">
        <f>+Общо!S33</f>
        <v>0</v>
      </c>
      <c r="T31" s="335">
        <f>+Общо!T33</f>
        <v>0</v>
      </c>
      <c r="U31" s="335">
        <f>+Общо!U33</f>
        <v>0</v>
      </c>
      <c r="V31" s="335">
        <f>+Общо!V33</f>
        <v>0</v>
      </c>
      <c r="W31" s="335">
        <f>+Общо!W33</f>
        <v>0</v>
      </c>
      <c r="X31" s="335">
        <f>+Общо!X33</f>
        <v>0</v>
      </c>
      <c r="Y31" s="336">
        <f>+Общо!Y33</f>
        <v>0</v>
      </c>
      <c r="Z31" s="337">
        <f>+Общо!Z33</f>
        <v>0</v>
      </c>
      <c r="AA31" s="333">
        <f>+Общо!AA33</f>
        <v>0</v>
      </c>
      <c r="AB31" s="336">
        <f>+Общо!AB33</f>
        <v>0</v>
      </c>
      <c r="AD31" s="342">
        <f>+Общо!AD33</f>
        <v>0</v>
      </c>
      <c r="AE31" s="342">
        <f>+Общо!AE33</f>
        <v>0</v>
      </c>
      <c r="AF31" s="342">
        <f>+Общо!AF33</f>
        <v>0</v>
      </c>
      <c r="AG31" s="343">
        <f>+Общо!AG33</f>
        <v>0</v>
      </c>
      <c r="AH31" s="344">
        <f>+Общо!AH33</f>
        <v>0</v>
      </c>
      <c r="AJ31" s="345">
        <f>+Общо!AJ33</f>
        <v>0</v>
      </c>
      <c r="AK31" s="346">
        <f>+Общо!AK33</f>
        <v>0</v>
      </c>
      <c r="AL31" s="347">
        <f>+Общо!AL33</f>
        <v>0</v>
      </c>
      <c r="AM31" s="348">
        <f>+Общо!AM33</f>
        <v>0</v>
      </c>
      <c r="AN31" s="349">
        <f>+Общо!AN33</f>
        <v>0</v>
      </c>
      <c r="AO31" s="4"/>
      <c r="AP31" s="329">
        <f t="shared" si="1"/>
        <v>45410</v>
      </c>
      <c r="AQ31" s="353">
        <f>+Общо!AQ33</f>
        <v>58.84</v>
      </c>
      <c r="AR31" s="353">
        <f>+Общо!AR33</f>
        <v>0</v>
      </c>
      <c r="AS31" s="332">
        <f>+Общо!AS33</f>
        <v>0</v>
      </c>
      <c r="AT31" s="353">
        <v>0</v>
      </c>
      <c r="AV31" s="329">
        <f t="shared" si="2"/>
        <v>45410</v>
      </c>
      <c r="AW31" s="353">
        <f>+Общо!AW33</f>
        <v>0</v>
      </c>
      <c r="AX31" s="353">
        <f>+Общо!AX33</f>
        <v>0</v>
      </c>
      <c r="AY31" s="353">
        <v>0</v>
      </c>
      <c r="BA31" s="329">
        <f t="shared" si="3"/>
        <v>45410</v>
      </c>
      <c r="BB31" s="355">
        <f>+Общо!BB33</f>
        <v>0</v>
      </c>
      <c r="BC31" s="353">
        <f>+Общо!BC33</f>
        <v>0</v>
      </c>
      <c r="BD31" s="359">
        <f>+Общо!BD33</f>
        <v>0</v>
      </c>
      <c r="BF31" s="329">
        <f t="shared" si="4"/>
        <v>45410</v>
      </c>
      <c r="BG31" s="357">
        <f>+Общо!BG33</f>
        <v>0</v>
      </c>
      <c r="BH31" s="357">
        <f>+Общо!BH33</f>
        <v>0</v>
      </c>
      <c r="BI31" s="357">
        <f>+Общо!BI33</f>
        <v>0</v>
      </c>
      <c r="BJ31" s="357">
        <f>+Общо!BJ33</f>
        <v>0</v>
      </c>
      <c r="BK31" s="357">
        <f>+Общо!BK33</f>
        <v>0</v>
      </c>
      <c r="BL31" s="357">
        <f>+Общо!BL33</f>
        <v>0</v>
      </c>
      <c r="BM31" s="357">
        <f>+Общо!BM33</f>
        <v>0</v>
      </c>
      <c r="BN31" s="357">
        <f>+Общо!BN33</f>
        <v>0</v>
      </c>
      <c r="BO31" s="358">
        <f>+Общо!BO33</f>
        <v>0</v>
      </c>
      <c r="BQ31" s="329">
        <f t="shared" si="5"/>
        <v>45410</v>
      </c>
      <c r="BR31" s="357">
        <f>+Общо!BR33</f>
        <v>0</v>
      </c>
      <c r="BS31" s="357">
        <f>+Общо!BS33</f>
        <v>0</v>
      </c>
      <c r="BT31" s="357">
        <f>+Общо!BT33</f>
        <v>0</v>
      </c>
      <c r="BU31" s="357">
        <f>+Общо!BU33</f>
        <v>0</v>
      </c>
      <c r="BV31" s="357">
        <f>+Общо!BV33</f>
        <v>0</v>
      </c>
      <c r="BW31" s="357">
        <f>+Общо!BW33</f>
        <v>0</v>
      </c>
      <c r="BX31" s="357">
        <f>+Общо!BX33</f>
        <v>0</v>
      </c>
      <c r="BY31" s="357">
        <f>+Общо!BY33</f>
        <v>0</v>
      </c>
      <c r="BZ31" s="358">
        <f>+Общо!BZ33</f>
        <v>0</v>
      </c>
      <c r="CB31" s="329">
        <f t="shared" si="6"/>
        <v>45410</v>
      </c>
      <c r="CC31" s="357">
        <f>+Общо!CC33</f>
        <v>0</v>
      </c>
      <c r="CD31" s="357">
        <f>+Общо!CD33</f>
        <v>0</v>
      </c>
      <c r="CE31" s="357">
        <f>+Общо!CE33</f>
        <v>0</v>
      </c>
      <c r="CF31" s="357">
        <f>+Общо!CF33</f>
        <v>0</v>
      </c>
      <c r="CG31" s="357">
        <f>+Общо!CG33</f>
        <v>0</v>
      </c>
      <c r="CH31" s="357">
        <f>+Общо!CH33</f>
        <v>0</v>
      </c>
      <c r="CI31" s="357">
        <f>+Общо!CI33</f>
        <v>0</v>
      </c>
      <c r="CJ31" s="357">
        <f>+Общо!CJ33</f>
        <v>0</v>
      </c>
      <c r="CK31" s="358">
        <f>+Общо!CK33</f>
        <v>0</v>
      </c>
    </row>
    <row r="32" spans="2:89" ht="15.75" thickBot="1" x14ac:dyDescent="0.3">
      <c r="B32" s="47">
        <f t="shared" si="0"/>
        <v>45411</v>
      </c>
      <c r="C32" s="333" t="e">
        <f>+Общо!#REF!</f>
        <v>#REF!</v>
      </c>
      <c r="D32" s="334" t="e">
        <f>+Общо!#REF!</f>
        <v>#REF!</v>
      </c>
      <c r="E32" s="334" t="e">
        <f>+Общо!#REF!</f>
        <v>#REF!</v>
      </c>
      <c r="F32" s="334" t="e">
        <f>+Общо!#REF!</f>
        <v>#REF!</v>
      </c>
      <c r="G32" s="335" t="e">
        <f>+Общо!#REF!</f>
        <v>#REF!</v>
      </c>
      <c r="H32" s="335" t="e">
        <f>+Общо!#REF!</f>
        <v>#REF!</v>
      </c>
      <c r="I32" s="335" t="e">
        <f>+Общо!#REF!</f>
        <v>#REF!</v>
      </c>
      <c r="J32" s="335" t="e">
        <f>+Общо!#REF!</f>
        <v>#REF!</v>
      </c>
      <c r="K32" s="335" t="e">
        <f>+Общо!#REF!</f>
        <v>#REF!</v>
      </c>
      <c r="L32" s="335" t="e">
        <f>+Общо!#REF!</f>
        <v>#REF!</v>
      </c>
      <c r="M32" s="335" t="e">
        <f>+Общо!#REF!</f>
        <v>#REF!</v>
      </c>
      <c r="N32" s="335" t="e">
        <f>+Общо!#REF!</f>
        <v>#REF!</v>
      </c>
      <c r="O32" s="335" t="e">
        <f>+Общо!#REF!</f>
        <v>#REF!</v>
      </c>
      <c r="P32" s="335" t="e">
        <f>+Общо!#REF!</f>
        <v>#REF!</v>
      </c>
      <c r="Q32" s="335" t="e">
        <f>+Общо!#REF!</f>
        <v>#REF!</v>
      </c>
      <c r="R32" s="335" t="e">
        <f>+Общо!#REF!</f>
        <v>#REF!</v>
      </c>
      <c r="S32" s="335" t="e">
        <f>+Общо!#REF!</f>
        <v>#REF!</v>
      </c>
      <c r="T32" s="335" t="e">
        <f>+Общо!#REF!</f>
        <v>#REF!</v>
      </c>
      <c r="U32" s="335" t="e">
        <f>+Общо!#REF!</f>
        <v>#REF!</v>
      </c>
      <c r="V32" s="335" t="e">
        <f>+Общо!#REF!</f>
        <v>#REF!</v>
      </c>
      <c r="W32" s="335" t="e">
        <f>+Общо!#REF!</f>
        <v>#REF!</v>
      </c>
      <c r="X32" s="335" t="e">
        <f>+Общо!#REF!</f>
        <v>#REF!</v>
      </c>
      <c r="Y32" s="336" t="e">
        <f>+Общо!#REF!</f>
        <v>#REF!</v>
      </c>
      <c r="Z32" s="337" t="e">
        <f>+Общо!#REF!</f>
        <v>#REF!</v>
      </c>
      <c r="AA32" s="333" t="e">
        <f>+Общо!#REF!</f>
        <v>#REF!</v>
      </c>
      <c r="AB32" s="336" t="e">
        <f>+Общо!#REF!</f>
        <v>#REF!</v>
      </c>
      <c r="AD32" s="342" t="e">
        <f>+Общо!#REF!</f>
        <v>#REF!</v>
      </c>
      <c r="AE32" s="342" t="e">
        <f>+Общо!#REF!</f>
        <v>#REF!</v>
      </c>
      <c r="AF32" s="342" t="e">
        <f>+Общо!#REF!</f>
        <v>#REF!</v>
      </c>
      <c r="AG32" s="343" t="e">
        <f>+Общо!#REF!</f>
        <v>#REF!</v>
      </c>
      <c r="AH32" s="344" t="e">
        <f>+Общо!#REF!</f>
        <v>#REF!</v>
      </c>
      <c r="AJ32" s="345" t="e">
        <f>+Общо!#REF!</f>
        <v>#REF!</v>
      </c>
      <c r="AK32" s="346" t="e">
        <f>+Общо!#REF!</f>
        <v>#REF!</v>
      </c>
      <c r="AL32" s="347" t="e">
        <f>+Общо!#REF!</f>
        <v>#REF!</v>
      </c>
      <c r="AM32" s="348" t="e">
        <f>+Общо!#REF!</f>
        <v>#REF!</v>
      </c>
      <c r="AN32" s="349" t="e">
        <f>+Общо!#REF!</f>
        <v>#REF!</v>
      </c>
      <c r="AO32" s="4"/>
      <c r="AP32" s="329">
        <f t="shared" si="1"/>
        <v>45411</v>
      </c>
      <c r="AQ32" s="353" t="e">
        <f>+Общо!#REF!</f>
        <v>#REF!</v>
      </c>
      <c r="AR32" s="353" t="e">
        <f>+Общо!#REF!</f>
        <v>#REF!</v>
      </c>
      <c r="AS32" s="332" t="e">
        <f>+Общо!#REF!</f>
        <v>#REF!</v>
      </c>
      <c r="AT32" s="353">
        <v>0</v>
      </c>
      <c r="AV32" s="329">
        <f t="shared" si="2"/>
        <v>45411</v>
      </c>
      <c r="AW32" s="353" t="e">
        <f>+Общо!#REF!</f>
        <v>#REF!</v>
      </c>
      <c r="AX32" s="353" t="e">
        <f>+Общо!#REF!</f>
        <v>#REF!</v>
      </c>
      <c r="AY32" s="353">
        <v>0</v>
      </c>
      <c r="BA32" s="329">
        <f t="shared" si="3"/>
        <v>45411</v>
      </c>
      <c r="BB32" s="355" t="e">
        <f>+Общо!#REF!</f>
        <v>#REF!</v>
      </c>
      <c r="BC32" s="353" t="e">
        <f>+Общо!#REF!</f>
        <v>#REF!</v>
      </c>
      <c r="BD32" s="359" t="e">
        <f>+Общо!#REF!</f>
        <v>#REF!</v>
      </c>
      <c r="BF32" s="329">
        <f t="shared" si="4"/>
        <v>45411</v>
      </c>
      <c r="BG32" s="357" t="e">
        <f>+Общо!#REF!</f>
        <v>#REF!</v>
      </c>
      <c r="BH32" s="357" t="e">
        <f>+Общо!#REF!</f>
        <v>#REF!</v>
      </c>
      <c r="BI32" s="357" t="e">
        <f>+Общо!#REF!</f>
        <v>#REF!</v>
      </c>
      <c r="BJ32" s="357" t="e">
        <f>+Общо!#REF!</f>
        <v>#REF!</v>
      </c>
      <c r="BK32" s="357" t="e">
        <f>+Общо!#REF!</f>
        <v>#REF!</v>
      </c>
      <c r="BL32" s="357" t="e">
        <f>+Общо!#REF!</f>
        <v>#REF!</v>
      </c>
      <c r="BM32" s="357" t="e">
        <f>+Общо!#REF!</f>
        <v>#REF!</v>
      </c>
      <c r="BN32" s="357" t="e">
        <f>+Общо!#REF!</f>
        <v>#REF!</v>
      </c>
      <c r="BO32" s="358" t="e">
        <f>+Общо!#REF!</f>
        <v>#REF!</v>
      </c>
      <c r="BQ32" s="329">
        <f t="shared" si="5"/>
        <v>45411</v>
      </c>
      <c r="BR32" s="357" t="e">
        <f>+Общо!#REF!</f>
        <v>#REF!</v>
      </c>
      <c r="BS32" s="357" t="e">
        <f>+Общо!#REF!</f>
        <v>#REF!</v>
      </c>
      <c r="BT32" s="357" t="e">
        <f>+Общо!#REF!</f>
        <v>#REF!</v>
      </c>
      <c r="BU32" s="357" t="e">
        <f>+Общо!#REF!</f>
        <v>#REF!</v>
      </c>
      <c r="BV32" s="357" t="e">
        <f>+Общо!#REF!</f>
        <v>#REF!</v>
      </c>
      <c r="BW32" s="357" t="e">
        <f>+Общо!#REF!</f>
        <v>#REF!</v>
      </c>
      <c r="BX32" s="357" t="e">
        <f>+Общо!#REF!</f>
        <v>#REF!</v>
      </c>
      <c r="BY32" s="357" t="e">
        <f>+Общо!#REF!</f>
        <v>#REF!</v>
      </c>
      <c r="BZ32" s="358" t="e">
        <f>+Общо!#REF!</f>
        <v>#REF!</v>
      </c>
      <c r="CB32" s="329">
        <f t="shared" si="6"/>
        <v>45411</v>
      </c>
      <c r="CC32" s="357" t="e">
        <f>+Общо!#REF!</f>
        <v>#REF!</v>
      </c>
      <c r="CD32" s="357" t="e">
        <f>+Общо!#REF!</f>
        <v>#REF!</v>
      </c>
      <c r="CE32" s="357" t="e">
        <f>+Общо!#REF!</f>
        <v>#REF!</v>
      </c>
      <c r="CF32" s="357" t="e">
        <f>+Общо!#REF!</f>
        <v>#REF!</v>
      </c>
      <c r="CG32" s="357" t="e">
        <f>+Общо!#REF!</f>
        <v>#REF!</v>
      </c>
      <c r="CH32" s="357" t="e">
        <f>+Общо!#REF!</f>
        <v>#REF!</v>
      </c>
      <c r="CI32" s="357" t="e">
        <f>+Общо!#REF!</f>
        <v>#REF!</v>
      </c>
      <c r="CJ32" s="357" t="e">
        <f>+Общо!#REF!</f>
        <v>#REF!</v>
      </c>
      <c r="CK32" s="358" t="e">
        <f>+Общо!#REF!</f>
        <v>#REF!</v>
      </c>
    </row>
    <row r="33" spans="2:40" ht="15.75" thickBot="1" x14ac:dyDescent="0.3">
      <c r="B33" s="71" t="s">
        <v>0</v>
      </c>
      <c r="C33" s="338">
        <f>+Общо!C34</f>
        <v>12575.554</v>
      </c>
      <c r="D33" s="339">
        <f>+Общо!D34</f>
        <v>889.83500000000026</v>
      </c>
      <c r="E33" s="339">
        <f>+Общо!E34</f>
        <v>0</v>
      </c>
      <c r="F33" s="339">
        <f>+Общо!F34</f>
        <v>0</v>
      </c>
      <c r="G33" s="339">
        <f>+Общо!G34</f>
        <v>2031.88</v>
      </c>
      <c r="H33" s="340">
        <f>+Общо!H34</f>
        <v>35.847999999999999</v>
      </c>
      <c r="I33" s="340">
        <f>+Общо!I34</f>
        <v>0</v>
      </c>
      <c r="J33" s="340">
        <f>+Общо!J34</f>
        <v>248.887</v>
      </c>
      <c r="K33" s="340">
        <f>+Общо!K34</f>
        <v>358.00800000000004</v>
      </c>
      <c r="L33" s="340">
        <f>+Общо!L34</f>
        <v>593.95399999999995</v>
      </c>
      <c r="M33" s="340">
        <f>+Общо!M34</f>
        <v>1.4419999999999999</v>
      </c>
      <c r="N33" s="340">
        <f>+Общо!N34</f>
        <v>20.761999999999997</v>
      </c>
      <c r="O33" s="340">
        <f>+Общо!O34</f>
        <v>10.546999999999999</v>
      </c>
      <c r="P33" s="340">
        <f>+Общо!P34</f>
        <v>0</v>
      </c>
      <c r="Q33" s="340">
        <f>+Общо!Q34</f>
        <v>0</v>
      </c>
      <c r="R33" s="340">
        <f>+Общо!R34</f>
        <v>157.84</v>
      </c>
      <c r="S33" s="340">
        <f>+Общо!S34</f>
        <v>0</v>
      </c>
      <c r="T33" s="340">
        <f>+Общо!T34</f>
        <v>185.34000000000003</v>
      </c>
      <c r="U33" s="340">
        <f>+Общо!U34</f>
        <v>0</v>
      </c>
      <c r="V33" s="340">
        <f>+Общо!V34</f>
        <v>0</v>
      </c>
      <c r="W33" s="340">
        <f>+Общо!W34</f>
        <v>0</v>
      </c>
      <c r="X33" s="340">
        <f>+Общо!X34</f>
        <v>0</v>
      </c>
      <c r="Y33" s="340">
        <f>+Общо!Y34</f>
        <v>43.277999999999793</v>
      </c>
      <c r="Z33" s="341">
        <f>+Общо!Z34</f>
        <v>150</v>
      </c>
      <c r="AA33" s="341">
        <f>+Общо!AA34</f>
        <v>56.451000000000022</v>
      </c>
      <c r="AB33" s="341">
        <f>+Общо!AB34</f>
        <v>-672.62599999999998</v>
      </c>
      <c r="AD33" s="338">
        <f>+Общо!AD34</f>
        <v>0</v>
      </c>
      <c r="AE33" s="338">
        <f>+Общо!AE34</f>
        <v>225</v>
      </c>
      <c r="AF33" s="338">
        <f>+Общо!AF34</f>
        <v>0</v>
      </c>
      <c r="AG33" s="339">
        <f>+Общо!AG34</f>
        <v>16462</v>
      </c>
      <c r="AH33" s="340">
        <f>+Общо!AH34</f>
        <v>16687</v>
      </c>
      <c r="AJ33" s="350">
        <f>+Общо!AJ34</f>
        <v>317858.52598650014</v>
      </c>
      <c r="AK33" s="350">
        <f>+Общо!AK34</f>
        <v>37275</v>
      </c>
      <c r="AL33" s="351">
        <f>+Общо!AL34</f>
        <v>280583.52598650014</v>
      </c>
      <c r="AM33" s="352">
        <f>+Общо!AM34</f>
        <v>0</v>
      </c>
      <c r="AN33" s="351">
        <f>+Общо!AN34</f>
        <v>280583.52598650014</v>
      </c>
    </row>
    <row r="34" spans="2:40" x14ac:dyDescent="0.25">
      <c r="Z34" s="16"/>
      <c r="AA34" s="16"/>
      <c r="AB34" s="51"/>
      <c r="AK34" s="4"/>
      <c r="AL34" s="4"/>
      <c r="AM34" s="4"/>
      <c r="AN34" s="4"/>
    </row>
    <row r="35" spans="2:40" s="4" customFormat="1" x14ac:dyDescent="0.25"/>
    <row r="36" spans="2:40" s="4" customFormat="1" x14ac:dyDescent="0.25"/>
    <row r="37" spans="2:40" s="4" customFormat="1" x14ac:dyDescent="0.25"/>
    <row r="38" spans="2:40" s="4" customFormat="1" ht="28.9" customHeight="1" x14ac:dyDescent="0.25"/>
    <row r="39" spans="2:40" s="4" customFormat="1" x14ac:dyDescent="0.25"/>
    <row r="40" spans="2:40" s="4" customFormat="1" x14ac:dyDescent="0.25"/>
    <row r="41" spans="2:40" s="4" customFormat="1" x14ac:dyDescent="0.25"/>
    <row r="42" spans="2:40" x14ac:dyDescent="0.25"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</row>
    <row r="43" spans="2:40" x14ac:dyDescent="0.25">
      <c r="C43" s="238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</row>
    <row r="44" spans="2:40" x14ac:dyDescent="0.25">
      <c r="C44" s="16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</row>
    <row r="45" spans="2:40" x14ac:dyDescent="0.25">
      <c r="C45" s="16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</row>
    <row r="46" spans="2:40" x14ac:dyDescent="0.25"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</row>
    <row r="47" spans="2:40" x14ac:dyDescent="0.25"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</row>
    <row r="48" spans="2:40" x14ac:dyDescent="0.25"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</row>
    <row r="49" spans="7:18" x14ac:dyDescent="0.25"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</row>
    <row r="50" spans="7:18" x14ac:dyDescent="0.25"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</row>
    <row r="51" spans="7:18" x14ac:dyDescent="0.25"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</row>
    <row r="52" spans="7:18" x14ac:dyDescent="0.25"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</row>
    <row r="53" spans="7:18" x14ac:dyDescent="0.25"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</row>
    <row r="54" spans="7:18" x14ac:dyDescent="0.25"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</row>
    <row r="55" spans="7:18" x14ac:dyDescent="0.25"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</row>
    <row r="56" spans="7:18" x14ac:dyDescent="0.25"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</row>
    <row r="57" spans="7:18" x14ac:dyDescent="0.25"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</row>
    <row r="58" spans="7:18" x14ac:dyDescent="0.25"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</row>
  </sheetData>
  <mergeCells count="10">
    <mergeCell ref="BA2:BD2"/>
    <mergeCell ref="BF2:BO2"/>
    <mergeCell ref="BQ2:BZ2"/>
    <mergeCell ref="CB2:CK2"/>
    <mergeCell ref="C2:Y2"/>
    <mergeCell ref="AA2:AB2"/>
    <mergeCell ref="AD2:AH2"/>
    <mergeCell ref="AJ2:AN2"/>
    <mergeCell ref="AP2:AT2"/>
    <mergeCell ref="AV2:AY2"/>
  </mergeCells>
  <pageMargins left="0.23622047244094491" right="0.23622047244094491" top="0.74803149606299213" bottom="0.74803149606299213" header="0.31496062992125984" footer="0.31496062992125984"/>
  <pageSetup paperSize="9" scale="50" fitToHeight="3" orientation="landscape" r:id="rId1"/>
  <colBreaks count="2" manualBreakCount="2">
    <brk id="28" max="1048575" man="1"/>
    <brk id="56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00"/>
  </sheetPr>
  <dimension ref="B1:U36"/>
  <sheetViews>
    <sheetView zoomScale="80" zoomScaleNormal="80" workbookViewId="0">
      <selection activeCell="G17" sqref="G17:I18"/>
    </sheetView>
  </sheetViews>
  <sheetFormatPr defaultColWidth="8.85546875" defaultRowHeight="15" x14ac:dyDescent="0.25"/>
  <cols>
    <col min="1" max="1" width="8.85546875" style="1"/>
    <col min="2" max="2" width="12.7109375" style="1" bestFit="1" customWidth="1"/>
    <col min="3" max="3" width="9.85546875" style="1" bestFit="1" customWidth="1"/>
    <col min="4" max="4" width="16.28515625" style="1" bestFit="1" customWidth="1"/>
    <col min="5" max="5" width="16.28515625" style="1" customWidth="1"/>
    <col min="6" max="6" width="12.5703125" style="1" customWidth="1"/>
    <col min="7" max="7" width="15.85546875" style="1" customWidth="1"/>
    <col min="8" max="8" width="15.28515625" style="1" bestFit="1" customWidth="1"/>
    <col min="9" max="11" width="15.28515625" style="1" customWidth="1"/>
    <col min="12" max="12" width="15.42578125" style="1" bestFit="1" customWidth="1"/>
    <col min="13" max="13" width="13" style="1" customWidth="1"/>
    <col min="14" max="15" width="17.5703125" style="69" customWidth="1"/>
    <col min="16" max="16" width="9.140625" style="124" bestFit="1" customWidth="1"/>
    <col min="17" max="17" width="17.85546875" style="1" customWidth="1"/>
    <col min="18" max="18" width="12.28515625" style="1" customWidth="1"/>
    <col min="19" max="16384" width="8.85546875" style="1"/>
  </cols>
  <sheetData>
    <row r="1" spans="2:21" x14ac:dyDescent="0.25">
      <c r="L1" s="77"/>
      <c r="M1" s="78"/>
      <c r="N1" s="78"/>
      <c r="O1" s="13"/>
      <c r="Q1" s="680" t="s">
        <v>29</v>
      </c>
      <c r="R1" s="680"/>
    </row>
    <row r="2" spans="2:21" ht="14.45" customHeight="1" x14ac:dyDescent="0.25">
      <c r="B2" s="682" t="s">
        <v>15</v>
      </c>
      <c r="C2" s="683"/>
      <c r="D2" s="683"/>
      <c r="E2" s="683"/>
      <c r="F2" s="683"/>
      <c r="G2" s="683"/>
      <c r="H2" s="683"/>
      <c r="I2" s="683"/>
      <c r="J2" s="684"/>
      <c r="K2" s="248"/>
      <c r="L2" s="679" t="s">
        <v>71</v>
      </c>
      <c r="M2" s="679"/>
      <c r="N2" s="679"/>
      <c r="O2" s="13"/>
      <c r="Q2" s="2" t="s">
        <v>100</v>
      </c>
      <c r="R2" s="2" t="s">
        <v>112</v>
      </c>
      <c r="S2" s="2" t="s">
        <v>81</v>
      </c>
    </row>
    <row r="3" spans="2:21" ht="43.5" x14ac:dyDescent="0.25">
      <c r="B3" s="12" t="s">
        <v>8</v>
      </c>
      <c r="C3" s="2" t="s">
        <v>22</v>
      </c>
      <c r="D3" s="40" t="s">
        <v>23</v>
      </c>
      <c r="E3" s="40" t="s">
        <v>18</v>
      </c>
      <c r="F3" s="13" t="s">
        <v>30</v>
      </c>
      <c r="G3" s="13" t="s">
        <v>31</v>
      </c>
      <c r="H3" s="73" t="s">
        <v>6</v>
      </c>
      <c r="I3" s="228" t="s">
        <v>21</v>
      </c>
      <c r="J3" s="230" t="s">
        <v>56</v>
      </c>
      <c r="K3" s="121" t="s">
        <v>137</v>
      </c>
      <c r="L3" s="121" t="s">
        <v>138</v>
      </c>
      <c r="M3" s="77" t="s">
        <v>103</v>
      </c>
      <c r="N3" s="77" t="s">
        <v>83</v>
      </c>
      <c r="O3" s="77" t="s">
        <v>104</v>
      </c>
      <c r="P3" s="124" t="s">
        <v>122</v>
      </c>
      <c r="Q3" s="249">
        <v>210</v>
      </c>
      <c r="R3" s="249"/>
      <c r="S3" s="111"/>
    </row>
    <row r="4" spans="2:21" x14ac:dyDescent="0.25">
      <c r="B4" s="47">
        <v>45383</v>
      </c>
      <c r="C4" s="22">
        <v>910</v>
      </c>
      <c r="D4" s="22">
        <v>974.86199999999997</v>
      </c>
      <c r="E4" s="70">
        <f>+D4-F4-H4</f>
        <v>737.98299999999995</v>
      </c>
      <c r="F4" s="22">
        <v>120.04</v>
      </c>
      <c r="G4" s="22">
        <v>140</v>
      </c>
      <c r="H4" s="74">
        <v>116.83900000000006</v>
      </c>
      <c r="I4" s="74">
        <v>793.53</v>
      </c>
      <c r="J4" s="120">
        <v>0</v>
      </c>
      <c r="K4" s="250"/>
      <c r="L4" s="75"/>
      <c r="M4" s="175">
        <f>+K4*'Цени капацитети'!$F$49+L4*'Цени капацитети'!$F$63</f>
        <v>0</v>
      </c>
      <c r="N4" s="175">
        <f>+K4*'Цени капацитети'!$E$49+L4*'Цени капацитети'!$E$63</f>
        <v>0</v>
      </c>
      <c r="O4" s="175">
        <f>+$Q$3*'Цени капацитети'!$E$4+Бургас!$S$3*'Цени капацитети'!$E$25+$R$3*'Цени капацитети'!$E$9+Бургас!N4</f>
        <v>266.19600000000003</v>
      </c>
      <c r="Q4" s="17"/>
    </row>
    <row r="5" spans="2:21" x14ac:dyDescent="0.25">
      <c r="B5" s="47">
        <f>+B4+1</f>
        <v>45384</v>
      </c>
      <c r="C5" s="22">
        <v>870</v>
      </c>
      <c r="D5" s="22">
        <v>994.024</v>
      </c>
      <c r="E5" s="70">
        <f t="shared" ref="E5:E30" si="0">+D5-F5-H5</f>
        <v>737.98299999999995</v>
      </c>
      <c r="F5" s="22">
        <v>106.675</v>
      </c>
      <c r="G5" s="22">
        <v>100</v>
      </c>
      <c r="H5" s="74">
        <v>149.3660000000001</v>
      </c>
      <c r="I5" s="74">
        <v>793.53</v>
      </c>
      <c r="J5" s="120">
        <v>0</v>
      </c>
      <c r="K5" s="250"/>
      <c r="L5" s="75"/>
      <c r="M5" s="175">
        <f>+K5*'Цени капацитети'!$F$49+L5*'Цени капацитети'!$F$63</f>
        <v>0</v>
      </c>
      <c r="N5" s="175">
        <f>+K5*'Цени капацитети'!$E$49+L5*'Цени капацитети'!$E$63</f>
        <v>0</v>
      </c>
      <c r="O5" s="175">
        <f>+$Q$3*'Цени капацитети'!$E$4+Бургас!$S$3*'Цени капацитети'!$E$25+$R$3*'Цени капацитети'!$E$9+Бургас!N5</f>
        <v>266.19600000000003</v>
      </c>
      <c r="Q5" s="3"/>
      <c r="U5" s="16"/>
    </row>
    <row r="6" spans="2:21" x14ac:dyDescent="0.25">
      <c r="B6" s="47">
        <f t="shared" ref="B6:B33" si="1">+B5+1</f>
        <v>45385</v>
      </c>
      <c r="C6" s="22">
        <v>856</v>
      </c>
      <c r="D6" s="22">
        <v>976.31399999999996</v>
      </c>
      <c r="E6" s="70">
        <f t="shared" si="0"/>
        <v>737.98299999999995</v>
      </c>
      <c r="F6" s="22">
        <v>113.667</v>
      </c>
      <c r="G6" s="22">
        <v>100</v>
      </c>
      <c r="H6" s="74">
        <v>124.66399999999999</v>
      </c>
      <c r="I6" s="74">
        <v>793.53</v>
      </c>
      <c r="J6" s="120">
        <v>0</v>
      </c>
      <c r="K6" s="250"/>
      <c r="L6" s="75"/>
      <c r="M6" s="175">
        <f>+K6*'Цени капацитети'!$F$49+L6*'Цени капацитети'!$F$63</f>
        <v>0</v>
      </c>
      <c r="N6" s="175">
        <f>+K6*'Цени капацитети'!$E$49+L6*'Цени капацитети'!$E$63</f>
        <v>0</v>
      </c>
      <c r="O6" s="175">
        <f>+$Q$3*'Цени капацитети'!$E$4+Бургас!$S$3*'Цени капацитети'!$E$25+$R$3*'Цени капацитети'!$E$9+Бургас!N6</f>
        <v>266.19600000000003</v>
      </c>
      <c r="Q6" s="681" t="s">
        <v>107</v>
      </c>
      <c r="R6" s="681"/>
      <c r="U6" s="16"/>
    </row>
    <row r="7" spans="2:21" x14ac:dyDescent="0.25">
      <c r="B7" s="47">
        <f t="shared" si="1"/>
        <v>45386</v>
      </c>
      <c r="C7" s="22">
        <v>860</v>
      </c>
      <c r="D7" s="22">
        <v>955.81799999999998</v>
      </c>
      <c r="E7" s="70">
        <f t="shared" si="0"/>
        <v>737.98299999999995</v>
      </c>
      <c r="F7" s="22">
        <v>121.834</v>
      </c>
      <c r="G7" s="22">
        <v>100</v>
      </c>
      <c r="H7" s="74">
        <v>96.000999999999976</v>
      </c>
      <c r="I7" s="74">
        <v>793.53</v>
      </c>
      <c r="J7" s="120">
        <v>0</v>
      </c>
      <c r="K7" s="250"/>
      <c r="L7" s="75"/>
      <c r="M7" s="175">
        <f>+K7*'Цени капацитети'!$F$49+L7*'Цени капацитети'!$F$63</f>
        <v>0</v>
      </c>
      <c r="N7" s="175">
        <f>+K7*'Цени капацитети'!$E$49+L7*'Цени капацитети'!$E$63</f>
        <v>0</v>
      </c>
      <c r="O7" s="175">
        <f>+$Q$3*'Цени капацитети'!$E$4+Бургас!$S$3*'Цени капацитети'!$E$25+$R$3*'Цени капацитети'!$E$9+Бургас!N7</f>
        <v>266.19600000000003</v>
      </c>
      <c r="Q7" s="681"/>
      <c r="R7" s="681"/>
      <c r="U7" s="16"/>
    </row>
    <row r="8" spans="2:21" x14ac:dyDescent="0.25">
      <c r="B8" s="47">
        <f t="shared" si="1"/>
        <v>45387</v>
      </c>
      <c r="C8" s="22">
        <v>840</v>
      </c>
      <c r="D8" s="22">
        <v>969.84500000000003</v>
      </c>
      <c r="E8" s="70">
        <f t="shared" si="0"/>
        <v>737.98299999999995</v>
      </c>
      <c r="F8" s="22">
        <v>112.6</v>
      </c>
      <c r="G8" s="22">
        <v>90</v>
      </c>
      <c r="H8" s="74">
        <v>119.26200000000006</v>
      </c>
      <c r="I8" s="74">
        <v>793.53</v>
      </c>
      <c r="J8" s="120">
        <v>0</v>
      </c>
      <c r="K8" s="250"/>
      <c r="L8" s="75"/>
      <c r="M8" s="175">
        <f>+K8*'Цени капацитети'!$F$49+L8*'Цени капацитети'!$F$63</f>
        <v>0</v>
      </c>
      <c r="N8" s="175">
        <f>+K8*'Цени капацитети'!$E$49+L8*'Цени капацитети'!$E$63</f>
        <v>0</v>
      </c>
      <c r="O8" s="175">
        <f>+$Q$3*'Цени капацитети'!$E$4+Бургас!$S$3*'Цени капацитети'!$E$25+$R$3*'Цени капацитети'!$E$9+Бургас!N8</f>
        <v>266.19600000000003</v>
      </c>
      <c r="Q8" s="681"/>
      <c r="R8" s="681"/>
      <c r="U8" s="16"/>
    </row>
    <row r="9" spans="2:21" x14ac:dyDescent="0.25">
      <c r="B9" s="47">
        <f t="shared" si="1"/>
        <v>45388</v>
      </c>
      <c r="C9" s="22">
        <v>860</v>
      </c>
      <c r="D9" s="22">
        <v>944.46</v>
      </c>
      <c r="E9" s="70">
        <f t="shared" si="0"/>
        <v>737.98299999999995</v>
      </c>
      <c r="F9" s="22">
        <v>59.896999999999998</v>
      </c>
      <c r="G9" s="22">
        <v>100</v>
      </c>
      <c r="H9" s="74">
        <v>146.58000000000004</v>
      </c>
      <c r="I9" s="74">
        <v>793.53</v>
      </c>
      <c r="J9" s="120">
        <v>0</v>
      </c>
      <c r="K9" s="250"/>
      <c r="L9" s="75"/>
      <c r="M9" s="175">
        <f>+K9*'Цени капацитети'!$F$49+L9*'Цени капацитети'!$F$63</f>
        <v>0</v>
      </c>
      <c r="N9" s="175">
        <f>+K9*'Цени капацитети'!$E$49+L9*'Цени капацитети'!$E$63</f>
        <v>0</v>
      </c>
      <c r="O9" s="175">
        <f>+$Q$3*'Цени капацитети'!$E$4+Бургас!$S$3*'Цени капацитети'!$E$25+$R$3*'Цени капацитети'!$E$9+Бургас!N9</f>
        <v>266.19600000000003</v>
      </c>
      <c r="Q9" s="113" t="s">
        <v>18</v>
      </c>
      <c r="R9" s="114" t="s">
        <v>6</v>
      </c>
      <c r="U9" s="16"/>
    </row>
    <row r="10" spans="2:21" x14ac:dyDescent="0.25">
      <c r="B10" s="47">
        <f t="shared" si="1"/>
        <v>45389</v>
      </c>
      <c r="C10" s="22">
        <v>860</v>
      </c>
      <c r="D10" s="22">
        <v>944.02200000000005</v>
      </c>
      <c r="E10" s="70">
        <f t="shared" si="0"/>
        <v>737.98299999999995</v>
      </c>
      <c r="F10" s="22">
        <v>72.387</v>
      </c>
      <c r="G10" s="22">
        <v>120</v>
      </c>
      <c r="H10" s="74">
        <v>133.65200000000004</v>
      </c>
      <c r="I10" s="74">
        <v>793.53</v>
      </c>
      <c r="J10" s="120">
        <v>0</v>
      </c>
      <c r="K10" s="250"/>
      <c r="L10" s="75"/>
      <c r="M10" s="175">
        <f>+K10*'Цени капацитети'!$F$49+L10*'Цени капацитети'!$F$63</f>
        <v>0</v>
      </c>
      <c r="N10" s="175">
        <f>+K10*'Цени капацитети'!$E$49+L10*'Цени капацитети'!$E$63</f>
        <v>0</v>
      </c>
      <c r="O10" s="175">
        <f>+$Q$3*'Цени капацитети'!$E$4+Бургас!$S$3*'Цени капацитети'!$E$25+$R$3*'Цени капацитети'!$E$9+Бургас!N10</f>
        <v>266.19600000000003</v>
      </c>
      <c r="Q10" s="113"/>
      <c r="R10" s="113"/>
      <c r="U10" s="16"/>
    </row>
    <row r="11" spans="2:21" x14ac:dyDescent="0.25">
      <c r="B11" s="47">
        <f t="shared" si="1"/>
        <v>45390</v>
      </c>
      <c r="C11" s="22">
        <v>738</v>
      </c>
      <c r="D11" s="22">
        <v>866.17</v>
      </c>
      <c r="E11" s="70">
        <f t="shared" si="0"/>
        <v>737.98299999999995</v>
      </c>
      <c r="F11" s="22">
        <v>124.71599999999999</v>
      </c>
      <c r="G11" s="22">
        <v>1</v>
      </c>
      <c r="H11" s="74">
        <v>3.4710000000000036</v>
      </c>
      <c r="I11" s="74">
        <v>793.53</v>
      </c>
      <c r="J11" s="120">
        <v>0</v>
      </c>
      <c r="K11" s="250"/>
      <c r="L11" s="75"/>
      <c r="M11" s="175">
        <f>+K11*'Цени капацитети'!$F$49+L11*'Цени капацитети'!$F$63</f>
        <v>0</v>
      </c>
      <c r="N11" s="175">
        <f>+K11*'Цени капацитети'!$E$49+L11*'Цени капацитети'!$E$63</f>
        <v>0</v>
      </c>
      <c r="O11" s="175">
        <f>+$Q$3*'Цени капацитети'!$E$4+Бургас!$S$3*'Цени капацитети'!$E$25+$R$3*'Цени капацитети'!$E$9+Бургас!N11</f>
        <v>266.19600000000003</v>
      </c>
      <c r="Q11" s="17"/>
      <c r="U11" s="16"/>
    </row>
    <row r="12" spans="2:21" x14ac:dyDescent="0.25">
      <c r="B12" s="47">
        <f t="shared" si="1"/>
        <v>45391</v>
      </c>
      <c r="C12" s="22">
        <v>728</v>
      </c>
      <c r="D12" s="22">
        <v>844.65899999999999</v>
      </c>
      <c r="E12" s="70">
        <f t="shared" si="0"/>
        <v>725.27</v>
      </c>
      <c r="F12" s="22">
        <v>119.389</v>
      </c>
      <c r="G12" s="22">
        <v>1</v>
      </c>
      <c r="H12" s="74">
        <v>0</v>
      </c>
      <c r="I12" s="74">
        <v>793.53</v>
      </c>
      <c r="J12" s="120">
        <v>0</v>
      </c>
      <c r="K12" s="250"/>
      <c r="L12" s="75"/>
      <c r="M12" s="175">
        <f>+K12*'Цени капацитети'!$F$49+L12*'Цени капацитети'!$F$63</f>
        <v>0</v>
      </c>
      <c r="N12" s="175">
        <f>+K12*'Цени капацитети'!$E$49+L12*'Цени капацитети'!$E$63</f>
        <v>0</v>
      </c>
      <c r="O12" s="175">
        <f>+$Q$3*'Цени капацитети'!$E$4+Бургас!$S$3*'Цени капацитети'!$E$25+$R$3*'Цени капацитети'!$E$9+Бургас!N12</f>
        <v>266.19600000000003</v>
      </c>
      <c r="Q12" s="17"/>
      <c r="U12" s="16"/>
    </row>
    <row r="13" spans="2:21" x14ac:dyDescent="0.25">
      <c r="B13" s="47">
        <f t="shared" si="1"/>
        <v>45392</v>
      </c>
      <c r="C13" s="22">
        <v>728</v>
      </c>
      <c r="D13" s="22">
        <v>845.35299999999995</v>
      </c>
      <c r="E13" s="70">
        <f t="shared" si="0"/>
        <v>733.82099999999991</v>
      </c>
      <c r="F13" s="22">
        <v>111.532</v>
      </c>
      <c r="G13" s="22">
        <v>0</v>
      </c>
      <c r="H13" s="74">
        <v>0</v>
      </c>
      <c r="I13" s="74">
        <v>793.53</v>
      </c>
      <c r="J13" s="120">
        <v>0</v>
      </c>
      <c r="K13" s="250"/>
      <c r="L13" s="75"/>
      <c r="M13" s="175">
        <f>+K13*'Цени капацитети'!$F$49+L13*'Цени капацитети'!$F$63</f>
        <v>0</v>
      </c>
      <c r="N13" s="175">
        <f>+K13*'Цени капацитети'!$E$49+L13*'Цени капацитети'!$E$63</f>
        <v>0</v>
      </c>
      <c r="O13" s="175">
        <f>+$Q$3*'Цени капацитети'!$E$4+Бургас!$S$3*'Цени капацитети'!$E$25+$R$3*'Цени капацитети'!$E$9+Бургас!N13</f>
        <v>266.19600000000003</v>
      </c>
      <c r="Q13" s="23"/>
      <c r="U13" s="16"/>
    </row>
    <row r="14" spans="2:21" x14ac:dyDescent="0.25">
      <c r="B14" s="47">
        <f t="shared" si="1"/>
        <v>45393</v>
      </c>
      <c r="C14" s="22">
        <v>728</v>
      </c>
      <c r="D14" s="22">
        <v>841.20100000000002</v>
      </c>
      <c r="E14" s="70">
        <f t="shared" si="0"/>
        <v>728.548</v>
      </c>
      <c r="F14" s="22">
        <v>112.65300000000001</v>
      </c>
      <c r="G14" s="22">
        <v>0</v>
      </c>
      <c r="H14" s="74">
        <v>0</v>
      </c>
      <c r="I14" s="74">
        <v>793.53</v>
      </c>
      <c r="J14" s="120">
        <v>0</v>
      </c>
      <c r="K14" s="250"/>
      <c r="L14" s="75"/>
      <c r="M14" s="175">
        <f>+K14*'Цени капацитети'!$F$49+L14*'Цени капацитети'!$F$63</f>
        <v>0</v>
      </c>
      <c r="N14" s="175">
        <f>+K14*'Цени капацитети'!$E$49+L14*'Цени капацитети'!$E$63</f>
        <v>0</v>
      </c>
      <c r="O14" s="175">
        <f>+$Q$3*'Цени капацитети'!$E$4+Бургас!$S$3*'Цени капацитети'!$E$25+$R$3*'Цени капацитети'!$E$9+Бургас!N14</f>
        <v>266.19600000000003</v>
      </c>
      <c r="Q14" s="16"/>
      <c r="U14" s="16"/>
    </row>
    <row r="15" spans="2:21" x14ac:dyDescent="0.25">
      <c r="B15" s="47">
        <f t="shared" si="1"/>
        <v>45394</v>
      </c>
      <c r="C15" s="22">
        <v>728</v>
      </c>
      <c r="D15" s="22">
        <v>846.12199999999996</v>
      </c>
      <c r="E15" s="70">
        <f t="shared" si="0"/>
        <v>735.0809999999999</v>
      </c>
      <c r="F15" s="22">
        <v>111.041</v>
      </c>
      <c r="G15" s="22">
        <v>0</v>
      </c>
      <c r="H15" s="74">
        <v>0</v>
      </c>
      <c r="I15" s="74">
        <v>793.53</v>
      </c>
      <c r="J15" s="120">
        <v>0</v>
      </c>
      <c r="K15" s="250"/>
      <c r="L15" s="75"/>
      <c r="M15" s="175">
        <f>+K15*'Цени капацитети'!$F$49+L15*'Цени капацитети'!$F$63</f>
        <v>0</v>
      </c>
      <c r="N15" s="175">
        <f>+K15*'Цени капацитети'!$E$49+L15*'Цени капацитети'!$E$63</f>
        <v>0</v>
      </c>
      <c r="O15" s="175">
        <f>+$Q$3*'Цени капацитети'!$E$4+Бургас!$S$3*'Цени капацитети'!$E$25+$R$3*'Цени капацитети'!$E$9+Бургас!N15</f>
        <v>266.19600000000003</v>
      </c>
      <c r="Q15" s="16"/>
      <c r="U15" s="16"/>
    </row>
    <row r="16" spans="2:21" x14ac:dyDescent="0.25">
      <c r="B16" s="47">
        <f t="shared" si="1"/>
        <v>45395</v>
      </c>
      <c r="C16" s="22">
        <v>728</v>
      </c>
      <c r="D16" s="22">
        <v>795.13800000000003</v>
      </c>
      <c r="E16" s="70">
        <f t="shared" si="0"/>
        <v>734.952</v>
      </c>
      <c r="F16" s="22">
        <v>60.186</v>
      </c>
      <c r="G16" s="22">
        <v>0</v>
      </c>
      <c r="H16" s="74">
        <v>0</v>
      </c>
      <c r="I16" s="74">
        <v>793.53</v>
      </c>
      <c r="J16" s="120">
        <v>0</v>
      </c>
      <c r="K16" s="250"/>
      <c r="L16" s="75"/>
      <c r="M16" s="175">
        <f>+K16*'Цени капацитети'!$F$49+L16*'Цени капацитети'!$F$63</f>
        <v>0</v>
      </c>
      <c r="N16" s="175">
        <f>+K16*'Цени капацитети'!$E$49+L16*'Цени капацитети'!$E$63</f>
        <v>0</v>
      </c>
      <c r="O16" s="175">
        <f>+$Q$3*'Цени капацитети'!$E$4+Бургас!$S$3*'Цени капацитети'!$E$25+$R$3*'Цени капацитети'!$E$9+Бургас!N16</f>
        <v>266.19600000000003</v>
      </c>
      <c r="U16" s="16"/>
    </row>
    <row r="17" spans="2:21" x14ac:dyDescent="0.25">
      <c r="B17" s="47">
        <f t="shared" si="1"/>
        <v>45396</v>
      </c>
      <c r="C17" s="22">
        <v>728</v>
      </c>
      <c r="D17" s="22">
        <v>792.74699999999996</v>
      </c>
      <c r="E17" s="70">
        <f t="shared" si="0"/>
        <v>732.89199999999994</v>
      </c>
      <c r="F17" s="22">
        <v>59.854999999999997</v>
      </c>
      <c r="G17" s="22">
        <v>0</v>
      </c>
      <c r="H17" s="74">
        <v>0</v>
      </c>
      <c r="I17" s="74">
        <v>793.53</v>
      </c>
      <c r="J17" s="120">
        <v>0</v>
      </c>
      <c r="K17" s="250"/>
      <c r="L17" s="75"/>
      <c r="M17" s="175">
        <f>+K17*'Цени капацитети'!$F$49+L17*'Цени капацитети'!$F$63</f>
        <v>0</v>
      </c>
      <c r="N17" s="175">
        <f>+K17*'Цени капацитети'!$E$49+L17*'Цени капацитети'!$E$63</f>
        <v>0</v>
      </c>
      <c r="O17" s="175">
        <f>+$Q$3*'Цени капацитети'!$E$4+Бургас!$S$3*'Цени капацитети'!$E$25+$R$3*'Цени капацитети'!$E$9+Бургас!N17</f>
        <v>266.19600000000003</v>
      </c>
      <c r="U17" s="16"/>
    </row>
    <row r="18" spans="2:21" x14ac:dyDescent="0.25">
      <c r="B18" s="47">
        <f t="shared" si="1"/>
        <v>45397</v>
      </c>
      <c r="C18" s="22">
        <v>728</v>
      </c>
      <c r="D18" s="22">
        <v>785.28499999999997</v>
      </c>
      <c r="E18" s="70">
        <f t="shared" si="0"/>
        <v>676.37899999999991</v>
      </c>
      <c r="F18" s="22">
        <v>108.90600000000001</v>
      </c>
      <c r="G18" s="22">
        <v>0</v>
      </c>
      <c r="H18" s="74">
        <v>0</v>
      </c>
      <c r="I18" s="74">
        <v>793.53</v>
      </c>
      <c r="J18" s="120">
        <v>0</v>
      </c>
      <c r="K18" s="250"/>
      <c r="L18" s="75"/>
      <c r="M18" s="175">
        <f>+K18*'Цени капацитети'!$F$49+L18*'Цени капацитети'!$F$63</f>
        <v>0</v>
      </c>
      <c r="N18" s="175">
        <f>+K18*'Цени капацитети'!$E$49+L18*'Цени капацитети'!$E$63</f>
        <v>0</v>
      </c>
      <c r="O18" s="175">
        <f>+$Q$3*'Цени капацитети'!$E$4+Бургас!$S$3*'Цени капацитети'!$E$25+$R$3*'Цени капацитети'!$E$9+Бургас!N18</f>
        <v>266.19600000000003</v>
      </c>
      <c r="U18" s="16"/>
    </row>
    <row r="19" spans="2:21" x14ac:dyDescent="0.25">
      <c r="B19" s="47">
        <f t="shared" si="1"/>
        <v>45398</v>
      </c>
      <c r="C19" s="22"/>
      <c r="D19" s="22"/>
      <c r="E19" s="70">
        <f t="shared" si="0"/>
        <v>0</v>
      </c>
      <c r="F19" s="22"/>
      <c r="G19" s="22"/>
      <c r="H19" s="74"/>
      <c r="I19" s="74"/>
      <c r="J19" s="120">
        <v>0</v>
      </c>
      <c r="K19" s="250"/>
      <c r="L19" s="75"/>
      <c r="M19" s="175">
        <f>+K19*'Цени капацитети'!$F$49+L19*'Цени капацитети'!$F$63</f>
        <v>0</v>
      </c>
      <c r="N19" s="175">
        <f>+K19*'Цени капацитети'!$E$49+L19*'Цени капацитети'!$E$63</f>
        <v>0</v>
      </c>
      <c r="O19" s="175">
        <f>+$Q$3*'Цени капацитети'!$E$4+Бургас!$S$3*'Цени капацитети'!$E$25+$R$3*'Цени капацитети'!$E$9+Бургас!N19</f>
        <v>266.19600000000003</v>
      </c>
      <c r="U19" s="16"/>
    </row>
    <row r="20" spans="2:21" x14ac:dyDescent="0.25">
      <c r="B20" s="47">
        <f t="shared" si="1"/>
        <v>45399</v>
      </c>
      <c r="C20" s="22"/>
      <c r="D20" s="22"/>
      <c r="E20" s="70">
        <f t="shared" si="0"/>
        <v>0</v>
      </c>
      <c r="F20" s="22"/>
      <c r="G20" s="22"/>
      <c r="H20" s="74"/>
      <c r="I20" s="74"/>
      <c r="J20" s="120">
        <v>0</v>
      </c>
      <c r="K20" s="250"/>
      <c r="L20" s="75"/>
      <c r="M20" s="175">
        <f>+K20*'Цени капацитети'!$F$49+L20*'Цени капацитети'!$F$63</f>
        <v>0</v>
      </c>
      <c r="N20" s="175">
        <f>+K20*'Цени капацитети'!$E$49+L20*'Цени капацитети'!$E$63</f>
        <v>0</v>
      </c>
      <c r="O20" s="175">
        <f>+$Q$3*'Цени капацитети'!$E$4+Бургас!$S$3*'Цени капацитети'!$E$25+$R$3*'Цени капацитети'!$E$9+Бургас!N20</f>
        <v>266.19600000000003</v>
      </c>
      <c r="U20" s="16"/>
    </row>
    <row r="21" spans="2:21" x14ac:dyDescent="0.25">
      <c r="B21" s="47">
        <f t="shared" si="1"/>
        <v>45400</v>
      </c>
      <c r="C21" s="22"/>
      <c r="D21" s="22"/>
      <c r="E21" s="70">
        <f t="shared" si="0"/>
        <v>0</v>
      </c>
      <c r="F21" s="22"/>
      <c r="G21" s="22"/>
      <c r="H21" s="74"/>
      <c r="I21" s="74"/>
      <c r="J21" s="120">
        <v>0</v>
      </c>
      <c r="K21" s="250"/>
      <c r="L21" s="75"/>
      <c r="M21" s="175">
        <f>+K21*'Цени капацитети'!$F$49+L21*'Цени капацитети'!$F$63</f>
        <v>0</v>
      </c>
      <c r="N21" s="175">
        <f>+K21*'Цени капацитети'!$E$49+L21*'Цени капацитети'!$E$63</f>
        <v>0</v>
      </c>
      <c r="O21" s="175">
        <f>+$Q$3*'Цени капацитети'!$E$4+Бургас!$S$3*'Цени капацитети'!$E$25+$R$3*'Цени капацитети'!$E$9+Бургас!N21</f>
        <v>266.19600000000003</v>
      </c>
      <c r="U21" s="16"/>
    </row>
    <row r="22" spans="2:21" x14ac:dyDescent="0.25">
      <c r="B22" s="47">
        <f t="shared" si="1"/>
        <v>45401</v>
      </c>
      <c r="C22" s="22"/>
      <c r="D22" s="22"/>
      <c r="E22" s="70">
        <f t="shared" si="0"/>
        <v>0</v>
      </c>
      <c r="F22" s="22"/>
      <c r="G22" s="22"/>
      <c r="H22" s="74"/>
      <c r="I22" s="74"/>
      <c r="J22" s="120">
        <v>0</v>
      </c>
      <c r="K22" s="250"/>
      <c r="L22" s="75"/>
      <c r="M22" s="175">
        <f>+K22*'Цени капацитети'!$F$49+L22*'Цени капацитети'!$F$63</f>
        <v>0</v>
      </c>
      <c r="N22" s="175">
        <f>+K22*'Цени капацитети'!$E$49+L22*'Цени капацитети'!$E$63</f>
        <v>0</v>
      </c>
      <c r="O22" s="175">
        <f>+$Q$3*'Цени капацитети'!$E$4+Бургас!$S$3*'Цени капацитети'!$E$25+$R$3*'Цени капацитети'!$E$9+Бургас!N22</f>
        <v>266.19600000000003</v>
      </c>
      <c r="U22" s="16"/>
    </row>
    <row r="23" spans="2:21" x14ac:dyDescent="0.25">
      <c r="B23" s="47">
        <f t="shared" si="1"/>
        <v>45402</v>
      </c>
      <c r="C23" s="22"/>
      <c r="D23" s="22"/>
      <c r="E23" s="70">
        <f t="shared" si="0"/>
        <v>0</v>
      </c>
      <c r="F23" s="22"/>
      <c r="G23" s="22"/>
      <c r="H23" s="74"/>
      <c r="I23" s="74"/>
      <c r="J23" s="120">
        <v>0</v>
      </c>
      <c r="K23" s="250"/>
      <c r="L23" s="75"/>
      <c r="M23" s="175">
        <f>+K23*'Цени капацитети'!$F$49+L23*'Цени капацитети'!$F$63</f>
        <v>0</v>
      </c>
      <c r="N23" s="175">
        <f>+K23*'Цени капацитети'!$E$49+L23*'Цени капацитети'!$E$63</f>
        <v>0</v>
      </c>
      <c r="O23" s="175">
        <f>+$Q$3*'Цени капацитети'!$E$4+Бургас!$S$3*'Цени капацитети'!$E$25+$R$3*'Цени капацитети'!$E$9+Бургас!N23</f>
        <v>266.19600000000003</v>
      </c>
      <c r="U23" s="16"/>
    </row>
    <row r="24" spans="2:21" x14ac:dyDescent="0.25">
      <c r="B24" s="47">
        <f t="shared" si="1"/>
        <v>45403</v>
      </c>
      <c r="C24" s="22"/>
      <c r="D24" s="22"/>
      <c r="E24" s="70">
        <f t="shared" si="0"/>
        <v>0</v>
      </c>
      <c r="F24" s="22"/>
      <c r="G24" s="22"/>
      <c r="H24" s="74"/>
      <c r="I24" s="74"/>
      <c r="J24" s="120">
        <v>0</v>
      </c>
      <c r="K24" s="250"/>
      <c r="L24" s="75"/>
      <c r="M24" s="175">
        <f>+K24*'Цени капацитети'!$F$49+L24*'Цени капацитети'!$F$63</f>
        <v>0</v>
      </c>
      <c r="N24" s="175">
        <f>+K24*'Цени капацитети'!$E$49+L24*'Цени капацитети'!$E$63</f>
        <v>0</v>
      </c>
      <c r="O24" s="175">
        <f>+$Q$3*'Цени капацитети'!$E$4+Бургас!$S$3*'Цени капацитети'!$E$25+$R$3*'Цени капацитети'!$E$9+Бургас!N24</f>
        <v>266.19600000000003</v>
      </c>
      <c r="U24" s="16"/>
    </row>
    <row r="25" spans="2:21" x14ac:dyDescent="0.25">
      <c r="B25" s="47">
        <f t="shared" si="1"/>
        <v>45404</v>
      </c>
      <c r="C25" s="22"/>
      <c r="D25" s="22"/>
      <c r="E25" s="70">
        <f t="shared" si="0"/>
        <v>0</v>
      </c>
      <c r="F25" s="22"/>
      <c r="G25" s="22"/>
      <c r="H25" s="74"/>
      <c r="I25" s="74"/>
      <c r="J25" s="120">
        <v>0</v>
      </c>
      <c r="K25" s="250"/>
      <c r="L25" s="75"/>
      <c r="M25" s="175">
        <f>+K25*'Цени капацитети'!$F$49+L25*'Цени капацитети'!$F$63</f>
        <v>0</v>
      </c>
      <c r="N25" s="175">
        <f>+K25*'Цени капацитети'!$E$49+L25*'Цени капацитети'!$E$63</f>
        <v>0</v>
      </c>
      <c r="O25" s="175">
        <f>+$Q$3*'Цени капацитети'!$E$4+Бургас!$S$3*'Цени капацитети'!$E$25+$R$3*'Цени капацитети'!$E$9+Бургас!N25</f>
        <v>266.19600000000003</v>
      </c>
      <c r="U25" s="16"/>
    </row>
    <row r="26" spans="2:21" x14ac:dyDescent="0.25">
      <c r="B26" s="47">
        <f t="shared" si="1"/>
        <v>45405</v>
      </c>
      <c r="C26" s="22"/>
      <c r="D26" s="22"/>
      <c r="E26" s="70">
        <f t="shared" si="0"/>
        <v>0</v>
      </c>
      <c r="F26" s="22"/>
      <c r="G26" s="22"/>
      <c r="H26" s="74"/>
      <c r="I26" s="74"/>
      <c r="J26" s="120">
        <v>0</v>
      </c>
      <c r="K26" s="250"/>
      <c r="L26" s="75"/>
      <c r="M26" s="175">
        <f>+K26*'Цени капацитети'!$F$49+L26*'Цени капацитети'!$F$63</f>
        <v>0</v>
      </c>
      <c r="N26" s="175">
        <f>+K26*'Цени капацитети'!$E$49+L26*'Цени капацитети'!$E$63</f>
        <v>0</v>
      </c>
      <c r="O26" s="175">
        <f>+$Q$3*'Цени капацитети'!$E$4+Бургас!$S$3*'Цени капацитети'!$E$25+$R$3*'Цени капацитети'!$E$9+Бургас!N26</f>
        <v>266.19600000000003</v>
      </c>
      <c r="U26" s="16"/>
    </row>
    <row r="27" spans="2:21" x14ac:dyDescent="0.25">
      <c r="B27" s="47">
        <f t="shared" si="1"/>
        <v>45406</v>
      </c>
      <c r="C27" s="22"/>
      <c r="D27" s="22"/>
      <c r="E27" s="70">
        <f t="shared" si="0"/>
        <v>0</v>
      </c>
      <c r="F27" s="22"/>
      <c r="G27" s="22"/>
      <c r="H27" s="74"/>
      <c r="I27" s="74"/>
      <c r="J27" s="120">
        <v>0</v>
      </c>
      <c r="K27" s="250"/>
      <c r="L27" s="75"/>
      <c r="M27" s="175">
        <f>+K27*'Цени капацитети'!$F$49+L27*'Цени капацитети'!$F$63</f>
        <v>0</v>
      </c>
      <c r="N27" s="175">
        <f>+K27*'Цени капацитети'!$E$49+L27*'Цени капацитети'!$E$63</f>
        <v>0</v>
      </c>
      <c r="O27" s="175">
        <f>+$Q$3*'Цени капацитети'!$E$4+Бургас!$S$3*'Цени капацитети'!$E$25+$R$3*'Цени капацитети'!$E$9+Бургас!N27</f>
        <v>266.19600000000003</v>
      </c>
      <c r="U27" s="16"/>
    </row>
    <row r="28" spans="2:21" x14ac:dyDescent="0.25">
      <c r="B28" s="47">
        <f t="shared" si="1"/>
        <v>45407</v>
      </c>
      <c r="C28" s="22"/>
      <c r="D28" s="22"/>
      <c r="E28" s="70">
        <f t="shared" si="0"/>
        <v>0</v>
      </c>
      <c r="F28" s="22"/>
      <c r="G28" s="22"/>
      <c r="H28" s="74"/>
      <c r="I28" s="74"/>
      <c r="J28" s="120">
        <v>0</v>
      </c>
      <c r="K28" s="250"/>
      <c r="L28" s="75"/>
      <c r="M28" s="175">
        <f>+K28*'Цени капацитети'!$F$49+L28*'Цени капацитети'!$F$63</f>
        <v>0</v>
      </c>
      <c r="N28" s="175">
        <f>+K28*'Цени капацитети'!$E$49+L28*'Цени капацитети'!$E$63</f>
        <v>0</v>
      </c>
      <c r="O28" s="175">
        <f>+$Q$3*'Цени капацитети'!$E$4+Бургас!$S$3*'Цени капацитети'!$E$25+$R$3*'Цени капацитети'!$E$9+Бургас!N28</f>
        <v>266.19600000000003</v>
      </c>
      <c r="U28" s="16"/>
    </row>
    <row r="29" spans="2:21" x14ac:dyDescent="0.25">
      <c r="B29" s="47">
        <f t="shared" si="1"/>
        <v>45408</v>
      </c>
      <c r="C29" s="22"/>
      <c r="D29" s="22"/>
      <c r="E29" s="70">
        <f t="shared" si="0"/>
        <v>0</v>
      </c>
      <c r="F29" s="22"/>
      <c r="G29" s="22"/>
      <c r="H29" s="74"/>
      <c r="I29" s="74"/>
      <c r="J29" s="120">
        <v>0</v>
      </c>
      <c r="K29" s="250"/>
      <c r="L29" s="75"/>
      <c r="M29" s="175">
        <f>+K29*'Цени капацитети'!$F$49+L29*'Цени капацитети'!$F$63</f>
        <v>0</v>
      </c>
      <c r="N29" s="175">
        <f>+K29*'Цени капацитети'!$E$49+L29*'Цени капацитети'!$E$63</f>
        <v>0</v>
      </c>
      <c r="O29" s="175">
        <f>+$Q$3*'Цени капацитети'!$E$4+Бургас!$S$3*'Цени капацитети'!$E$25+$R$3*'Цени капацитети'!$E$9+Бургас!N29</f>
        <v>266.19600000000003</v>
      </c>
      <c r="U29" s="16"/>
    </row>
    <row r="30" spans="2:21" x14ac:dyDescent="0.25">
      <c r="B30" s="47">
        <f t="shared" si="1"/>
        <v>45409</v>
      </c>
      <c r="C30" s="22"/>
      <c r="D30" s="22"/>
      <c r="E30" s="70">
        <f t="shared" si="0"/>
        <v>0</v>
      </c>
      <c r="F30" s="22"/>
      <c r="G30" s="22"/>
      <c r="H30" s="74"/>
      <c r="I30" s="74"/>
      <c r="J30" s="120">
        <v>0</v>
      </c>
      <c r="K30" s="250"/>
      <c r="L30" s="75"/>
      <c r="M30" s="175">
        <f>+K30*'Цени капацитети'!$F$49+L30*'Цени капацитети'!$F$63</f>
        <v>0</v>
      </c>
      <c r="N30" s="175">
        <f>+K30*'Цени капацитети'!$E$49+L30*'Цени капацитети'!$E$63</f>
        <v>0</v>
      </c>
      <c r="O30" s="175">
        <f>+$Q$3*'Цени капацитети'!$E$4+Бургас!$S$3*'Цени капацитети'!$E$25+$R$3*'Цени капацитети'!$E$9+Бургас!N30</f>
        <v>266.19600000000003</v>
      </c>
      <c r="U30" s="16"/>
    </row>
    <row r="31" spans="2:21" x14ac:dyDescent="0.25">
      <c r="B31" s="47">
        <f t="shared" si="1"/>
        <v>45410</v>
      </c>
      <c r="C31" s="22"/>
      <c r="D31" s="22"/>
      <c r="E31" s="70">
        <f t="shared" ref="E31:E33" si="2">+D31-F31-H31</f>
        <v>0</v>
      </c>
      <c r="F31" s="22"/>
      <c r="G31" s="22"/>
      <c r="H31" s="74"/>
      <c r="I31" s="74"/>
      <c r="J31" s="120">
        <v>0</v>
      </c>
      <c r="K31" s="250"/>
      <c r="L31" s="75"/>
      <c r="M31" s="175">
        <f>+K31*'Цени капацитети'!$F$49+L31*'Цени капацитети'!$F$63</f>
        <v>0</v>
      </c>
      <c r="N31" s="175">
        <f>+K31*'Цени капацитети'!$E$49+L31*'Цени капацитети'!$E$63</f>
        <v>0</v>
      </c>
      <c r="O31" s="175">
        <f>+$Q$3*'Цени капацитети'!$E$4+Бургас!$S$3*'Цени капацитети'!$E$25+$R$3*'Цени капацитети'!$E$9+Бургас!N31</f>
        <v>266.19600000000003</v>
      </c>
      <c r="U31" s="16"/>
    </row>
    <row r="32" spans="2:21" x14ac:dyDescent="0.25">
      <c r="B32" s="47">
        <f t="shared" si="1"/>
        <v>45411</v>
      </c>
      <c r="C32" s="22"/>
      <c r="D32" s="22"/>
      <c r="E32" s="70">
        <f t="shared" si="2"/>
        <v>0</v>
      </c>
      <c r="F32" s="22"/>
      <c r="G32" s="22"/>
      <c r="H32" s="74"/>
      <c r="I32" s="74"/>
      <c r="J32" s="120">
        <v>0</v>
      </c>
      <c r="K32" s="250"/>
      <c r="L32" s="75"/>
      <c r="M32" s="175">
        <f>+K32*'Цени капацитети'!$F$49+L32*'Цени капацитети'!$F$63</f>
        <v>0</v>
      </c>
      <c r="N32" s="175">
        <f>+K32*'Цени капацитети'!$E$49+L32*'Цени капацитети'!$E$63</f>
        <v>0</v>
      </c>
      <c r="O32" s="175">
        <f>+$Q$3*'Цени капацитети'!$E$4+Бургас!$S$3*'Цени капацитети'!$E$25+$R$3*'Цени капацитети'!$E$9+Бургас!N32</f>
        <v>266.19600000000003</v>
      </c>
      <c r="U32" s="16"/>
    </row>
    <row r="33" spans="2:21" x14ac:dyDescent="0.25">
      <c r="B33" s="47">
        <f t="shared" si="1"/>
        <v>45412</v>
      </c>
      <c r="C33" s="22"/>
      <c r="D33" s="22"/>
      <c r="E33" s="70">
        <f t="shared" si="2"/>
        <v>0</v>
      </c>
      <c r="F33" s="22"/>
      <c r="G33" s="22"/>
      <c r="H33" s="74"/>
      <c r="I33" s="74"/>
      <c r="J33" s="120">
        <v>0</v>
      </c>
      <c r="K33" s="250"/>
      <c r="L33" s="75"/>
      <c r="M33" s="175">
        <f>+K33*'Цени капацитети'!$F$49+L33*'Цени капацитети'!$F$63</f>
        <v>0</v>
      </c>
      <c r="N33" s="175">
        <f>+K33*'Цени капацитети'!$E$49+L33*'Цени капацитети'!$E$63</f>
        <v>0</v>
      </c>
      <c r="O33" s="175">
        <f>+$Q$3*'Цени капацитети'!$E$4+Бургас!$S$3*'Цени капацитети'!$E$25+$R$3*'Цени капацитети'!$E$9+Бургас!N33</f>
        <v>266.19600000000003</v>
      </c>
      <c r="U33" s="16"/>
    </row>
    <row r="34" spans="2:21" x14ac:dyDescent="0.25">
      <c r="D34" s="16">
        <f>SUM(D4:D33)</f>
        <v>13376.019999999999</v>
      </c>
      <c r="E34" s="16">
        <f>SUM(E4:E33)</f>
        <v>10970.806999999997</v>
      </c>
      <c r="F34" s="16">
        <f>SUM(F4:F33)</f>
        <v>1515.3779999999999</v>
      </c>
      <c r="H34" s="16">
        <f>SUM(H4:H33)</f>
        <v>889.83500000000026</v>
      </c>
      <c r="I34" s="16"/>
      <c r="J34" s="16">
        <f>SUM(J4:J33)</f>
        <v>0</v>
      </c>
      <c r="K34" s="16">
        <f>SUM(K4:K33)</f>
        <v>0</v>
      </c>
      <c r="L34" s="16">
        <f>SUM(L4:L33)</f>
        <v>0</v>
      </c>
      <c r="O34" s="16">
        <f>SUM(O4:O33)</f>
        <v>7985.8799999999983</v>
      </c>
      <c r="P34" s="257">
        <f>SUM(P4:P33)</f>
        <v>0</v>
      </c>
      <c r="U34" s="16"/>
    </row>
    <row r="35" spans="2:21" x14ac:dyDescent="0.25">
      <c r="H35" s="16"/>
    </row>
    <row r="36" spans="2:21" x14ac:dyDescent="0.25">
      <c r="E36" s="16">
        <f>SUM(E14:E23)</f>
        <v>3607.8519999999999</v>
      </c>
    </row>
  </sheetData>
  <mergeCells count="4">
    <mergeCell ref="L2:N2"/>
    <mergeCell ref="Q1:R1"/>
    <mergeCell ref="Q6:R8"/>
    <mergeCell ref="B2:J2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00"/>
  </sheetPr>
  <dimension ref="B1:S38"/>
  <sheetViews>
    <sheetView zoomScale="80" zoomScaleNormal="80" workbookViewId="0">
      <selection activeCell="F17" sqref="F17:H18"/>
    </sheetView>
  </sheetViews>
  <sheetFormatPr defaultColWidth="8.85546875" defaultRowHeight="15" x14ac:dyDescent="0.25"/>
  <cols>
    <col min="1" max="1" width="8.85546875" style="1"/>
    <col min="2" max="2" width="12.85546875" style="1" bestFit="1" customWidth="1"/>
    <col min="3" max="3" width="9.42578125" style="1" bestFit="1" customWidth="1"/>
    <col min="4" max="4" width="16.28515625" style="1" bestFit="1" customWidth="1"/>
    <col min="5" max="5" width="12.28515625" style="1" customWidth="1"/>
    <col min="6" max="6" width="10" style="1" customWidth="1"/>
    <col min="7" max="7" width="11.5703125" style="1" bestFit="1" customWidth="1"/>
    <col min="8" max="8" width="10.140625" style="1" bestFit="1" customWidth="1"/>
    <col min="9" max="10" width="10.140625" style="1" customWidth="1"/>
    <col min="11" max="11" width="15.42578125" style="1" bestFit="1" customWidth="1"/>
    <col min="12" max="12" width="13" style="1" customWidth="1"/>
    <col min="13" max="14" width="17.5703125" style="69" customWidth="1"/>
    <col min="15" max="15" width="11" style="1" customWidth="1"/>
    <col min="16" max="16" width="13.7109375" style="1" bestFit="1" customWidth="1"/>
    <col min="17" max="17" width="18.7109375" style="1" bestFit="1" customWidth="1"/>
    <col min="18" max="18" width="11.7109375" style="1" customWidth="1"/>
    <col min="19" max="19" width="8.7109375" style="1" bestFit="1" customWidth="1"/>
    <col min="20" max="20" width="14.28515625" style="1" customWidth="1"/>
    <col min="21" max="16384" width="8.85546875" style="1"/>
  </cols>
  <sheetData>
    <row r="1" spans="2:19" ht="28.15" customHeight="1" thickBot="1" x14ac:dyDescent="0.3">
      <c r="K1" s="77"/>
      <c r="L1" s="78"/>
      <c r="M1" s="78"/>
      <c r="N1" s="13"/>
      <c r="P1" s="680" t="s">
        <v>29</v>
      </c>
      <c r="Q1" s="680"/>
    </row>
    <row r="2" spans="2:19" x14ac:dyDescent="0.25">
      <c r="B2" s="685" t="s">
        <v>16</v>
      </c>
      <c r="C2" s="686"/>
      <c r="D2" s="686"/>
      <c r="E2" s="686"/>
      <c r="F2" s="686"/>
      <c r="G2" s="686"/>
      <c r="H2" s="687"/>
      <c r="I2" s="240"/>
      <c r="J2" s="240"/>
      <c r="K2" s="679" t="s">
        <v>71</v>
      </c>
      <c r="L2" s="679"/>
      <c r="M2" s="679"/>
      <c r="N2" s="52"/>
      <c r="P2" s="2" t="s">
        <v>100</v>
      </c>
      <c r="Q2" s="2" t="s">
        <v>81</v>
      </c>
      <c r="R2" s="2" t="s">
        <v>112</v>
      </c>
    </row>
    <row r="3" spans="2:19" ht="43.5" x14ac:dyDescent="0.25">
      <c r="B3" s="12" t="s">
        <v>8</v>
      </c>
      <c r="C3" s="2" t="s">
        <v>22</v>
      </c>
      <c r="D3" s="40" t="s">
        <v>23</v>
      </c>
      <c r="E3" s="40" t="s">
        <v>18</v>
      </c>
      <c r="F3" s="40" t="s">
        <v>21</v>
      </c>
      <c r="G3" s="13" t="s">
        <v>27</v>
      </c>
      <c r="H3" s="79" t="s">
        <v>6</v>
      </c>
      <c r="I3" s="241" t="s">
        <v>56</v>
      </c>
      <c r="J3" s="121" t="s">
        <v>137</v>
      </c>
      <c r="K3" s="121" t="s">
        <v>138</v>
      </c>
      <c r="L3" s="77" t="s">
        <v>103</v>
      </c>
      <c r="M3" s="77" t="s">
        <v>83</v>
      </c>
      <c r="N3" s="77" t="s">
        <v>104</v>
      </c>
      <c r="O3" s="69" t="s">
        <v>122</v>
      </c>
      <c r="P3" s="249">
        <v>50</v>
      </c>
      <c r="Q3" s="111"/>
      <c r="R3" s="111"/>
      <c r="S3" s="1" t="s">
        <v>122</v>
      </c>
    </row>
    <row r="4" spans="2:19" x14ac:dyDescent="0.25">
      <c r="B4" s="47">
        <v>45383</v>
      </c>
      <c r="C4" s="22">
        <v>360</v>
      </c>
      <c r="D4" s="22">
        <v>311.63499999999999</v>
      </c>
      <c r="E4" s="70">
        <f>+D4-H4</f>
        <v>311.63499999999999</v>
      </c>
      <c r="F4" s="22">
        <v>350.55</v>
      </c>
      <c r="G4" s="22">
        <v>0</v>
      </c>
      <c r="H4" s="80">
        <v>0</v>
      </c>
      <c r="I4" s="250">
        <v>0</v>
      </c>
      <c r="J4" s="380"/>
      <c r="K4" s="75"/>
      <c r="L4" s="175">
        <f>+J4*'Цени капацитети'!$F$49+K4*'Цени капацитети'!$F$63</f>
        <v>0</v>
      </c>
      <c r="M4" s="175">
        <f>+J4*'Цени капацитети'!$E$49+K4*'Цени капацитети'!$E$63</f>
        <v>0</v>
      </c>
      <c r="N4" s="175">
        <f>$P$3*'Цени капацитети'!$E$4+'Враца 1'!$Q$3*'Цени капацитети'!$E$25+$R$3*'Цени капацитети'!$E$10+'Враца 1'!M4</f>
        <v>63.38</v>
      </c>
      <c r="O4" s="125"/>
      <c r="S4" s="16"/>
    </row>
    <row r="5" spans="2:19" x14ac:dyDescent="0.25">
      <c r="B5" s="47">
        <f>+B4+1</f>
        <v>45384</v>
      </c>
      <c r="C5" s="22">
        <v>325</v>
      </c>
      <c r="D5" s="22">
        <v>333.03899999999999</v>
      </c>
      <c r="E5" s="70">
        <f t="shared" ref="E5:E30" si="0">+D5-H5</f>
        <v>333.03899999999999</v>
      </c>
      <c r="F5" s="22">
        <v>350.55</v>
      </c>
      <c r="G5" s="22">
        <v>0</v>
      </c>
      <c r="H5" s="80">
        <v>0</v>
      </c>
      <c r="I5" s="250">
        <v>0</v>
      </c>
      <c r="J5" s="380"/>
      <c r="K5" s="381"/>
      <c r="L5" s="175">
        <f>+J5*'Цени капацитети'!$F$49+K5*'Цени капацитети'!$F$63</f>
        <v>0</v>
      </c>
      <c r="M5" s="175">
        <f>+J5*'Цени капацитети'!$E$49+K5*'Цени капацитети'!$E$63</f>
        <v>0</v>
      </c>
      <c r="N5" s="175">
        <f>$P$3*'Цени капацитети'!$E$4+'Враца 1'!$Q$3*'Цени капацитети'!$E$25+$R$3*'Цени капацитети'!$E$10+'Враца 1'!M5</f>
        <v>63.38</v>
      </c>
      <c r="O5" s="125"/>
      <c r="S5" s="16"/>
    </row>
    <row r="6" spans="2:19" x14ac:dyDescent="0.25">
      <c r="B6" s="47">
        <f t="shared" ref="B6:B33" si="1">+B5+1</f>
        <v>45385</v>
      </c>
      <c r="C6" s="22">
        <v>325</v>
      </c>
      <c r="D6" s="22">
        <v>337.30900000000003</v>
      </c>
      <c r="E6" s="70">
        <f t="shared" si="0"/>
        <v>337.30900000000003</v>
      </c>
      <c r="F6" s="22">
        <v>350.55</v>
      </c>
      <c r="G6" s="22">
        <v>0</v>
      </c>
      <c r="H6" s="80">
        <v>0</v>
      </c>
      <c r="I6" s="250">
        <v>0</v>
      </c>
      <c r="J6" s="380"/>
      <c r="K6" s="75"/>
      <c r="L6" s="175">
        <f>+J6*'Цени капацитети'!$F$49+K6*'Цени капацитети'!$F$63</f>
        <v>0</v>
      </c>
      <c r="M6" s="175">
        <f>+J6*'Цени капацитети'!$E$49+K6*'Цени капацитети'!$E$63</f>
        <v>0</v>
      </c>
      <c r="N6" s="175">
        <f>$P$3*'Цени капацитети'!$E$4+'Враца 1'!$Q$3*'Цени капацитети'!$E$25+$R$3*'Цени капацитети'!$E$10+'Враца 1'!M6</f>
        <v>63.38</v>
      </c>
      <c r="O6" s="125"/>
      <c r="P6" s="681" t="s">
        <v>106</v>
      </c>
      <c r="Q6" s="681"/>
      <c r="S6" s="16"/>
    </row>
    <row r="7" spans="2:19" x14ac:dyDescent="0.25">
      <c r="B7" s="47">
        <f t="shared" si="1"/>
        <v>45386</v>
      </c>
      <c r="C7" s="22">
        <v>330</v>
      </c>
      <c r="D7" s="22">
        <v>340.351</v>
      </c>
      <c r="E7" s="70">
        <f t="shared" si="0"/>
        <v>340.351</v>
      </c>
      <c r="F7" s="22">
        <v>350.55</v>
      </c>
      <c r="G7" s="22">
        <v>0</v>
      </c>
      <c r="H7" s="80">
        <v>0</v>
      </c>
      <c r="I7" s="250">
        <v>0</v>
      </c>
      <c r="J7" s="380"/>
      <c r="K7" s="75"/>
      <c r="L7" s="175">
        <f>+J7*'Цени капацитети'!$F$49+K7*'Цени капацитети'!$F$63</f>
        <v>0</v>
      </c>
      <c r="M7" s="175">
        <f>+J7*'Цени капацитети'!$E$49+K7*'Цени капацитети'!$E$63</f>
        <v>0</v>
      </c>
      <c r="N7" s="175">
        <f>$P$3*'Цени капацитети'!$E$4+'Враца 1'!$Q$3*'Цени капацитети'!$E$25+$R$3*'Цени капацитети'!$E$10+'Враца 1'!M7</f>
        <v>63.38</v>
      </c>
      <c r="O7" s="125"/>
      <c r="P7" s="681"/>
      <c r="Q7" s="681"/>
      <c r="S7" s="16"/>
    </row>
    <row r="8" spans="2:19" x14ac:dyDescent="0.25">
      <c r="B8" s="47">
        <f t="shared" si="1"/>
        <v>45387</v>
      </c>
      <c r="C8" s="22">
        <v>340</v>
      </c>
      <c r="D8" s="22">
        <v>329.82499999999999</v>
      </c>
      <c r="E8" s="70">
        <f t="shared" si="0"/>
        <v>329.82499999999999</v>
      </c>
      <c r="F8" s="22">
        <v>350.55</v>
      </c>
      <c r="G8" s="22">
        <v>0</v>
      </c>
      <c r="H8" s="80">
        <v>0</v>
      </c>
      <c r="I8" s="250">
        <v>0</v>
      </c>
      <c r="J8" s="380"/>
      <c r="K8" s="75"/>
      <c r="L8" s="175">
        <f>+J8*'Цени капацитети'!$F$49+K8*'Цени капацитети'!$F$63</f>
        <v>0</v>
      </c>
      <c r="M8" s="175">
        <f>+J8*'Цени капацитети'!$E$49+K8*'Цени капацитети'!$E$63</f>
        <v>0</v>
      </c>
      <c r="N8" s="175">
        <f>$P$3*'Цени капацитети'!$E$4+'Враца 1'!$Q$3*'Цени капацитети'!$E$25+$R$3*'Цени капацитети'!$E$10+'Враца 1'!M8</f>
        <v>63.38</v>
      </c>
      <c r="O8" s="125"/>
      <c r="P8" s="681"/>
      <c r="Q8" s="681"/>
      <c r="S8" s="16"/>
    </row>
    <row r="9" spans="2:19" x14ac:dyDescent="0.25">
      <c r="B9" s="47">
        <f t="shared" si="1"/>
        <v>45388</v>
      </c>
      <c r="C9" s="22">
        <v>340</v>
      </c>
      <c r="D9" s="22">
        <v>332.04599999999999</v>
      </c>
      <c r="E9" s="70">
        <f t="shared" si="0"/>
        <v>332.04599999999999</v>
      </c>
      <c r="F9" s="22">
        <v>350.55</v>
      </c>
      <c r="G9" s="22">
        <v>0</v>
      </c>
      <c r="H9" s="80">
        <v>0</v>
      </c>
      <c r="I9" s="250">
        <v>0</v>
      </c>
      <c r="J9" s="380"/>
      <c r="K9" s="75"/>
      <c r="L9" s="175">
        <f>+J9*'Цени капацитети'!$F$49+K9*'Цени капацитети'!$F$63</f>
        <v>0</v>
      </c>
      <c r="M9" s="175">
        <f>+J9*'Цени капацитети'!$E$49+K9*'Цени капацитети'!$E$63</f>
        <v>0</v>
      </c>
      <c r="N9" s="175">
        <f>$P$3*'Цени капацитети'!$E$4+'Враца 1'!$Q$3*'Цени капацитети'!$E$25+$R$3*'Цени капацитети'!$E$10+'Враца 1'!M9</f>
        <v>63.38</v>
      </c>
      <c r="O9" s="125"/>
      <c r="P9" s="113" t="s">
        <v>18</v>
      </c>
      <c r="Q9" s="114" t="s">
        <v>6</v>
      </c>
      <c r="S9" s="16"/>
    </row>
    <row r="10" spans="2:19" x14ac:dyDescent="0.25">
      <c r="B10" s="47">
        <f t="shared" si="1"/>
        <v>45389</v>
      </c>
      <c r="C10" s="22">
        <v>350</v>
      </c>
      <c r="D10" s="22">
        <v>341.226</v>
      </c>
      <c r="E10" s="70">
        <f t="shared" si="0"/>
        <v>341.226</v>
      </c>
      <c r="F10" s="22">
        <v>350.55</v>
      </c>
      <c r="G10" s="22">
        <v>0</v>
      </c>
      <c r="H10" s="80">
        <v>0</v>
      </c>
      <c r="I10" s="250">
        <v>0</v>
      </c>
      <c r="J10" s="380"/>
      <c r="K10" s="75"/>
      <c r="L10" s="175">
        <f>+J10*'Цени капацитети'!$F$49+K10*'Цени капацитети'!$F$63</f>
        <v>0</v>
      </c>
      <c r="M10" s="175">
        <f>+J10*'Цени капацитети'!$E$49+K10*'Цени капацитети'!$E$63</f>
        <v>0</v>
      </c>
      <c r="N10" s="175">
        <f>$P$3*'Цени капацитети'!$E$4+'Враца 1'!$Q$3*'Цени капацитети'!$E$25+$R$3*'Цени капацитети'!$E$10+'Враца 1'!M10</f>
        <v>63.38</v>
      </c>
      <c r="O10" s="125"/>
      <c r="P10" s="113"/>
      <c r="Q10" s="113"/>
      <c r="S10" s="16"/>
    </row>
    <row r="11" spans="2:19" x14ac:dyDescent="0.25">
      <c r="B11" s="47">
        <f t="shared" si="1"/>
        <v>45390</v>
      </c>
      <c r="C11" s="22">
        <v>355</v>
      </c>
      <c r="D11" s="22">
        <v>333.65800000000002</v>
      </c>
      <c r="E11" s="70">
        <f t="shared" si="0"/>
        <v>333.65800000000002</v>
      </c>
      <c r="F11" s="22">
        <v>350.55</v>
      </c>
      <c r="G11" s="22">
        <v>0</v>
      </c>
      <c r="H11" s="80">
        <v>0</v>
      </c>
      <c r="I11" s="250">
        <v>0</v>
      </c>
      <c r="J11" s="380"/>
      <c r="K11" s="75"/>
      <c r="L11" s="175">
        <f>+J11*'Цени капацитети'!$F$49+K11*'Цени капацитети'!$F$63</f>
        <v>0</v>
      </c>
      <c r="M11" s="175">
        <f>+J11*'Цени капацитети'!$E$49+K11*'Цени капацитети'!$E$63</f>
        <v>0</v>
      </c>
      <c r="N11" s="175">
        <f>$P$3*'Цени капацитети'!$E$4+'Враца 1'!$Q$3*'Цени капацитети'!$E$25+$R$3*'Цени капацитети'!$E$10+'Враца 1'!M11</f>
        <v>63.38</v>
      </c>
      <c r="O11" s="125"/>
      <c r="P11" s="25"/>
      <c r="S11" s="16"/>
    </row>
    <row r="12" spans="2:19" x14ac:dyDescent="0.25">
      <c r="B12" s="47">
        <f t="shared" si="1"/>
        <v>45391</v>
      </c>
      <c r="C12" s="22">
        <v>345</v>
      </c>
      <c r="D12" s="22">
        <v>327.89299999999997</v>
      </c>
      <c r="E12" s="70">
        <f t="shared" si="0"/>
        <v>327.89299999999997</v>
      </c>
      <c r="F12" s="22">
        <v>350.55</v>
      </c>
      <c r="G12" s="22">
        <v>0</v>
      </c>
      <c r="H12" s="80">
        <v>0</v>
      </c>
      <c r="I12" s="250">
        <v>0</v>
      </c>
      <c r="J12" s="380"/>
      <c r="K12" s="75"/>
      <c r="L12" s="175">
        <f>+J12*'Цени капацитети'!$F$49+K12*'Цени капацитети'!$F$63</f>
        <v>0</v>
      </c>
      <c r="M12" s="175">
        <f>+J12*'Цени капацитети'!$E$49+K12*'Цени капацитети'!$E$63</f>
        <v>0</v>
      </c>
      <c r="N12" s="175">
        <f>$P$3*'Цени капацитети'!$E$4+'Враца 1'!$Q$3*'Цени капацитети'!$E$25+$R$3*'Цени капацитети'!$E$10+'Враца 1'!M12</f>
        <v>63.38</v>
      </c>
      <c r="O12" s="125"/>
      <c r="P12" s="25"/>
      <c r="S12" s="16"/>
    </row>
    <row r="13" spans="2:19" x14ac:dyDescent="0.25">
      <c r="B13" s="47">
        <f t="shared" si="1"/>
        <v>45392</v>
      </c>
      <c r="C13" s="22">
        <v>340</v>
      </c>
      <c r="D13" s="22">
        <v>331.608</v>
      </c>
      <c r="E13" s="70">
        <f t="shared" si="0"/>
        <v>331.608</v>
      </c>
      <c r="F13" s="22">
        <v>350.55</v>
      </c>
      <c r="G13" s="22">
        <v>0</v>
      </c>
      <c r="H13" s="80">
        <v>0</v>
      </c>
      <c r="I13" s="250">
        <v>0</v>
      </c>
      <c r="J13" s="380"/>
      <c r="K13" s="75"/>
      <c r="L13" s="175">
        <f>+J13*'Цени капацитети'!$F$49+K13*'Цени капацитети'!$F$63</f>
        <v>0</v>
      </c>
      <c r="M13" s="175">
        <f>+J13*'Цени капацитети'!$E$49+K13*'Цени капацитети'!$E$63</f>
        <v>0</v>
      </c>
      <c r="N13" s="175">
        <f>$P$3*'Цени капацитети'!$E$4+'Враца 1'!$Q$3*'Цени капацитети'!$E$25+$R$3*'Цени капацитети'!$E$10+'Враца 1'!M13</f>
        <v>63.38</v>
      </c>
      <c r="O13" s="125"/>
      <c r="P13" s="25"/>
      <c r="Q13" s="23"/>
      <c r="S13" s="16"/>
    </row>
    <row r="14" spans="2:19" x14ac:dyDescent="0.25">
      <c r="B14" s="47">
        <f t="shared" si="1"/>
        <v>45393</v>
      </c>
      <c r="C14" s="22">
        <v>345</v>
      </c>
      <c r="D14" s="22">
        <v>332.71800000000002</v>
      </c>
      <c r="E14" s="70">
        <f t="shared" si="0"/>
        <v>332.71800000000002</v>
      </c>
      <c r="F14" s="22">
        <v>350.55</v>
      </c>
      <c r="G14" s="22">
        <v>0</v>
      </c>
      <c r="H14" s="80">
        <v>0</v>
      </c>
      <c r="I14" s="250">
        <v>0</v>
      </c>
      <c r="J14" s="380"/>
      <c r="K14" s="75"/>
      <c r="L14" s="175">
        <f>+J14*'Цени капацитети'!$F$49+K14*'Цени капацитети'!$F$63</f>
        <v>0</v>
      </c>
      <c r="M14" s="175">
        <f>+J14*'Цени капацитети'!$E$49+K14*'Цени капацитети'!$E$63</f>
        <v>0</v>
      </c>
      <c r="N14" s="175">
        <f>$P$3*'Цени капацитети'!$E$4+'Враца 1'!$Q$3*'Цени капацитети'!$E$25+$R$3*'Цени капацитети'!$E$10+'Враца 1'!M14</f>
        <v>63.38</v>
      </c>
      <c r="O14" s="125"/>
      <c r="S14" s="16"/>
    </row>
    <row r="15" spans="2:19" x14ac:dyDescent="0.25">
      <c r="B15" s="47">
        <f t="shared" si="1"/>
        <v>45394</v>
      </c>
      <c r="C15" s="22">
        <v>350</v>
      </c>
      <c r="D15" s="22">
        <v>330.61500000000001</v>
      </c>
      <c r="E15" s="70">
        <f t="shared" si="0"/>
        <v>330.61500000000001</v>
      </c>
      <c r="F15" s="22">
        <v>350.55</v>
      </c>
      <c r="G15" s="22">
        <v>0</v>
      </c>
      <c r="H15" s="80">
        <v>0</v>
      </c>
      <c r="I15" s="250">
        <v>0</v>
      </c>
      <c r="J15" s="380"/>
      <c r="K15" s="75"/>
      <c r="L15" s="175">
        <f>+J15*'Цени капацитети'!$F$49+K15*'Цени капацитети'!$F$63</f>
        <v>0</v>
      </c>
      <c r="M15" s="175">
        <f>+J15*'Цени капацитети'!$E$49+K15*'Цени капацитети'!$E$63</f>
        <v>0</v>
      </c>
      <c r="N15" s="175">
        <f>$P$3*'Цени капацитети'!$E$4+'Враца 1'!$Q$3*'Цени капацитети'!$E$25+$R$3*'Цени капацитети'!$E$10+'Враца 1'!M15</f>
        <v>63.38</v>
      </c>
      <c r="O15" s="125"/>
      <c r="S15" s="16"/>
    </row>
    <row r="16" spans="2:19" x14ac:dyDescent="0.25">
      <c r="B16" s="47">
        <f t="shared" si="1"/>
        <v>45395</v>
      </c>
      <c r="C16" s="22">
        <v>335</v>
      </c>
      <c r="D16" s="22">
        <v>324.81900000000002</v>
      </c>
      <c r="E16" s="70">
        <f t="shared" si="0"/>
        <v>324.81900000000002</v>
      </c>
      <c r="F16" s="22">
        <v>350.55</v>
      </c>
      <c r="G16" s="22">
        <v>0</v>
      </c>
      <c r="H16" s="80">
        <v>0</v>
      </c>
      <c r="I16" s="250">
        <v>0</v>
      </c>
      <c r="J16" s="380"/>
      <c r="K16" s="75"/>
      <c r="L16" s="175">
        <f>+J16*'Цени капацитети'!$F$49+K16*'Цени капацитети'!$F$63</f>
        <v>0</v>
      </c>
      <c r="M16" s="175">
        <f>+J16*'Цени капацитети'!$E$49+K16*'Цени капацитети'!$E$63</f>
        <v>0</v>
      </c>
      <c r="N16" s="175">
        <f>$P$3*'Цени капацитети'!$E$4+'Враца 1'!$Q$3*'Цени капацитети'!$E$25+$R$3*'Цени капацитети'!$E$10+'Враца 1'!M16</f>
        <v>63.38</v>
      </c>
      <c r="O16" s="125"/>
      <c r="S16" s="16"/>
    </row>
    <row r="17" spans="2:19" x14ac:dyDescent="0.25">
      <c r="B17" s="47">
        <f t="shared" si="1"/>
        <v>45396</v>
      </c>
      <c r="C17" s="22">
        <v>335</v>
      </c>
      <c r="D17" s="22">
        <v>334.27699999999999</v>
      </c>
      <c r="E17" s="70">
        <f t="shared" si="0"/>
        <v>334.27699999999999</v>
      </c>
      <c r="F17" s="22">
        <v>350.55</v>
      </c>
      <c r="G17" s="22">
        <v>0</v>
      </c>
      <c r="H17" s="80">
        <v>0</v>
      </c>
      <c r="I17" s="250">
        <v>0</v>
      </c>
      <c r="J17" s="380"/>
      <c r="K17" s="75"/>
      <c r="L17" s="175">
        <f>+J17*'Цени капацитети'!$F$49+K17*'Цени капацитети'!$F$63</f>
        <v>0</v>
      </c>
      <c r="M17" s="175">
        <f>+J17*'Цени капацитети'!$E$49+K17*'Цени капацитети'!$E$63</f>
        <v>0</v>
      </c>
      <c r="N17" s="175">
        <f>$P$3*'Цени капацитети'!$E$4+'Враца 1'!$Q$3*'Цени капацитети'!$E$25+$R$3*'Цени капацитети'!$E$10+'Враца 1'!M17</f>
        <v>63.38</v>
      </c>
      <c r="O17" s="125"/>
      <c r="S17" s="16"/>
    </row>
    <row r="18" spans="2:19" x14ac:dyDescent="0.25">
      <c r="B18" s="47">
        <f t="shared" si="1"/>
        <v>45397</v>
      </c>
      <c r="C18" s="22">
        <v>340</v>
      </c>
      <c r="D18" s="22">
        <v>309.10500000000002</v>
      </c>
      <c r="E18" s="70">
        <f t="shared" si="0"/>
        <v>309.10500000000002</v>
      </c>
      <c r="F18" s="22">
        <v>350.55</v>
      </c>
      <c r="G18" s="22">
        <v>0</v>
      </c>
      <c r="H18" s="80">
        <v>0</v>
      </c>
      <c r="I18" s="250">
        <v>0</v>
      </c>
      <c r="J18" s="380"/>
      <c r="K18" s="75"/>
      <c r="L18" s="175">
        <f>+J18*'Цени капацитети'!$F$49+K18*'Цени капацитети'!$F$63</f>
        <v>0</v>
      </c>
      <c r="M18" s="175">
        <f>+J18*'Цени капацитети'!$E$49+K18*'Цени капацитети'!$E$63</f>
        <v>0</v>
      </c>
      <c r="N18" s="175">
        <f>$P$3*'Цени капацитети'!$E$4+'Враца 1'!$Q$3*'Цени капацитети'!$E$25+$R$3*'Цени капацитети'!$E$10+'Враца 1'!M18</f>
        <v>63.38</v>
      </c>
      <c r="O18" s="125"/>
      <c r="S18" s="16"/>
    </row>
    <row r="19" spans="2:19" x14ac:dyDescent="0.25">
      <c r="B19" s="47">
        <f t="shared" si="1"/>
        <v>45398</v>
      </c>
      <c r="C19" s="22">
        <v>335</v>
      </c>
      <c r="D19" s="22"/>
      <c r="E19" s="70">
        <f t="shared" si="0"/>
        <v>0</v>
      </c>
      <c r="F19" s="22"/>
      <c r="G19" s="22"/>
      <c r="H19" s="80"/>
      <c r="I19" s="250">
        <v>0</v>
      </c>
      <c r="J19" s="380"/>
      <c r="K19" s="75"/>
      <c r="L19" s="175">
        <f>+J19*'Цени капацитети'!$F$49+K19*'Цени капацитети'!$F$63</f>
        <v>0</v>
      </c>
      <c r="M19" s="175">
        <f>+J19*'Цени капацитети'!$E$49+K19*'Цени капацитети'!$E$63</f>
        <v>0</v>
      </c>
      <c r="N19" s="175">
        <f>$P$3*'Цени капацитети'!$E$4+'Враца 1'!$Q$3*'Цени капацитети'!$E$25+$R$3*'Цени капацитети'!$E$10+'Враца 1'!M19</f>
        <v>63.38</v>
      </c>
      <c r="O19" s="125"/>
      <c r="S19" s="16"/>
    </row>
    <row r="20" spans="2:19" x14ac:dyDescent="0.25">
      <c r="B20" s="47">
        <f t="shared" si="1"/>
        <v>45399</v>
      </c>
      <c r="C20" s="22">
        <v>335</v>
      </c>
      <c r="D20" s="22"/>
      <c r="E20" s="70">
        <f t="shared" si="0"/>
        <v>0</v>
      </c>
      <c r="F20" s="22"/>
      <c r="G20" s="22"/>
      <c r="H20" s="80"/>
      <c r="I20" s="250">
        <v>0</v>
      </c>
      <c r="J20" s="380"/>
      <c r="K20" s="75"/>
      <c r="L20" s="175">
        <f>+J20*'Цени капацитети'!$F$49+K20*'Цени капацитети'!$F$63</f>
        <v>0</v>
      </c>
      <c r="M20" s="175">
        <f>+J20*'Цени капацитети'!$E$49+K20*'Цени капацитети'!$E$63</f>
        <v>0</v>
      </c>
      <c r="N20" s="175">
        <f>$P$3*'Цени капацитети'!$E$4+'Враца 1'!$Q$3*'Цени капацитети'!$E$25+$R$3*'Цени капацитети'!$E$10+'Враца 1'!M20</f>
        <v>63.38</v>
      </c>
      <c r="O20" s="125"/>
      <c r="Q20" s="4"/>
      <c r="S20" s="16"/>
    </row>
    <row r="21" spans="2:19" x14ac:dyDescent="0.25">
      <c r="B21" s="47">
        <f t="shared" si="1"/>
        <v>45400</v>
      </c>
      <c r="C21" s="22"/>
      <c r="D21" s="22"/>
      <c r="E21" s="70">
        <f t="shared" si="0"/>
        <v>0</v>
      </c>
      <c r="F21" s="22"/>
      <c r="G21" s="22"/>
      <c r="H21" s="80"/>
      <c r="I21" s="250">
        <v>0</v>
      </c>
      <c r="J21" s="380"/>
      <c r="K21" s="75"/>
      <c r="L21" s="175">
        <f>+J21*'Цени капацитети'!$F$49+K21*'Цени капацитети'!$F$63</f>
        <v>0</v>
      </c>
      <c r="M21" s="175">
        <f>+J21*'Цени капацитети'!$E$49+K21*'Цени капацитети'!$E$63</f>
        <v>0</v>
      </c>
      <c r="N21" s="175">
        <f>$P$3*'Цени капацитети'!$E$4+'Враца 1'!$Q$3*'Цени капацитети'!$E$25+$R$3*'Цени капацитети'!$E$10+'Враца 1'!M21</f>
        <v>63.38</v>
      </c>
      <c r="O21" s="125"/>
      <c r="Q21" s="4"/>
      <c r="S21" s="16"/>
    </row>
    <row r="22" spans="2:19" x14ac:dyDescent="0.25">
      <c r="B22" s="47">
        <f t="shared" si="1"/>
        <v>45401</v>
      </c>
      <c r="C22" s="22"/>
      <c r="D22" s="22"/>
      <c r="E22" s="70">
        <f t="shared" si="0"/>
        <v>0</v>
      </c>
      <c r="F22" s="22"/>
      <c r="G22" s="22"/>
      <c r="H22" s="80"/>
      <c r="I22" s="250">
        <v>0</v>
      </c>
      <c r="J22" s="380"/>
      <c r="K22" s="75"/>
      <c r="L22" s="175">
        <f>+J22*'Цени капацитети'!$F$49+K22*'Цени капацитети'!$F$63</f>
        <v>0</v>
      </c>
      <c r="M22" s="175">
        <f>+J22*'Цени капацитети'!$E$49+K22*'Цени капацитети'!$E$63</f>
        <v>0</v>
      </c>
      <c r="N22" s="175">
        <f>$P$3*'Цени капацитети'!$E$4+'Враца 1'!$Q$3*'Цени капацитети'!$E$25+$R$3*'Цени капацитети'!$E$10+'Враца 1'!M22</f>
        <v>63.38</v>
      </c>
      <c r="O22" s="125"/>
      <c r="Q22" s="4"/>
      <c r="S22" s="16"/>
    </row>
    <row r="23" spans="2:19" x14ac:dyDescent="0.25">
      <c r="B23" s="47">
        <f t="shared" si="1"/>
        <v>45402</v>
      </c>
      <c r="C23" s="22"/>
      <c r="D23" s="22"/>
      <c r="E23" s="70">
        <f t="shared" si="0"/>
        <v>0</v>
      </c>
      <c r="F23" s="22"/>
      <c r="G23" s="22"/>
      <c r="H23" s="80"/>
      <c r="I23" s="250">
        <v>0</v>
      </c>
      <c r="J23" s="380"/>
      <c r="K23" s="75"/>
      <c r="L23" s="175">
        <f>+J23*'Цени капацитети'!$F$49+K23*'Цени капацитети'!$F$63</f>
        <v>0</v>
      </c>
      <c r="M23" s="175">
        <f>+J23*'Цени капацитети'!$E$49+K23*'Цени капацитети'!$E$63</f>
        <v>0</v>
      </c>
      <c r="N23" s="175">
        <f>$P$3*'Цени капацитети'!$E$4+'Враца 1'!$Q$3*'Цени капацитети'!$E$25+$R$3*'Цени капацитети'!$E$10+'Враца 1'!M23</f>
        <v>63.38</v>
      </c>
      <c r="O23" s="125"/>
      <c r="Q23" s="4"/>
      <c r="S23" s="16"/>
    </row>
    <row r="24" spans="2:19" x14ac:dyDescent="0.25">
      <c r="B24" s="47">
        <f t="shared" si="1"/>
        <v>45403</v>
      </c>
      <c r="C24" s="22"/>
      <c r="D24" s="22"/>
      <c r="E24" s="70">
        <f t="shared" si="0"/>
        <v>0</v>
      </c>
      <c r="F24" s="22"/>
      <c r="G24" s="22"/>
      <c r="H24" s="80"/>
      <c r="I24" s="250">
        <v>0</v>
      </c>
      <c r="J24" s="380"/>
      <c r="K24" s="75"/>
      <c r="L24" s="175">
        <f>+J24*'Цени капацитети'!$F$49+K24*'Цени капацитети'!$F$63</f>
        <v>0</v>
      </c>
      <c r="M24" s="175">
        <f>+J24*'Цени капацитети'!$E$49+K24*'Цени капацитети'!$E$63</f>
        <v>0</v>
      </c>
      <c r="N24" s="175">
        <f>$P$3*'Цени капацитети'!$E$4+'Враца 1'!$Q$3*'Цени капацитети'!$E$25+$R$3*'Цени капацитети'!$E$10+'Враца 1'!M24</f>
        <v>63.38</v>
      </c>
      <c r="O24" s="125"/>
      <c r="S24" s="16"/>
    </row>
    <row r="25" spans="2:19" x14ac:dyDescent="0.25">
      <c r="B25" s="47">
        <f t="shared" si="1"/>
        <v>45404</v>
      </c>
      <c r="C25" s="22"/>
      <c r="D25" s="22"/>
      <c r="E25" s="70">
        <f t="shared" si="0"/>
        <v>0</v>
      </c>
      <c r="F25" s="22"/>
      <c r="G25" s="22"/>
      <c r="H25" s="80"/>
      <c r="I25" s="250">
        <v>0</v>
      </c>
      <c r="J25" s="380"/>
      <c r="K25" s="75"/>
      <c r="L25" s="175">
        <f>+J25*'Цени капацитети'!$F$49+K25*'Цени капацитети'!$F$63</f>
        <v>0</v>
      </c>
      <c r="M25" s="175">
        <f>+J25*'Цени капацитети'!$E$49+K25*'Цени капацитети'!$E$63</f>
        <v>0</v>
      </c>
      <c r="N25" s="175">
        <f>$P$3*'Цени капацитети'!$E$4+'Враца 1'!$Q$3*'Цени капацитети'!$E$25+$R$3*'Цени капацитети'!$E$10+'Враца 1'!M25</f>
        <v>63.38</v>
      </c>
      <c r="O25" s="125"/>
      <c r="S25" s="16"/>
    </row>
    <row r="26" spans="2:19" x14ac:dyDescent="0.25">
      <c r="B26" s="47">
        <f t="shared" si="1"/>
        <v>45405</v>
      </c>
      <c r="C26" s="22"/>
      <c r="D26" s="22"/>
      <c r="E26" s="70">
        <f t="shared" si="0"/>
        <v>0</v>
      </c>
      <c r="F26" s="22"/>
      <c r="G26" s="22"/>
      <c r="H26" s="80"/>
      <c r="I26" s="250">
        <v>0</v>
      </c>
      <c r="J26" s="380"/>
      <c r="K26" s="75"/>
      <c r="L26" s="175">
        <f>+J26*'Цени капацитети'!$F$49+K26*'Цени капацитети'!$F$63</f>
        <v>0</v>
      </c>
      <c r="M26" s="175">
        <f>+J26*'Цени капацитети'!$E$49+K26*'Цени капацитети'!$E$63</f>
        <v>0</v>
      </c>
      <c r="N26" s="175">
        <f>$P$3*'Цени капацитети'!$E$4+'Враца 1'!$Q$3*'Цени капацитети'!$E$25+$R$3*'Цени капацитети'!$E$10+'Враца 1'!M26</f>
        <v>63.38</v>
      </c>
      <c r="O26" s="125"/>
      <c r="S26" s="16"/>
    </row>
    <row r="27" spans="2:19" x14ac:dyDescent="0.25">
      <c r="B27" s="47">
        <f t="shared" si="1"/>
        <v>45406</v>
      </c>
      <c r="C27" s="22"/>
      <c r="D27" s="22"/>
      <c r="E27" s="70">
        <f t="shared" si="0"/>
        <v>0</v>
      </c>
      <c r="F27" s="22"/>
      <c r="G27" s="22"/>
      <c r="H27" s="80"/>
      <c r="I27" s="250">
        <v>0</v>
      </c>
      <c r="J27" s="380"/>
      <c r="K27" s="75"/>
      <c r="L27" s="175">
        <f>+J27*'Цени капацитети'!$F$49+K27*'Цени капацитети'!$F$63</f>
        <v>0</v>
      </c>
      <c r="M27" s="175">
        <f>+J27*'Цени капацитети'!$E$49+K27*'Цени капацитети'!$E$63</f>
        <v>0</v>
      </c>
      <c r="N27" s="175">
        <f>$P$3*'Цени капацитети'!$E$4+'Враца 1'!$Q$3*'Цени капацитети'!$E$25+$R$3*'Цени капацитети'!$E$10+'Враца 1'!M27</f>
        <v>63.38</v>
      </c>
      <c r="O27" s="125"/>
      <c r="S27" s="16"/>
    </row>
    <row r="28" spans="2:19" x14ac:dyDescent="0.25">
      <c r="B28" s="47">
        <f t="shared" si="1"/>
        <v>45407</v>
      </c>
      <c r="C28" s="22"/>
      <c r="D28" s="22"/>
      <c r="E28" s="70">
        <f t="shared" si="0"/>
        <v>0</v>
      </c>
      <c r="F28" s="22"/>
      <c r="G28" s="22"/>
      <c r="H28" s="80"/>
      <c r="I28" s="250">
        <v>0</v>
      </c>
      <c r="J28" s="380"/>
      <c r="K28" s="75"/>
      <c r="L28" s="175">
        <f>+J28*'Цени капацитети'!$F$49+K28*'Цени капацитети'!$F$63</f>
        <v>0</v>
      </c>
      <c r="M28" s="175">
        <f>+J28*'Цени капацитети'!$E$49+K28*'Цени капацитети'!$E$63</f>
        <v>0</v>
      </c>
      <c r="N28" s="175">
        <f>$P$3*'Цени капацитети'!$E$4+'Враца 1'!$Q$3*'Цени капацитети'!$E$25+$R$3*'Цени капацитети'!$E$10+'Враца 1'!M28</f>
        <v>63.38</v>
      </c>
      <c r="O28" s="125"/>
      <c r="S28" s="16"/>
    </row>
    <row r="29" spans="2:19" x14ac:dyDescent="0.25">
      <c r="B29" s="47">
        <f t="shared" si="1"/>
        <v>45408</v>
      </c>
      <c r="C29" s="22"/>
      <c r="D29" s="22"/>
      <c r="E29" s="70">
        <f t="shared" si="0"/>
        <v>0</v>
      </c>
      <c r="F29" s="22"/>
      <c r="G29" s="22"/>
      <c r="H29" s="80"/>
      <c r="I29" s="250">
        <v>0</v>
      </c>
      <c r="J29" s="380"/>
      <c r="K29" s="75"/>
      <c r="L29" s="175">
        <f>+J29*'Цени капацитети'!$F$49+K29*'Цени капацитети'!$F$63</f>
        <v>0</v>
      </c>
      <c r="M29" s="175">
        <f>+J29*'Цени капацитети'!$E$49+K29*'Цени капацитети'!$E$63</f>
        <v>0</v>
      </c>
      <c r="N29" s="175">
        <f>$P$3*'Цени капацитети'!$E$4+'Враца 1'!$Q$3*'Цени капацитети'!$E$25+$R$3*'Цени капацитети'!$E$10+'Враца 1'!M29</f>
        <v>63.38</v>
      </c>
      <c r="O29" s="125"/>
      <c r="S29" s="16"/>
    </row>
    <row r="30" spans="2:19" x14ac:dyDescent="0.25">
      <c r="B30" s="47">
        <f t="shared" si="1"/>
        <v>45409</v>
      </c>
      <c r="C30" s="22"/>
      <c r="D30" s="22"/>
      <c r="E30" s="70">
        <f t="shared" si="0"/>
        <v>0</v>
      </c>
      <c r="F30" s="22"/>
      <c r="G30" s="22"/>
      <c r="H30" s="80"/>
      <c r="I30" s="250">
        <v>0</v>
      </c>
      <c r="J30" s="380"/>
      <c r="K30" s="75"/>
      <c r="L30" s="175">
        <f>+J30*'Цени капацитети'!$F$49+K30*'Цени капацитети'!$F$63</f>
        <v>0</v>
      </c>
      <c r="M30" s="175">
        <f>+J30*'Цени капацитети'!$E$49+K30*'Цени капацитети'!$E$63</f>
        <v>0</v>
      </c>
      <c r="N30" s="175">
        <f>$P$3*'Цени капацитети'!$E$4+'Враца 1'!$Q$3*'Цени капацитети'!$E$25+$R$3*'Цени капацитети'!$E$10+'Враца 1'!M30</f>
        <v>63.38</v>
      </c>
      <c r="O30" s="125"/>
      <c r="S30" s="16"/>
    </row>
    <row r="31" spans="2:19" x14ac:dyDescent="0.25">
      <c r="B31" s="47">
        <f t="shared" si="1"/>
        <v>45410</v>
      </c>
      <c r="C31" s="22"/>
      <c r="D31" s="22"/>
      <c r="E31" s="70">
        <f t="shared" ref="E31:E33" si="2">+D31-H31</f>
        <v>0</v>
      </c>
      <c r="F31" s="22"/>
      <c r="G31" s="22"/>
      <c r="H31" s="80"/>
      <c r="I31" s="250">
        <v>0</v>
      </c>
      <c r="J31" s="380"/>
      <c r="K31" s="75"/>
      <c r="L31" s="175">
        <f>+J31*'Цени капацитети'!$F$49+K31*'Цени капацитети'!$F$63</f>
        <v>0</v>
      </c>
      <c r="M31" s="175">
        <f>+J31*'Цени капацитети'!$E$49+K31*'Цени капацитети'!$E$63</f>
        <v>0</v>
      </c>
      <c r="N31" s="175">
        <f>$P$3*'Цени капацитети'!$E$4+'Враца 1'!$Q$3*'Цени капацитети'!$E$25+$R$3*'Цени капацитети'!$E$10+'Враца 1'!M31</f>
        <v>63.38</v>
      </c>
      <c r="O31" s="125"/>
      <c r="S31" s="16"/>
    </row>
    <row r="32" spans="2:19" x14ac:dyDescent="0.25">
      <c r="B32" s="47">
        <f t="shared" si="1"/>
        <v>45411</v>
      </c>
      <c r="C32" s="22"/>
      <c r="D32" s="22"/>
      <c r="E32" s="70">
        <f t="shared" si="2"/>
        <v>0</v>
      </c>
      <c r="F32" s="22"/>
      <c r="G32" s="22"/>
      <c r="H32" s="80"/>
      <c r="I32" s="250">
        <v>0</v>
      </c>
      <c r="J32" s="380"/>
      <c r="K32" s="75"/>
      <c r="L32" s="175">
        <f>+J32*'Цени капацитети'!$F$49+K32*'Цени капацитети'!$F$63</f>
        <v>0</v>
      </c>
      <c r="M32" s="175">
        <f>+J32*'Цени капацитети'!$E$49+K32*'Цени капацитети'!$E$63</f>
        <v>0</v>
      </c>
      <c r="N32" s="175">
        <f>$P$3*'Цени капацитети'!$E$4+'Враца 1'!$Q$3*'Цени капацитети'!$E$25+$R$3*'Цени капацитети'!$E$10+'Враца 1'!M32</f>
        <v>63.38</v>
      </c>
      <c r="O32" s="125"/>
      <c r="S32" s="16"/>
    </row>
    <row r="33" spans="2:19" x14ac:dyDescent="0.25">
      <c r="B33" s="47">
        <f t="shared" si="1"/>
        <v>45412</v>
      </c>
      <c r="C33" s="22"/>
      <c r="D33" s="22"/>
      <c r="E33" s="70">
        <f t="shared" si="2"/>
        <v>0</v>
      </c>
      <c r="F33" s="22"/>
      <c r="G33" s="22"/>
      <c r="H33" s="80"/>
      <c r="I33" s="250">
        <v>0</v>
      </c>
      <c r="J33" s="380"/>
      <c r="K33" s="75"/>
      <c r="L33" s="175">
        <f>+J33*'Цени капацитети'!$F$49+K33*'Цени капацитети'!$F$63</f>
        <v>0</v>
      </c>
      <c r="M33" s="175">
        <f>+J33*'Цени капацитети'!$E$49+K33*'Цени капацитети'!$E$63</f>
        <v>0</v>
      </c>
      <c r="N33" s="175">
        <f>$P$3*'Цени капацитети'!$E$4+'Враца 1'!$Q$3*'Цени капацитети'!$E$25+$R$3*'Цени капацитети'!$E$10+'Враца 1'!M33</f>
        <v>63.38</v>
      </c>
      <c r="O33" s="125"/>
      <c r="S33" s="16"/>
    </row>
    <row r="34" spans="2:19" x14ac:dyDescent="0.25">
      <c r="E34" s="16">
        <f>SUM(E4:E33)</f>
        <v>4950.1239999999998</v>
      </c>
      <c r="F34" s="16"/>
      <c r="G34" s="16">
        <f t="shared" ref="G34:L34" si="3">SUM(G4:G33)</f>
        <v>0</v>
      </c>
      <c r="H34" s="16">
        <f t="shared" si="3"/>
        <v>0</v>
      </c>
      <c r="I34" s="16">
        <f t="shared" si="3"/>
        <v>0</v>
      </c>
      <c r="J34" s="16">
        <f t="shared" si="3"/>
        <v>0</v>
      </c>
      <c r="K34" s="16">
        <f t="shared" si="3"/>
        <v>0</v>
      </c>
      <c r="L34" s="16">
        <f t="shared" si="3"/>
        <v>0</v>
      </c>
      <c r="N34" s="159">
        <f>SUM(N4:N33)</f>
        <v>1901.4000000000015</v>
      </c>
      <c r="O34" s="234">
        <f>SUM(O4:O33)</f>
        <v>0</v>
      </c>
    </row>
    <row r="35" spans="2:19" x14ac:dyDescent="0.25">
      <c r="H35" s="16">
        <f>+H34+'Враца 2'!H34</f>
        <v>0</v>
      </c>
      <c r="J35" s="251"/>
    </row>
    <row r="37" spans="2:19" x14ac:dyDescent="0.25">
      <c r="E37" s="16"/>
      <c r="H37" s="16"/>
    </row>
    <row r="38" spans="2:19" x14ac:dyDescent="0.25">
      <c r="G38" s="16"/>
    </row>
  </sheetData>
  <mergeCells count="4">
    <mergeCell ref="B2:H2"/>
    <mergeCell ref="K2:M2"/>
    <mergeCell ref="P1:Q1"/>
    <mergeCell ref="P6:Q8"/>
  </mergeCells>
  <pageMargins left="1.0899999999999999" right="0.7" top="0.75" bottom="0.75" header="0.3" footer="0.3"/>
  <pageSetup scale="92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0000"/>
  </sheetPr>
  <dimension ref="B1:R36"/>
  <sheetViews>
    <sheetView zoomScale="80" zoomScaleNormal="80" workbookViewId="0">
      <selection activeCell="F17" sqref="F17:H18"/>
    </sheetView>
  </sheetViews>
  <sheetFormatPr defaultColWidth="8.85546875" defaultRowHeight="15" x14ac:dyDescent="0.25"/>
  <cols>
    <col min="1" max="1" width="8.85546875" style="1"/>
    <col min="2" max="2" width="16.7109375" style="1" customWidth="1"/>
    <col min="3" max="3" width="9" style="1" bestFit="1" customWidth="1"/>
    <col min="4" max="4" width="16.28515625" style="1" bestFit="1" customWidth="1"/>
    <col min="5" max="5" width="10.5703125" style="1" bestFit="1" customWidth="1"/>
    <col min="6" max="6" width="9" style="1" customWidth="1"/>
    <col min="7" max="7" width="11.42578125" style="1" bestFit="1" customWidth="1"/>
    <col min="8" max="8" width="11.140625" style="1" bestFit="1" customWidth="1"/>
    <col min="9" max="10" width="13.7109375" style="1" customWidth="1"/>
    <col min="11" max="11" width="15.42578125" style="1" bestFit="1" customWidth="1"/>
    <col min="12" max="12" width="13" style="1" customWidth="1"/>
    <col min="13" max="14" width="17.5703125" style="69" customWidth="1"/>
    <col min="15" max="15" width="9.140625" style="1" bestFit="1" customWidth="1"/>
    <col min="16" max="16" width="14.7109375" style="1" bestFit="1" customWidth="1"/>
    <col min="17" max="17" width="19.28515625" style="1" bestFit="1" customWidth="1"/>
    <col min="18" max="18" width="7.5703125" style="1" bestFit="1" customWidth="1"/>
    <col min="19" max="19" width="10.28515625" style="1" customWidth="1"/>
    <col min="20" max="20" width="10.7109375" style="1" customWidth="1"/>
    <col min="21" max="16384" width="8.85546875" style="1"/>
  </cols>
  <sheetData>
    <row r="1" spans="2:18" ht="15.75" thickBot="1" x14ac:dyDescent="0.3">
      <c r="K1" s="77"/>
      <c r="L1" s="78"/>
      <c r="M1" s="78"/>
      <c r="N1" s="13"/>
      <c r="P1" s="680" t="s">
        <v>29</v>
      </c>
      <c r="Q1" s="680"/>
    </row>
    <row r="2" spans="2:18" ht="28.9" customHeight="1" x14ac:dyDescent="0.25">
      <c r="B2" s="685" t="s">
        <v>17</v>
      </c>
      <c r="C2" s="686"/>
      <c r="D2" s="686"/>
      <c r="E2" s="686"/>
      <c r="F2" s="686"/>
      <c r="G2" s="686"/>
      <c r="H2" s="687"/>
      <c r="I2" s="240"/>
      <c r="J2" s="240"/>
      <c r="K2" s="679" t="s">
        <v>71</v>
      </c>
      <c r="L2" s="679"/>
      <c r="M2" s="679"/>
      <c r="N2" s="52"/>
      <c r="P2" s="2" t="s">
        <v>100</v>
      </c>
      <c r="Q2" s="2" t="s">
        <v>81</v>
      </c>
      <c r="R2" s="2" t="s">
        <v>112</v>
      </c>
    </row>
    <row r="3" spans="2:18" ht="43.5" x14ac:dyDescent="0.25">
      <c r="B3" s="12" t="s">
        <v>8</v>
      </c>
      <c r="C3" s="2" t="s">
        <v>22</v>
      </c>
      <c r="D3" s="40" t="s">
        <v>23</v>
      </c>
      <c r="E3" s="40" t="s">
        <v>18</v>
      </c>
      <c r="F3" s="40" t="s">
        <v>21</v>
      </c>
      <c r="G3" s="13" t="s">
        <v>27</v>
      </c>
      <c r="H3" s="79" t="s">
        <v>6</v>
      </c>
      <c r="I3" s="241" t="s">
        <v>56</v>
      </c>
      <c r="J3" s="121" t="s">
        <v>137</v>
      </c>
      <c r="K3" s="121" t="s">
        <v>138</v>
      </c>
      <c r="L3" s="77" t="s">
        <v>103</v>
      </c>
      <c r="M3" s="77" t="s">
        <v>83</v>
      </c>
      <c r="N3" s="77" t="s">
        <v>104</v>
      </c>
      <c r="O3" s="69" t="s">
        <v>122</v>
      </c>
      <c r="P3" s="249"/>
      <c r="Q3" s="111">
        <v>1</v>
      </c>
      <c r="R3" s="111"/>
    </row>
    <row r="4" spans="2:18" x14ac:dyDescent="0.25">
      <c r="B4" s="47">
        <v>45383</v>
      </c>
      <c r="C4" s="49">
        <v>125</v>
      </c>
      <c r="D4" s="22">
        <v>120.126</v>
      </c>
      <c r="E4" s="70">
        <f>+D4-H4</f>
        <v>120.126</v>
      </c>
      <c r="F4" s="49">
        <v>183.87</v>
      </c>
      <c r="G4" s="49">
        <v>0</v>
      </c>
      <c r="H4" s="144">
        <v>0</v>
      </c>
      <c r="I4" s="250">
        <v>0</v>
      </c>
      <c r="J4" s="380"/>
      <c r="K4" s="75"/>
      <c r="L4" s="175">
        <f>+J4*'Цени капацитети'!$F$49+K4*'Цени капацитети'!$F$63</f>
        <v>0</v>
      </c>
      <c r="M4" s="175">
        <f>+J4*'Цени капацитети'!$E$49+K4*'Цени капацитети'!$E$63</f>
        <v>0</v>
      </c>
      <c r="N4" s="115">
        <f>$P$3*'Цени капацитети'!$E$4+'Враца 2'!$Q$3*'Цени капацитети'!$E$25+$R$3*'Цени капацитети'!$E$10+'Враца 2'!M4</f>
        <v>1.8051999999999999</v>
      </c>
      <c r="O4" s="126"/>
    </row>
    <row r="5" spans="2:18" x14ac:dyDescent="0.25">
      <c r="B5" s="47">
        <f>+B4+1</f>
        <v>45384</v>
      </c>
      <c r="C5" s="49">
        <v>125</v>
      </c>
      <c r="D5" s="22">
        <v>116.379</v>
      </c>
      <c r="E5" s="70">
        <f t="shared" ref="E5:E30" si="0">+D5-H5</f>
        <v>116.379</v>
      </c>
      <c r="F5" s="49">
        <v>183.87</v>
      </c>
      <c r="G5" s="49">
        <v>0</v>
      </c>
      <c r="H5" s="144">
        <v>0</v>
      </c>
      <c r="I5" s="250">
        <v>0</v>
      </c>
      <c r="J5" s="380"/>
      <c r="K5" s="75"/>
      <c r="L5" s="175">
        <f>+J5*'Цени капацитети'!$F$49+K5*'Цени капацитети'!$F$63</f>
        <v>0</v>
      </c>
      <c r="M5" s="175">
        <f>+J5*'Цени капацитети'!$E$49+K5*'Цени капацитети'!$E$63</f>
        <v>0</v>
      </c>
      <c r="N5" s="115">
        <f>$P$3*'Цени капацитети'!$E$4+'Враца 2'!$Q$3*'Цени капацитети'!$E$25+$R$3*'Цени капацитети'!$E$10+'Враца 2'!M5</f>
        <v>1.8051999999999999</v>
      </c>
      <c r="O5" s="126"/>
    </row>
    <row r="6" spans="2:18" x14ac:dyDescent="0.25">
      <c r="B6" s="47">
        <f t="shared" ref="B6:B33" si="1">+B5+1</f>
        <v>45385</v>
      </c>
      <c r="C6" s="49">
        <v>125</v>
      </c>
      <c r="D6" s="22">
        <v>116.358</v>
      </c>
      <c r="E6" s="70">
        <f t="shared" si="0"/>
        <v>116.358</v>
      </c>
      <c r="F6" s="49">
        <v>183.87</v>
      </c>
      <c r="G6" s="49">
        <v>0</v>
      </c>
      <c r="H6" s="144">
        <v>0</v>
      </c>
      <c r="I6" s="250">
        <v>0</v>
      </c>
      <c r="J6" s="380"/>
      <c r="K6" s="75"/>
      <c r="L6" s="175">
        <f>+J6*'Цени капацитети'!$F$49+K6*'Цени капацитети'!$F$63</f>
        <v>0</v>
      </c>
      <c r="M6" s="175">
        <f>+J6*'Цени капацитети'!$E$49+K6*'Цени капацитети'!$E$63</f>
        <v>0</v>
      </c>
      <c r="N6" s="115">
        <f>$P$3*'Цени капацитети'!$E$4+'Враца 2'!$Q$3*'Цени капацитети'!$E$25+$R$3*'Цени капацитети'!$E$10+'Враца 2'!M6</f>
        <v>1.8051999999999999</v>
      </c>
      <c r="O6" s="126"/>
      <c r="P6" s="681" t="s">
        <v>106</v>
      </c>
      <c r="Q6" s="681"/>
    </row>
    <row r="7" spans="2:18" x14ac:dyDescent="0.25">
      <c r="B7" s="47">
        <f t="shared" si="1"/>
        <v>45386</v>
      </c>
      <c r="C7" s="49">
        <v>120</v>
      </c>
      <c r="D7" s="22">
        <v>115.504</v>
      </c>
      <c r="E7" s="70">
        <f t="shared" si="0"/>
        <v>115.504</v>
      </c>
      <c r="F7" s="49">
        <v>183.87</v>
      </c>
      <c r="G7" s="49">
        <v>0</v>
      </c>
      <c r="H7" s="144">
        <v>0</v>
      </c>
      <c r="I7" s="250">
        <v>0</v>
      </c>
      <c r="J7" s="380"/>
      <c r="K7" s="75"/>
      <c r="L7" s="175">
        <f>+J7*'Цени капацитети'!$F$49+K7*'Цени капацитети'!$F$63</f>
        <v>0</v>
      </c>
      <c r="M7" s="175">
        <f>+J7*'Цени капацитети'!$E$49+K7*'Цени капацитети'!$E$63</f>
        <v>0</v>
      </c>
      <c r="N7" s="115">
        <f>$P$3*'Цени капацитети'!$E$4+'Враца 2'!$Q$3*'Цени капацитети'!$E$25+$R$3*'Цени капацитети'!$E$10+'Враца 2'!M7</f>
        <v>1.8051999999999999</v>
      </c>
      <c r="O7" s="126"/>
      <c r="P7" s="681"/>
      <c r="Q7" s="681"/>
    </row>
    <row r="8" spans="2:18" x14ac:dyDescent="0.25">
      <c r="B8" s="47">
        <f t="shared" si="1"/>
        <v>45387</v>
      </c>
      <c r="C8" s="49">
        <v>120</v>
      </c>
      <c r="D8" s="22">
        <v>119.24</v>
      </c>
      <c r="E8" s="70">
        <f t="shared" si="0"/>
        <v>119.24</v>
      </c>
      <c r="F8" s="49">
        <v>183.87</v>
      </c>
      <c r="G8" s="49">
        <v>0</v>
      </c>
      <c r="H8" s="144">
        <v>0</v>
      </c>
      <c r="I8" s="250">
        <v>0</v>
      </c>
      <c r="J8" s="380"/>
      <c r="K8" s="75"/>
      <c r="L8" s="175">
        <f>+J8*'Цени капацитети'!$F$49+K8*'Цени капацитети'!$F$63</f>
        <v>0</v>
      </c>
      <c r="M8" s="175">
        <f>+J8*'Цени капацитети'!$E$49+K8*'Цени капацитети'!$E$63</f>
        <v>0</v>
      </c>
      <c r="N8" s="115">
        <f>$P$3*'Цени капацитети'!$E$4+'Враца 2'!$Q$3*'Цени капацитети'!$E$25+$R$3*'Цени капацитети'!$E$10+'Враца 2'!M8</f>
        <v>1.8051999999999999</v>
      </c>
      <c r="O8" s="126"/>
      <c r="P8" s="681"/>
      <c r="Q8" s="681"/>
    </row>
    <row r="9" spans="2:18" x14ac:dyDescent="0.25">
      <c r="B9" s="47">
        <f t="shared" si="1"/>
        <v>45388</v>
      </c>
      <c r="C9" s="49">
        <v>120</v>
      </c>
      <c r="D9" s="22">
        <v>118.226</v>
      </c>
      <c r="E9" s="70">
        <f t="shared" si="0"/>
        <v>118.226</v>
      </c>
      <c r="F9" s="49">
        <v>183.87</v>
      </c>
      <c r="G9" s="49">
        <v>0</v>
      </c>
      <c r="H9" s="144">
        <v>0</v>
      </c>
      <c r="I9" s="250">
        <v>0</v>
      </c>
      <c r="J9" s="380"/>
      <c r="K9" s="75"/>
      <c r="L9" s="175">
        <f>+J9*'Цени капацитети'!$F$49+K9*'Цени капацитети'!$F$63</f>
        <v>0</v>
      </c>
      <c r="M9" s="175">
        <f>+J9*'Цени капацитети'!$E$49+K9*'Цени капацитети'!$E$63</f>
        <v>0</v>
      </c>
      <c r="N9" s="115">
        <f>$P$3*'Цени капацитети'!$E$4+'Враца 2'!$Q$3*'Цени капацитети'!$E$25+$R$3*'Цени капацитети'!$E$10+'Враца 2'!M9</f>
        <v>1.8051999999999999</v>
      </c>
      <c r="O9" s="126"/>
      <c r="P9" s="113" t="s">
        <v>18</v>
      </c>
      <c r="Q9" s="114" t="s">
        <v>6</v>
      </c>
    </row>
    <row r="10" spans="2:18" x14ac:dyDescent="0.25">
      <c r="B10" s="47">
        <f t="shared" si="1"/>
        <v>45389</v>
      </c>
      <c r="C10" s="49">
        <v>120</v>
      </c>
      <c r="D10" s="22">
        <v>116.21899999999999</v>
      </c>
      <c r="E10" s="70">
        <f t="shared" si="0"/>
        <v>116.21899999999999</v>
      </c>
      <c r="F10" s="49">
        <v>183.87</v>
      </c>
      <c r="G10" s="49">
        <v>0</v>
      </c>
      <c r="H10" s="144">
        <v>0</v>
      </c>
      <c r="I10" s="250">
        <v>0</v>
      </c>
      <c r="J10" s="380"/>
      <c r="K10" s="75"/>
      <c r="L10" s="175">
        <f>+J10*'Цени капацитети'!$F$49+K10*'Цени капацитети'!$F$63</f>
        <v>0</v>
      </c>
      <c r="M10" s="175">
        <f>+J10*'Цени капацитети'!$E$49+K10*'Цени капацитети'!$E$63</f>
        <v>0</v>
      </c>
      <c r="N10" s="115">
        <f>$P$3*'Цени капацитети'!$E$4+'Враца 2'!$Q$3*'Цени капацитети'!$E$25+$R$3*'Цени капацитети'!$E$10+'Враца 2'!M10</f>
        <v>1.8051999999999999</v>
      </c>
      <c r="O10" s="126"/>
      <c r="P10" s="113"/>
      <c r="Q10" s="113"/>
    </row>
    <row r="11" spans="2:18" x14ac:dyDescent="0.25">
      <c r="B11" s="47">
        <f t="shared" si="1"/>
        <v>45390</v>
      </c>
      <c r="C11" s="49">
        <v>120</v>
      </c>
      <c r="D11" s="22">
        <v>114.92700000000001</v>
      </c>
      <c r="E11" s="70">
        <f t="shared" si="0"/>
        <v>114.92700000000001</v>
      </c>
      <c r="F11" s="49">
        <v>183.87</v>
      </c>
      <c r="G11" s="49">
        <v>0</v>
      </c>
      <c r="H11" s="144">
        <v>0</v>
      </c>
      <c r="I11" s="250">
        <v>0</v>
      </c>
      <c r="J11" s="380"/>
      <c r="K11" s="75"/>
      <c r="L11" s="175">
        <f>+J11*'Цени капацитети'!$F$49+K11*'Цени капацитети'!$F$63</f>
        <v>0</v>
      </c>
      <c r="M11" s="175">
        <f>+J11*'Цени капацитети'!$E$49+K11*'Цени капацитети'!$E$63</f>
        <v>0</v>
      </c>
      <c r="N11" s="115">
        <f>$P$3*'Цени капацитети'!$E$4+'Враца 2'!$Q$3*'Цени капацитети'!$E$25+$R$3*'Цени капацитети'!$E$10+'Враца 2'!M11</f>
        <v>1.8051999999999999</v>
      </c>
      <c r="O11" s="126"/>
    </row>
    <row r="12" spans="2:18" x14ac:dyDescent="0.25">
      <c r="B12" s="47">
        <f t="shared" si="1"/>
        <v>45391</v>
      </c>
      <c r="C12" s="49">
        <v>115</v>
      </c>
      <c r="D12" s="22">
        <v>120.47799999999999</v>
      </c>
      <c r="E12" s="70">
        <f t="shared" si="0"/>
        <v>120.47799999999999</v>
      </c>
      <c r="F12" s="49">
        <v>183.87</v>
      </c>
      <c r="G12" s="49">
        <v>0</v>
      </c>
      <c r="H12" s="144">
        <v>0</v>
      </c>
      <c r="I12" s="250">
        <v>0</v>
      </c>
      <c r="J12" s="380"/>
      <c r="K12" s="75"/>
      <c r="L12" s="175">
        <f>+J12*'Цени капацитети'!$F$49+K12*'Цени капацитети'!$F$63</f>
        <v>0</v>
      </c>
      <c r="M12" s="175">
        <f>+J12*'Цени капацитети'!$E$49+K12*'Цени капацитети'!$E$63</f>
        <v>0</v>
      </c>
      <c r="N12" s="115">
        <f>$P$3*'Цени капацитети'!$E$4+'Враца 2'!$Q$3*'Цени капацитети'!$E$25+$R$3*'Цени капацитети'!$E$10+'Враца 2'!M12</f>
        <v>1.8051999999999999</v>
      </c>
      <c r="O12" s="126"/>
    </row>
    <row r="13" spans="2:18" x14ac:dyDescent="0.25">
      <c r="B13" s="47">
        <f t="shared" si="1"/>
        <v>45392</v>
      </c>
      <c r="C13" s="49">
        <v>100</v>
      </c>
      <c r="D13" s="22">
        <v>102.83199999999999</v>
      </c>
      <c r="E13" s="70">
        <f t="shared" si="0"/>
        <v>102.83199999999999</v>
      </c>
      <c r="F13" s="49">
        <v>183.87</v>
      </c>
      <c r="G13" s="49">
        <v>0</v>
      </c>
      <c r="H13" s="144">
        <v>0</v>
      </c>
      <c r="I13" s="250">
        <v>0</v>
      </c>
      <c r="J13" s="380"/>
      <c r="K13" s="75"/>
      <c r="L13" s="175">
        <f>+J13*'Цени капацитети'!$F$49+K13*'Цени капацитети'!$F$63</f>
        <v>0</v>
      </c>
      <c r="M13" s="175">
        <f>+J13*'Цени капацитети'!$E$49+K13*'Цени капацитети'!$E$63</f>
        <v>0</v>
      </c>
      <c r="N13" s="115">
        <f>$P$3*'Цени капацитети'!$E$4+'Враца 2'!$Q$3*'Цени капацитети'!$E$25+$R$3*'Цени капацитети'!$E$10+'Враца 2'!M13</f>
        <v>1.8051999999999999</v>
      </c>
      <c r="O13" s="126"/>
      <c r="P13" s="23"/>
    </row>
    <row r="14" spans="2:18" x14ac:dyDescent="0.25">
      <c r="B14" s="47">
        <f t="shared" si="1"/>
        <v>45393</v>
      </c>
      <c r="C14" s="49">
        <v>120</v>
      </c>
      <c r="D14" s="22">
        <v>121.941</v>
      </c>
      <c r="E14" s="70">
        <f t="shared" si="0"/>
        <v>121.941</v>
      </c>
      <c r="F14" s="49">
        <v>183.87</v>
      </c>
      <c r="G14" s="49">
        <v>0</v>
      </c>
      <c r="H14" s="144">
        <v>0</v>
      </c>
      <c r="I14" s="250">
        <v>0</v>
      </c>
      <c r="J14" s="380"/>
      <c r="K14" s="75"/>
      <c r="L14" s="175">
        <f>+J14*'Цени капацитети'!$F$49+K14*'Цени капацитети'!$F$63</f>
        <v>0</v>
      </c>
      <c r="M14" s="175">
        <f>+J14*'Цени капацитети'!$E$49+K14*'Цени капацитети'!$E$63</f>
        <v>0</v>
      </c>
      <c r="N14" s="115">
        <f>$P$3*'Цени капацитети'!$E$4+'Враца 2'!$Q$3*'Цени капацитети'!$E$25+$R$3*'Цени капацитети'!$E$10+'Враца 2'!M14</f>
        <v>1.8051999999999999</v>
      </c>
      <c r="O14" s="126"/>
    </row>
    <row r="15" spans="2:18" x14ac:dyDescent="0.25">
      <c r="B15" s="47">
        <f t="shared" si="1"/>
        <v>45394</v>
      </c>
      <c r="C15" s="49">
        <v>120</v>
      </c>
      <c r="D15" s="22">
        <v>117.233</v>
      </c>
      <c r="E15" s="70">
        <f t="shared" si="0"/>
        <v>117.233</v>
      </c>
      <c r="F15" s="49">
        <v>183.87</v>
      </c>
      <c r="G15" s="49">
        <v>0</v>
      </c>
      <c r="H15" s="144">
        <v>0</v>
      </c>
      <c r="I15" s="250">
        <v>0</v>
      </c>
      <c r="J15" s="380"/>
      <c r="K15" s="75"/>
      <c r="L15" s="175">
        <f>+J15*'Цени капацитети'!$F$49+K15*'Цени капацитети'!$F$63</f>
        <v>0</v>
      </c>
      <c r="M15" s="175">
        <f>+J15*'Цени капацитети'!$E$49+K15*'Цени капацитети'!$E$63</f>
        <v>0</v>
      </c>
      <c r="N15" s="115">
        <f>$P$3*'Цени капацитети'!$E$4+'Враца 2'!$Q$3*'Цени капацитети'!$E$25+$R$3*'Цени капацитети'!$E$10+'Враца 2'!M15</f>
        <v>1.8051999999999999</v>
      </c>
      <c r="O15" s="126"/>
    </row>
    <row r="16" spans="2:18" x14ac:dyDescent="0.25">
      <c r="B16" s="47">
        <f t="shared" si="1"/>
        <v>45395</v>
      </c>
      <c r="C16" s="49">
        <v>120</v>
      </c>
      <c r="D16" s="22">
        <v>120.20099999999999</v>
      </c>
      <c r="E16" s="70">
        <f t="shared" si="0"/>
        <v>120.20099999999999</v>
      </c>
      <c r="F16" s="49">
        <v>183.87</v>
      </c>
      <c r="G16" s="49">
        <v>0</v>
      </c>
      <c r="H16" s="144">
        <v>0</v>
      </c>
      <c r="I16" s="250">
        <v>0</v>
      </c>
      <c r="J16" s="380"/>
      <c r="K16" s="75"/>
      <c r="L16" s="175">
        <f>+J16*'Цени капацитети'!$F$49+K16*'Цени капацитети'!$F$63</f>
        <v>0</v>
      </c>
      <c r="M16" s="175">
        <f>+J16*'Цени капацитети'!$E$49+K16*'Цени капацитети'!$E$63</f>
        <v>0</v>
      </c>
      <c r="N16" s="115">
        <f>$P$3*'Цени капацитети'!$E$4+'Враца 2'!$Q$3*'Цени капацитети'!$E$25+$R$3*'Цени капацитети'!$E$10+'Враца 2'!M16</f>
        <v>1.8051999999999999</v>
      </c>
      <c r="O16" s="126"/>
    </row>
    <row r="17" spans="2:17" x14ac:dyDescent="0.25">
      <c r="B17" s="47">
        <f t="shared" si="1"/>
        <v>45396</v>
      </c>
      <c r="C17" s="49">
        <v>120</v>
      </c>
      <c r="D17" s="22">
        <v>119.806</v>
      </c>
      <c r="E17" s="70">
        <f t="shared" si="0"/>
        <v>119.806</v>
      </c>
      <c r="F17" s="49">
        <v>183.87</v>
      </c>
      <c r="G17" s="49">
        <v>0</v>
      </c>
      <c r="H17" s="144">
        <v>0</v>
      </c>
      <c r="I17" s="250">
        <v>0</v>
      </c>
      <c r="J17" s="380"/>
      <c r="K17" s="75"/>
      <c r="L17" s="175">
        <f>+J17*'Цени капацитети'!$F$49+K17*'Цени капацитети'!$F$63</f>
        <v>0</v>
      </c>
      <c r="M17" s="175">
        <f>+J17*'Цени капацитети'!$E$49+K17*'Цени капацитети'!$E$63</f>
        <v>0</v>
      </c>
      <c r="N17" s="115">
        <f>$P$3*'Цени капацитети'!$E$4+'Враца 2'!$Q$3*'Цени капацитети'!$E$25+$R$3*'Цени капацитети'!$E$10+'Враца 2'!M17</f>
        <v>1.8051999999999999</v>
      </c>
      <c r="O17" s="126"/>
    </row>
    <row r="18" spans="2:17" x14ac:dyDescent="0.25">
      <c r="B18" s="47">
        <f t="shared" si="1"/>
        <v>45397</v>
      </c>
      <c r="C18" s="49">
        <v>120</v>
      </c>
      <c r="D18" s="22">
        <v>121.471</v>
      </c>
      <c r="E18" s="70">
        <f t="shared" si="0"/>
        <v>121.471</v>
      </c>
      <c r="F18" s="49">
        <v>183.87</v>
      </c>
      <c r="G18" s="49">
        <v>0</v>
      </c>
      <c r="H18" s="144">
        <v>0</v>
      </c>
      <c r="I18" s="250">
        <v>0</v>
      </c>
      <c r="J18" s="380"/>
      <c r="K18" s="75"/>
      <c r="L18" s="175">
        <f>+J18*'Цени капацитети'!$F$49+K18*'Цени капацитети'!$F$63</f>
        <v>0</v>
      </c>
      <c r="M18" s="175">
        <f>+J18*'Цени капацитети'!$E$49+K18*'Цени капацитети'!$E$63</f>
        <v>0</v>
      </c>
      <c r="N18" s="115">
        <f>$P$3*'Цени капацитети'!$E$4+'Враца 2'!$Q$3*'Цени капацитети'!$E$25+$R$3*'Цени капацитети'!$E$10+'Враца 2'!M18</f>
        <v>1.8051999999999999</v>
      </c>
      <c r="O18" s="126"/>
    </row>
    <row r="19" spans="2:17" x14ac:dyDescent="0.25">
      <c r="B19" s="47">
        <f t="shared" si="1"/>
        <v>45398</v>
      </c>
      <c r="C19" s="49">
        <v>118</v>
      </c>
      <c r="D19" s="22"/>
      <c r="E19" s="70">
        <f t="shared" si="0"/>
        <v>0</v>
      </c>
      <c r="F19" s="49"/>
      <c r="G19" s="49"/>
      <c r="H19" s="144"/>
      <c r="I19" s="250">
        <v>0</v>
      </c>
      <c r="J19" s="380"/>
      <c r="K19" s="75"/>
      <c r="L19" s="175">
        <f>+J19*'Цени капацитети'!$F$49+K19*'Цени капацитети'!$F$63</f>
        <v>0</v>
      </c>
      <c r="M19" s="175">
        <f>+J19*'Цени капацитети'!$E$49+K19*'Цени капацитети'!$E$63</f>
        <v>0</v>
      </c>
      <c r="N19" s="115">
        <f>$P$3*'Цени капацитети'!$E$4+'Враца 2'!$Q$3*'Цени капацитети'!$E$25+$R$3*'Цени капацитети'!$E$10+'Враца 2'!M19</f>
        <v>1.8051999999999999</v>
      </c>
      <c r="O19" s="126"/>
      <c r="Q19" s="3"/>
    </row>
    <row r="20" spans="2:17" x14ac:dyDescent="0.25">
      <c r="B20" s="47">
        <f t="shared" si="1"/>
        <v>45399</v>
      </c>
      <c r="C20" s="49">
        <v>118</v>
      </c>
      <c r="D20" s="22"/>
      <c r="E20" s="70">
        <f t="shared" si="0"/>
        <v>0</v>
      </c>
      <c r="F20" s="49"/>
      <c r="G20" s="49"/>
      <c r="H20" s="144"/>
      <c r="I20" s="250">
        <v>0</v>
      </c>
      <c r="J20" s="380"/>
      <c r="K20" s="75"/>
      <c r="L20" s="175">
        <f>+J20*'Цени капацитети'!$F$49+K20*'Цени капацитети'!$F$63</f>
        <v>0</v>
      </c>
      <c r="M20" s="175">
        <f>+J20*'Цени капацитети'!$E$49+K20*'Цени капацитети'!$E$63</f>
        <v>0</v>
      </c>
      <c r="N20" s="115">
        <f>$P$3*'Цени капацитети'!$E$4+'Враца 2'!$Q$3*'Цени капацитети'!$E$25+$R$3*'Цени капацитети'!$E$10+'Враца 2'!M20</f>
        <v>1.8051999999999999</v>
      </c>
      <c r="O20" s="126"/>
      <c r="Q20" s="17"/>
    </row>
    <row r="21" spans="2:17" x14ac:dyDescent="0.25">
      <c r="B21" s="47">
        <f t="shared" si="1"/>
        <v>45400</v>
      </c>
      <c r="C21" s="49"/>
      <c r="D21" s="22"/>
      <c r="E21" s="70">
        <f t="shared" si="0"/>
        <v>0</v>
      </c>
      <c r="F21" s="49"/>
      <c r="G21" s="49"/>
      <c r="H21" s="144"/>
      <c r="I21" s="250">
        <v>0</v>
      </c>
      <c r="J21" s="380"/>
      <c r="K21" s="75"/>
      <c r="L21" s="175">
        <f>+J21*'Цени капацитети'!$F$49+K21*'Цени капацитети'!$F$63</f>
        <v>0</v>
      </c>
      <c r="M21" s="175">
        <f>+J21*'Цени капацитети'!$E$49+K21*'Цени капацитети'!$E$63</f>
        <v>0</v>
      </c>
      <c r="N21" s="115">
        <f>$P$3*'Цени капацитети'!$E$4+'Враца 2'!$Q$3*'Цени капацитети'!$E$25+$R$3*'Цени капацитети'!$E$10+'Враца 2'!M21</f>
        <v>1.8051999999999999</v>
      </c>
      <c r="O21" s="126"/>
      <c r="Q21" s="17"/>
    </row>
    <row r="22" spans="2:17" x14ac:dyDescent="0.25">
      <c r="B22" s="47">
        <f t="shared" si="1"/>
        <v>45401</v>
      </c>
      <c r="C22" s="49"/>
      <c r="D22" s="22"/>
      <c r="E22" s="70">
        <f t="shared" si="0"/>
        <v>0</v>
      </c>
      <c r="F22" s="49"/>
      <c r="G22" s="49"/>
      <c r="H22" s="144"/>
      <c r="I22" s="250">
        <v>0</v>
      </c>
      <c r="J22" s="380"/>
      <c r="K22" s="75"/>
      <c r="L22" s="175">
        <f>+J22*'Цени капацитети'!$F$49+K22*'Цени капацитети'!$F$63</f>
        <v>0</v>
      </c>
      <c r="M22" s="175">
        <f>+J22*'Цени капацитети'!$E$49+K22*'Цени капацитети'!$E$63</f>
        <v>0</v>
      </c>
      <c r="N22" s="115">
        <f>$P$3*'Цени капацитети'!$E$4+'Враца 2'!$Q$3*'Цени капацитети'!$E$25+$R$3*'Цени капацитети'!$E$10+'Враца 2'!M22</f>
        <v>1.8051999999999999</v>
      </c>
      <c r="O22" s="126"/>
    </row>
    <row r="23" spans="2:17" x14ac:dyDescent="0.25">
      <c r="B23" s="47">
        <f t="shared" si="1"/>
        <v>45402</v>
      </c>
      <c r="C23" s="49"/>
      <c r="D23" s="22"/>
      <c r="E23" s="70">
        <f t="shared" si="0"/>
        <v>0</v>
      </c>
      <c r="F23" s="49"/>
      <c r="G23" s="49"/>
      <c r="H23" s="144"/>
      <c r="I23" s="250">
        <v>0</v>
      </c>
      <c r="J23" s="380"/>
      <c r="K23" s="75"/>
      <c r="L23" s="175">
        <f>+J23*'Цени капацитети'!$F$49+K23*'Цени капацитети'!$F$63</f>
        <v>0</v>
      </c>
      <c r="M23" s="175">
        <f>+J23*'Цени капацитети'!$E$49+K23*'Цени капацитети'!$E$63</f>
        <v>0</v>
      </c>
      <c r="N23" s="115">
        <f>$P$3*'Цени капацитети'!$E$4+'Враца 2'!$Q$3*'Цени капацитети'!$E$25+$R$3*'Цени капацитети'!$E$10+'Враца 2'!M23</f>
        <v>1.8051999999999999</v>
      </c>
      <c r="O23" s="126"/>
    </row>
    <row r="24" spans="2:17" x14ac:dyDescent="0.25">
      <c r="B24" s="47">
        <f t="shared" si="1"/>
        <v>45403</v>
      </c>
      <c r="C24" s="49"/>
      <c r="D24" s="22"/>
      <c r="E24" s="70">
        <f t="shared" si="0"/>
        <v>0</v>
      </c>
      <c r="F24" s="49"/>
      <c r="G24" s="49"/>
      <c r="H24" s="144"/>
      <c r="I24" s="250">
        <v>0</v>
      </c>
      <c r="J24" s="380"/>
      <c r="K24" s="75"/>
      <c r="L24" s="175">
        <f>+J24*'Цени капацитети'!$F$49+K24*'Цени капацитети'!$F$63</f>
        <v>0</v>
      </c>
      <c r="M24" s="175">
        <f>+J24*'Цени капацитети'!$E$49+K24*'Цени капацитети'!$E$63</f>
        <v>0</v>
      </c>
      <c r="N24" s="115">
        <f>$P$3*'Цени капацитети'!$E$4+'Враца 2'!$Q$3*'Цени капацитети'!$E$25+$R$3*'Цени капацитети'!$E$10+'Враца 2'!M24</f>
        <v>1.8051999999999999</v>
      </c>
      <c r="O24" s="126"/>
    </row>
    <row r="25" spans="2:17" x14ac:dyDescent="0.25">
      <c r="B25" s="47">
        <f t="shared" si="1"/>
        <v>45404</v>
      </c>
      <c r="C25" s="49"/>
      <c r="D25" s="22"/>
      <c r="E25" s="70">
        <f t="shared" si="0"/>
        <v>0</v>
      </c>
      <c r="F25" s="49"/>
      <c r="G25" s="49"/>
      <c r="H25" s="144"/>
      <c r="I25" s="250">
        <v>0</v>
      </c>
      <c r="J25" s="380"/>
      <c r="K25" s="75"/>
      <c r="L25" s="175">
        <f>+J25*'Цени капацитети'!$F$49+K25*'Цени капацитети'!$F$63</f>
        <v>0</v>
      </c>
      <c r="M25" s="175">
        <f>+J25*'Цени капацитети'!$E$49+K25*'Цени капацитети'!$E$63</f>
        <v>0</v>
      </c>
      <c r="N25" s="115">
        <f>$P$3*'Цени капацитети'!$E$4+'Враца 2'!$Q$3*'Цени капацитети'!$E$25+$R$3*'Цени капацитети'!$E$10+'Враца 2'!M25</f>
        <v>1.8051999999999999</v>
      </c>
      <c r="O25" s="126"/>
    </row>
    <row r="26" spans="2:17" x14ac:dyDescent="0.25">
      <c r="B26" s="47">
        <f t="shared" si="1"/>
        <v>45405</v>
      </c>
      <c r="C26" s="49"/>
      <c r="D26" s="22"/>
      <c r="E26" s="70">
        <f t="shared" si="0"/>
        <v>0</v>
      </c>
      <c r="F26" s="49"/>
      <c r="G26" s="49"/>
      <c r="H26" s="144"/>
      <c r="I26" s="250">
        <v>0</v>
      </c>
      <c r="J26" s="380"/>
      <c r="K26" s="75"/>
      <c r="L26" s="175">
        <f>+J26*'Цени капацитети'!$F$49+K26*'Цени капацитети'!$F$63</f>
        <v>0</v>
      </c>
      <c r="M26" s="175">
        <f>+J26*'Цени капацитети'!$E$49+K26*'Цени капацитети'!$E$63</f>
        <v>0</v>
      </c>
      <c r="N26" s="115">
        <f>$P$3*'Цени капацитети'!$E$4+'Враца 2'!$Q$3*'Цени капацитети'!$E$25+$R$3*'Цени капацитети'!$E$10+'Враца 2'!M26</f>
        <v>1.8051999999999999</v>
      </c>
      <c r="O26" s="126"/>
    </row>
    <row r="27" spans="2:17" x14ac:dyDescent="0.25">
      <c r="B27" s="47">
        <f t="shared" si="1"/>
        <v>45406</v>
      </c>
      <c r="C27" s="49"/>
      <c r="D27" s="22"/>
      <c r="E27" s="70">
        <f t="shared" si="0"/>
        <v>0</v>
      </c>
      <c r="F27" s="49"/>
      <c r="G27" s="49"/>
      <c r="H27" s="144"/>
      <c r="I27" s="250">
        <v>0</v>
      </c>
      <c r="J27" s="380"/>
      <c r="K27" s="75"/>
      <c r="L27" s="175">
        <f>+J27*'Цени капацитети'!$F$49+K27*'Цени капацитети'!$F$63</f>
        <v>0</v>
      </c>
      <c r="M27" s="175">
        <f>+J27*'Цени капацитети'!$E$49+K27*'Цени капацитети'!$E$63</f>
        <v>0</v>
      </c>
      <c r="N27" s="115">
        <f>$P$3*'Цени капацитети'!$E$4+'Враца 2'!$Q$3*'Цени капацитети'!$E$25+$R$3*'Цени капацитети'!$E$10+'Враца 2'!M27</f>
        <v>1.8051999999999999</v>
      </c>
      <c r="O27" s="126"/>
    </row>
    <row r="28" spans="2:17" x14ac:dyDescent="0.25">
      <c r="B28" s="47">
        <f t="shared" si="1"/>
        <v>45407</v>
      </c>
      <c r="C28" s="49"/>
      <c r="D28" s="22"/>
      <c r="E28" s="70">
        <f t="shared" si="0"/>
        <v>0</v>
      </c>
      <c r="F28" s="49"/>
      <c r="G28" s="49"/>
      <c r="H28" s="144"/>
      <c r="I28" s="250">
        <v>0</v>
      </c>
      <c r="J28" s="380"/>
      <c r="K28" s="75"/>
      <c r="L28" s="175">
        <f>+J28*'Цени капацитети'!$F$49+K28*'Цени капацитети'!$F$63</f>
        <v>0</v>
      </c>
      <c r="M28" s="175">
        <f>+J28*'Цени капацитети'!$E$49+K28*'Цени капацитети'!$E$63</f>
        <v>0</v>
      </c>
      <c r="N28" s="115">
        <f>$P$3*'Цени капацитети'!$E$4+'Враца 2'!$Q$3*'Цени капацитети'!$E$25+$R$3*'Цени капацитети'!$E$10+'Враца 2'!M28</f>
        <v>1.8051999999999999</v>
      </c>
      <c r="O28" s="126"/>
    </row>
    <row r="29" spans="2:17" x14ac:dyDescent="0.25">
      <c r="B29" s="47">
        <f t="shared" si="1"/>
        <v>45408</v>
      </c>
      <c r="C29" s="49"/>
      <c r="D29" s="22"/>
      <c r="E29" s="70">
        <f t="shared" si="0"/>
        <v>0</v>
      </c>
      <c r="F29" s="49"/>
      <c r="G29" s="49"/>
      <c r="H29" s="144"/>
      <c r="I29" s="250">
        <v>0</v>
      </c>
      <c r="J29" s="380"/>
      <c r="K29" s="75"/>
      <c r="L29" s="175">
        <f>+J29*'Цени капацитети'!$F$49+K29*'Цени капацитети'!$F$63</f>
        <v>0</v>
      </c>
      <c r="M29" s="175">
        <f>+J29*'Цени капацитети'!$E$49+K29*'Цени капацитети'!$E$63</f>
        <v>0</v>
      </c>
      <c r="N29" s="115">
        <f>$P$3*'Цени капацитети'!$E$4+'Враца 2'!$Q$3*'Цени капацитети'!$E$25+$R$3*'Цени капацитети'!$E$10+'Враца 2'!M29</f>
        <v>1.8051999999999999</v>
      </c>
      <c r="O29" s="126"/>
    </row>
    <row r="30" spans="2:17" x14ac:dyDescent="0.25">
      <c r="B30" s="47">
        <f t="shared" si="1"/>
        <v>45409</v>
      </c>
      <c r="C30" s="49"/>
      <c r="D30" s="22"/>
      <c r="E30" s="70">
        <f t="shared" si="0"/>
        <v>0</v>
      </c>
      <c r="F30" s="49"/>
      <c r="G30" s="49"/>
      <c r="H30" s="144"/>
      <c r="I30" s="250">
        <v>0</v>
      </c>
      <c r="J30" s="380"/>
      <c r="K30" s="75"/>
      <c r="L30" s="175">
        <f>+J30*'Цени капацитети'!$F$49+K30*'Цени капацитети'!$F$63</f>
        <v>0</v>
      </c>
      <c r="M30" s="175">
        <f>+J30*'Цени капацитети'!$E$49+K30*'Цени капацитети'!$E$63</f>
        <v>0</v>
      </c>
      <c r="N30" s="115">
        <f>$P$3*'Цени капацитети'!$E$4+'Враца 2'!$Q$3*'Цени капацитети'!$E$25+$R$3*'Цени капацитети'!$E$10+'Враца 2'!M30</f>
        <v>1.8051999999999999</v>
      </c>
      <c r="O30" s="126"/>
    </row>
    <row r="31" spans="2:17" x14ac:dyDescent="0.25">
      <c r="B31" s="47">
        <f t="shared" si="1"/>
        <v>45410</v>
      </c>
      <c r="C31" s="49"/>
      <c r="D31" s="22"/>
      <c r="E31" s="70">
        <f t="shared" ref="E31:E33" si="2">+D31-H31</f>
        <v>0</v>
      </c>
      <c r="F31" s="49"/>
      <c r="G31" s="49"/>
      <c r="H31" s="144"/>
      <c r="I31" s="250">
        <v>0</v>
      </c>
      <c r="J31" s="380"/>
      <c r="K31" s="75"/>
      <c r="L31" s="175">
        <f>+J31*'Цени капацитети'!$F$49+K31*'Цени капацитети'!$F$63</f>
        <v>0</v>
      </c>
      <c r="M31" s="175">
        <f>+J31*'Цени капацитети'!$E$49+K31*'Цени капацитети'!$E$63</f>
        <v>0</v>
      </c>
      <c r="N31" s="115">
        <f>$P$3*'Цени капацитети'!$E$4+'Враца 2'!$Q$3*'Цени капацитети'!$E$25+$R$3*'Цени капацитети'!$E$10+'Враца 2'!M31</f>
        <v>1.8051999999999999</v>
      </c>
      <c r="O31" s="126"/>
    </row>
    <row r="32" spans="2:17" x14ac:dyDescent="0.25">
      <c r="B32" s="47">
        <f t="shared" si="1"/>
        <v>45411</v>
      </c>
      <c r="C32" s="49"/>
      <c r="D32" s="22"/>
      <c r="E32" s="70">
        <f t="shared" si="2"/>
        <v>0</v>
      </c>
      <c r="F32" s="49"/>
      <c r="G32" s="49"/>
      <c r="H32" s="144"/>
      <c r="I32" s="250">
        <v>0</v>
      </c>
      <c r="J32" s="380"/>
      <c r="K32" s="75"/>
      <c r="L32" s="175">
        <f>+J32*'Цени капацитети'!$F$49+K32*'Цени капацитети'!$F$63</f>
        <v>0</v>
      </c>
      <c r="M32" s="175">
        <f>+J32*'Цени капацитети'!$E$49+K32*'Цени капацитети'!$E$63</f>
        <v>0</v>
      </c>
      <c r="N32" s="115">
        <f>$P$3*'Цени капацитети'!$E$4+'Враца 2'!$Q$3*'Цени капацитети'!$E$25+$R$3*'Цени капацитети'!$E$10+'Враца 2'!M32</f>
        <v>1.8051999999999999</v>
      </c>
      <c r="O32" s="126"/>
    </row>
    <row r="33" spans="2:15" x14ac:dyDescent="0.25">
      <c r="B33" s="47">
        <f t="shared" si="1"/>
        <v>45412</v>
      </c>
      <c r="C33" s="49"/>
      <c r="D33" s="22"/>
      <c r="E33" s="70">
        <f t="shared" si="2"/>
        <v>0</v>
      </c>
      <c r="F33" s="49"/>
      <c r="G33" s="49"/>
      <c r="H33" s="144"/>
      <c r="I33" s="250">
        <v>0</v>
      </c>
      <c r="J33" s="380"/>
      <c r="K33" s="75"/>
      <c r="L33" s="175">
        <f>+J33*'Цени капацитети'!$F$49+K33*'Цени капацитети'!$F$63</f>
        <v>0</v>
      </c>
      <c r="M33" s="175">
        <f>+J33*'Цени капацитети'!$E$49+K33*'Цени капацитети'!$E$63</f>
        <v>0</v>
      </c>
      <c r="N33" s="115">
        <f>$P$3*'Цени капацитети'!$E$4+'Враца 2'!$Q$3*'Цени капацитети'!$E$25+$R$3*'Цени капацитети'!$E$10+'Враца 2'!M33</f>
        <v>1.8051999999999999</v>
      </c>
      <c r="O33" s="126"/>
    </row>
    <row r="34" spans="2:15" x14ac:dyDescent="0.25">
      <c r="E34" s="16">
        <f>SUM(E4:E33)</f>
        <v>1760.9409999999998</v>
      </c>
      <c r="F34" s="16"/>
      <c r="G34" s="16">
        <f t="shared" ref="G34:L34" si="3">SUM(G4:G33)</f>
        <v>0</v>
      </c>
      <c r="H34" s="16">
        <f t="shared" si="3"/>
        <v>0</v>
      </c>
      <c r="I34" s="16">
        <f t="shared" si="3"/>
        <v>0</v>
      </c>
      <c r="J34" s="16">
        <f t="shared" si="3"/>
        <v>0</v>
      </c>
      <c r="K34" s="16">
        <f t="shared" si="3"/>
        <v>0</v>
      </c>
      <c r="L34" s="16">
        <f t="shared" si="3"/>
        <v>0</v>
      </c>
      <c r="N34" s="69">
        <f>SUM(N4:N33)</f>
        <v>54.155999999999985</v>
      </c>
      <c r="O34" s="255">
        <f>SUM(O4:O33)</f>
        <v>0</v>
      </c>
    </row>
    <row r="35" spans="2:15" x14ac:dyDescent="0.25">
      <c r="E35" s="16"/>
      <c r="F35" s="16"/>
      <c r="H35" s="16"/>
    </row>
    <row r="36" spans="2:15" x14ac:dyDescent="0.25">
      <c r="G36" s="16"/>
      <c r="H36" s="16"/>
    </row>
  </sheetData>
  <mergeCells count="4">
    <mergeCell ref="B2:H2"/>
    <mergeCell ref="K2:M2"/>
    <mergeCell ref="P1:Q1"/>
    <mergeCell ref="P6:Q8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0000"/>
  </sheetPr>
  <dimension ref="B1:V47"/>
  <sheetViews>
    <sheetView zoomScale="70" zoomScaleNormal="70" workbookViewId="0">
      <selection activeCell="F18" sqref="F18:H18"/>
    </sheetView>
  </sheetViews>
  <sheetFormatPr defaultColWidth="8.85546875" defaultRowHeight="15" x14ac:dyDescent="0.25"/>
  <cols>
    <col min="1" max="1" width="8.85546875" style="1"/>
    <col min="2" max="2" width="12.7109375" style="1" bestFit="1" customWidth="1"/>
    <col min="3" max="3" width="9.7109375" style="1" bestFit="1" customWidth="1"/>
    <col min="4" max="4" width="16.85546875" style="1" bestFit="1" customWidth="1"/>
    <col min="5" max="5" width="10.140625" style="1" bestFit="1" customWidth="1"/>
    <col min="6" max="6" width="12.140625" style="1" bestFit="1" customWidth="1"/>
    <col min="7" max="7" width="12.5703125" style="1" bestFit="1" customWidth="1"/>
    <col min="8" max="8" width="10.7109375" style="1" customWidth="1"/>
    <col min="9" max="9" width="10.7109375" style="1" bestFit="1" customWidth="1"/>
    <col min="10" max="11" width="15.42578125" style="1" bestFit="1" customWidth="1"/>
    <col min="12" max="12" width="13" style="1" customWidth="1"/>
    <col min="13" max="14" width="17.5703125" style="69" customWidth="1"/>
    <col min="15" max="15" width="13.28515625" style="1" customWidth="1"/>
    <col min="16" max="16" width="17.42578125" style="1" customWidth="1"/>
    <col min="17" max="17" width="19.42578125" style="1" bestFit="1" customWidth="1"/>
    <col min="18" max="18" width="12.5703125" style="1" bestFit="1" customWidth="1"/>
    <col min="19" max="20" width="8.85546875" style="1"/>
    <col min="21" max="21" width="13" style="1" customWidth="1"/>
    <col min="22" max="22" width="13.28515625" style="1" customWidth="1"/>
    <col min="23" max="16384" width="8.85546875" style="1"/>
  </cols>
  <sheetData>
    <row r="1" spans="2:22" ht="15.75" thickBot="1" x14ac:dyDescent="0.3">
      <c r="J1" s="81"/>
      <c r="K1" s="81"/>
      <c r="L1" s="78"/>
      <c r="M1" s="78"/>
      <c r="N1" s="13"/>
    </row>
    <row r="2" spans="2:22" x14ac:dyDescent="0.25">
      <c r="B2" s="688" t="s">
        <v>38</v>
      </c>
      <c r="C2" s="689"/>
      <c r="D2" s="689"/>
      <c r="E2" s="689"/>
      <c r="F2" s="689"/>
      <c r="G2" s="689"/>
      <c r="H2" s="689"/>
      <c r="I2" s="690"/>
      <c r="J2" s="252"/>
      <c r="K2" s="691" t="s">
        <v>71</v>
      </c>
      <c r="L2" s="679"/>
      <c r="M2" s="692"/>
      <c r="N2" s="13"/>
      <c r="P2" s="2" t="s">
        <v>100</v>
      </c>
      <c r="Q2" s="2" t="s">
        <v>81</v>
      </c>
      <c r="R2" s="2" t="s">
        <v>112</v>
      </c>
      <c r="U2" s="681" t="s">
        <v>106</v>
      </c>
      <c r="V2" s="681"/>
    </row>
    <row r="3" spans="2:22" ht="44.25" thickBot="1" x14ac:dyDescent="0.3">
      <c r="B3" s="26" t="s">
        <v>8</v>
      </c>
      <c r="C3" s="46" t="s">
        <v>22</v>
      </c>
      <c r="D3" s="52" t="s">
        <v>23</v>
      </c>
      <c r="E3" s="52" t="s">
        <v>18</v>
      </c>
      <c r="F3" s="52" t="s">
        <v>27</v>
      </c>
      <c r="G3" s="52" t="s">
        <v>6</v>
      </c>
      <c r="H3" s="52" t="s">
        <v>21</v>
      </c>
      <c r="I3" s="35" t="s">
        <v>28</v>
      </c>
      <c r="J3" s="121" t="s">
        <v>137</v>
      </c>
      <c r="K3" s="121" t="s">
        <v>138</v>
      </c>
      <c r="L3" s="77" t="s">
        <v>103</v>
      </c>
      <c r="M3" s="77" t="s">
        <v>83</v>
      </c>
      <c r="N3" s="77" t="s">
        <v>104</v>
      </c>
      <c r="O3" s="69" t="s">
        <v>122</v>
      </c>
      <c r="P3" s="19">
        <v>1</v>
      </c>
      <c r="Q3" s="20"/>
      <c r="R3" s="8">
        <v>0</v>
      </c>
      <c r="U3" s="681"/>
      <c r="V3" s="681"/>
    </row>
    <row r="4" spans="2:22" x14ac:dyDescent="0.25">
      <c r="B4" s="47">
        <v>45383</v>
      </c>
      <c r="C4" s="22">
        <v>1152</v>
      </c>
      <c r="D4" s="22">
        <v>1131.337</v>
      </c>
      <c r="E4" s="5">
        <f>D4-G4</f>
        <v>1131.337</v>
      </c>
      <c r="F4" s="22">
        <v>1</v>
      </c>
      <c r="G4" s="22">
        <v>0</v>
      </c>
      <c r="H4" s="22">
        <v>1238.4000000000001</v>
      </c>
      <c r="I4" s="80"/>
      <c r="J4" s="380"/>
      <c r="K4" s="75"/>
      <c r="L4" s="175">
        <f>+J4*'Цени капацитети'!$F$49+K4*'Цени капацитети'!$F$63</f>
        <v>0</v>
      </c>
      <c r="M4" s="175">
        <f>+J4*'Цени капацитети'!$E$49+K4*'Цени капацитети'!$E$63</f>
        <v>0</v>
      </c>
      <c r="N4" s="76">
        <f>+M4+$P$3*'Цени капацитети'!$E$4+$Q$3*'Цени капацитети'!$E$25+$R$3*'Цени капацитети'!$E$10</f>
        <v>1.2676000000000001</v>
      </c>
      <c r="O4" s="125"/>
      <c r="U4" s="681"/>
      <c r="V4" s="681"/>
    </row>
    <row r="5" spans="2:22" x14ac:dyDescent="0.25">
      <c r="B5" s="47">
        <f>+B4+1</f>
        <v>45384</v>
      </c>
      <c r="C5" s="22">
        <v>1152</v>
      </c>
      <c r="D5" s="22">
        <v>1159.07</v>
      </c>
      <c r="E5" s="5">
        <f t="shared" ref="E5:E30" si="0">D5-G5</f>
        <v>1158.07</v>
      </c>
      <c r="F5" s="22">
        <v>1</v>
      </c>
      <c r="G5" s="22">
        <v>1</v>
      </c>
      <c r="H5" s="22">
        <v>1238.4000000000001</v>
      </c>
      <c r="I5" s="80"/>
      <c r="J5" s="75"/>
      <c r="K5" s="75"/>
      <c r="L5" s="175">
        <f>+J5*'Цени капацитети'!$F$49+K5*'Цени капацитети'!$F$63</f>
        <v>0</v>
      </c>
      <c r="M5" s="175">
        <f>+J5*'Цени капацитети'!$E$49+K5*'Цени капацитети'!$E$63</f>
        <v>0</v>
      </c>
      <c r="N5" s="76">
        <f>+M5+$P$3*'Цени капацитети'!$E$4+$Q$3*'Цени капацитети'!$E$25+$R$3*'Цени капацитети'!$E$10</f>
        <v>1.2676000000000001</v>
      </c>
      <c r="O5" s="125"/>
      <c r="U5" s="113" t="s">
        <v>18</v>
      </c>
      <c r="V5" s="114" t="s">
        <v>6</v>
      </c>
    </row>
    <row r="6" spans="2:22" x14ac:dyDescent="0.25">
      <c r="B6" s="47">
        <f t="shared" ref="B6:B33" si="1">+B5+1</f>
        <v>45385</v>
      </c>
      <c r="C6" s="22">
        <v>1152</v>
      </c>
      <c r="D6" s="22">
        <v>1157.223</v>
      </c>
      <c r="E6" s="5">
        <f t="shared" si="0"/>
        <v>1151.712</v>
      </c>
      <c r="F6" s="22">
        <v>2</v>
      </c>
      <c r="G6" s="22">
        <v>5.5109999999999673</v>
      </c>
      <c r="H6" s="22">
        <v>1238.4000000000001</v>
      </c>
      <c r="I6" s="80"/>
      <c r="J6" s="75"/>
      <c r="K6" s="75">
        <v>5</v>
      </c>
      <c r="L6" s="175">
        <f>+J6*'Цени капацитети'!$F$49+K6*'Цени капацитети'!$F$63</f>
        <v>10.524000000000001</v>
      </c>
      <c r="M6" s="175">
        <f>+J6*'Цени капацитети'!$E$49+K6*'Цени капацитети'!$E$63</f>
        <v>16.117999999999999</v>
      </c>
      <c r="N6" s="76">
        <f>+M6+$P$3*'Цени капацитети'!$E$4+$Q$3*'Цени капацитети'!$E$25+$R$3*'Цени капацитети'!$E$10</f>
        <v>17.3856</v>
      </c>
      <c r="O6" s="125"/>
      <c r="Q6" s="1" t="s">
        <v>188</v>
      </c>
      <c r="R6" s="378">
        <f>+Цени!G39*0.1</f>
        <v>5.8840000000000003</v>
      </c>
      <c r="U6" s="76"/>
      <c r="V6" s="75"/>
    </row>
    <row r="7" spans="2:22" x14ac:dyDescent="0.25">
      <c r="B7" s="47">
        <f t="shared" si="1"/>
        <v>45386</v>
      </c>
      <c r="C7" s="22">
        <v>1152</v>
      </c>
      <c r="D7" s="22">
        <v>1155.056</v>
      </c>
      <c r="E7" s="5">
        <f t="shared" si="0"/>
        <v>1151.712</v>
      </c>
      <c r="F7" s="22">
        <v>2</v>
      </c>
      <c r="G7" s="22">
        <v>3.3440000000000509</v>
      </c>
      <c r="H7" s="22">
        <v>1238.4000000000001</v>
      </c>
      <c r="I7" s="80"/>
      <c r="J7" s="75"/>
      <c r="K7" s="75">
        <v>5</v>
      </c>
      <c r="L7" s="175">
        <f>+J7*'Цени капацитети'!$F$49+K7*'Цени капацитети'!$F$63</f>
        <v>10.524000000000001</v>
      </c>
      <c r="M7" s="175">
        <f>+J7*'Цени капацитети'!$E$49+K7*'Цени капацитети'!$E$63</f>
        <v>16.117999999999999</v>
      </c>
      <c r="N7" s="76">
        <f>+M7+$P$3*'Цени капацитети'!$E$4+$Q$3*'Цени капацитети'!$E$25+$R$3*'Цени капацитети'!$E$10</f>
        <v>17.3856</v>
      </c>
      <c r="O7" s="125"/>
      <c r="Q7" s="1" t="s">
        <v>189</v>
      </c>
      <c r="R7" s="1">
        <f>+'Цени капацитети'!B40</f>
        <v>5.0566000000000004</v>
      </c>
    </row>
    <row r="8" spans="2:22" x14ac:dyDescent="0.25">
      <c r="B8" s="47">
        <f t="shared" si="1"/>
        <v>45387</v>
      </c>
      <c r="C8" s="22">
        <v>1104</v>
      </c>
      <c r="D8" s="22">
        <v>1104.6379999999999</v>
      </c>
      <c r="E8" s="5">
        <f t="shared" si="0"/>
        <v>1104.6379999999999</v>
      </c>
      <c r="F8" s="22">
        <v>0</v>
      </c>
      <c r="G8" s="22">
        <v>0</v>
      </c>
      <c r="H8" s="22">
        <v>1238.4000000000001</v>
      </c>
      <c r="I8" s="80"/>
      <c r="J8" s="75"/>
      <c r="K8" s="75"/>
      <c r="L8" s="175">
        <f>+J8*'Цени капацитети'!$F$49+K8*'Цени капацитети'!$F$63</f>
        <v>0</v>
      </c>
      <c r="M8" s="175">
        <f>+J8*'Цени капацитети'!$E$49+K8*'Цени капацитети'!$E$63</f>
        <v>0</v>
      </c>
      <c r="N8" s="76">
        <f>+M8+$P$3*'Цени капацитети'!$E$4+$Q$3*'Цени капацитети'!$E$25+$R$3*'Цени капацитети'!$E$10</f>
        <v>1.2676000000000001</v>
      </c>
      <c r="O8" s="125"/>
    </row>
    <row r="9" spans="2:22" x14ac:dyDescent="0.25">
      <c r="B9" s="47">
        <f t="shared" si="1"/>
        <v>45388</v>
      </c>
      <c r="C9" s="22">
        <v>1152</v>
      </c>
      <c r="D9" s="22">
        <v>1154.0419999999999</v>
      </c>
      <c r="E9" s="5">
        <f t="shared" si="0"/>
        <v>1151.712</v>
      </c>
      <c r="F9" s="22">
        <v>2</v>
      </c>
      <c r="G9" s="22">
        <v>2.3299999999999272</v>
      </c>
      <c r="H9" s="22">
        <v>1238.4000000000001</v>
      </c>
      <c r="I9" s="80"/>
      <c r="J9" s="75"/>
      <c r="K9" s="75">
        <v>3</v>
      </c>
      <c r="L9" s="175">
        <f>+J9*'Цени капацитети'!$F$49+K9*'Цени капацитети'!$F$63</f>
        <v>6.3144</v>
      </c>
      <c r="M9" s="175">
        <f>+J9*'Цени капацитети'!$E$49+K9*'Цени капацитети'!$E$63</f>
        <v>9.6707999999999998</v>
      </c>
      <c r="N9" s="76">
        <f>+M9+$P$3*'Цени капацитети'!$E$4+$Q$3*'Цени капацитети'!$E$25+$R$3*'Цени капацитети'!$E$10</f>
        <v>10.9384</v>
      </c>
      <c r="O9" s="125"/>
      <c r="P9" s="1" t="s">
        <v>76</v>
      </c>
      <c r="Q9" s="1">
        <f>+'Цени капацитети'!$E$37</f>
        <v>0</v>
      </c>
      <c r="R9" s="1">
        <f>+R8*G4</f>
        <v>0</v>
      </c>
    </row>
    <row r="10" spans="2:22" x14ac:dyDescent="0.25">
      <c r="B10" s="47">
        <f t="shared" si="1"/>
        <v>45389</v>
      </c>
      <c r="C10" s="22">
        <v>1152</v>
      </c>
      <c r="D10" s="22">
        <v>1153.818</v>
      </c>
      <c r="E10" s="5">
        <f t="shared" si="0"/>
        <v>1151.712</v>
      </c>
      <c r="F10" s="22">
        <v>2</v>
      </c>
      <c r="G10" s="22">
        <v>2.1059999999999945</v>
      </c>
      <c r="H10" s="22">
        <v>1238.4000000000001</v>
      </c>
      <c r="I10" s="80"/>
      <c r="J10" s="75"/>
      <c r="K10" s="75">
        <v>3</v>
      </c>
      <c r="L10" s="175">
        <f>+J10*'Цени капацитети'!$F$49+K10*'Цени капацитети'!$F$63</f>
        <v>6.3144</v>
      </c>
      <c r="M10" s="175">
        <f>+J10*'Цени капацитети'!$E$49+K10*'Цени капацитети'!$E$63</f>
        <v>9.6707999999999998</v>
      </c>
      <c r="N10" s="76">
        <f>+M10+$P$3*'Цени капацитети'!$E$4+$Q$3*'Цени капацитети'!$E$25+$R$3*'Цени капацитети'!$E$10</f>
        <v>10.9384</v>
      </c>
      <c r="O10" s="125"/>
      <c r="P10" s="1" t="s">
        <v>77</v>
      </c>
      <c r="Q10" s="1">
        <f>+'Цени капацитети'!$E$51</f>
        <v>1.5674999999999999</v>
      </c>
    </row>
    <row r="11" spans="2:22" x14ac:dyDescent="0.25">
      <c r="B11" s="47">
        <f t="shared" si="1"/>
        <v>45390</v>
      </c>
      <c r="C11" s="22">
        <v>1152</v>
      </c>
      <c r="D11" s="22">
        <v>1133.482</v>
      </c>
      <c r="E11" s="5">
        <f t="shared" si="0"/>
        <v>1133.482</v>
      </c>
      <c r="F11" s="22">
        <v>1</v>
      </c>
      <c r="G11" s="22">
        <v>0</v>
      </c>
      <c r="H11" s="22">
        <v>1238.4000000000001</v>
      </c>
      <c r="I11" s="80"/>
      <c r="J11" s="75"/>
      <c r="K11" s="75">
        <v>2</v>
      </c>
      <c r="L11" s="175">
        <f>+J11*'Цени капацитети'!$F$49+K11*'Цени капацитети'!$F$63</f>
        <v>4.2096</v>
      </c>
      <c r="M11" s="175">
        <f>+J11*'Цени капацитети'!$E$49+K11*'Цени капацитети'!$E$63</f>
        <v>6.4471999999999996</v>
      </c>
      <c r="N11" s="76">
        <f>+M11+$P$3*'Цени капацитети'!$E$4+$Q$3*'Цени капацитети'!$E$25+$R$3*'Цени капацитети'!$E$10</f>
        <v>7.7147999999999994</v>
      </c>
      <c r="O11" s="125"/>
    </row>
    <row r="12" spans="2:22" ht="15.75" thickBot="1" x14ac:dyDescent="0.3">
      <c r="B12" s="47">
        <f t="shared" si="1"/>
        <v>45391</v>
      </c>
      <c r="C12" s="22">
        <v>1152</v>
      </c>
      <c r="D12" s="22">
        <v>1171.934</v>
      </c>
      <c r="E12" s="5">
        <f t="shared" si="0"/>
        <v>1151.712</v>
      </c>
      <c r="F12" s="22">
        <v>15</v>
      </c>
      <c r="G12" s="22">
        <v>20.22199999999998</v>
      </c>
      <c r="H12" s="22">
        <v>1238.4000000000001</v>
      </c>
      <c r="I12" s="80"/>
      <c r="J12" s="75"/>
      <c r="K12" s="75">
        <v>20</v>
      </c>
      <c r="L12" s="175">
        <f>+J12*'Цени капацитети'!$F$49+K12*'Цени капацитети'!$F$63</f>
        <v>42.096000000000004</v>
      </c>
      <c r="M12" s="175">
        <f>+J12*'Цени капацитети'!$E$49+K12*'Цени капацитети'!$E$63</f>
        <v>64.471999999999994</v>
      </c>
      <c r="N12" s="76">
        <f>+M12+$P$3*'Цени капацитети'!$E$4+$Q$3*'Цени капацитети'!$E$25+$R$3*'Цени капацитети'!$E$10</f>
        <v>65.739599999999996</v>
      </c>
      <c r="O12" s="125"/>
    </row>
    <row r="13" spans="2:22" x14ac:dyDescent="0.25">
      <c r="B13" s="47">
        <f t="shared" si="1"/>
        <v>45392</v>
      </c>
      <c r="C13" s="22">
        <v>1152</v>
      </c>
      <c r="D13" s="22">
        <v>1152.43</v>
      </c>
      <c r="E13" s="5">
        <f t="shared" si="0"/>
        <v>1151.712</v>
      </c>
      <c r="F13" s="22">
        <v>1</v>
      </c>
      <c r="G13" s="22">
        <v>0.71800000000007458</v>
      </c>
      <c r="H13" s="22">
        <v>1238.4000000000001</v>
      </c>
      <c r="I13" s="80"/>
      <c r="J13" s="75"/>
      <c r="K13" s="75"/>
      <c r="L13" s="175">
        <f>+J13*'Цени капацитети'!$F$49+K13*'Цени капацитети'!$F$63</f>
        <v>0</v>
      </c>
      <c r="M13" s="175">
        <f>+J13*'Цени капацитети'!$E$49+K13*'Цени капацитети'!$E$63</f>
        <v>0</v>
      </c>
      <c r="N13" s="76">
        <f>+M13+$P$3*'Цени капацитети'!$E$4+$Q$3*'Цени капацитети'!$E$25+$R$3*'Цени капацитети'!$E$10</f>
        <v>1.2676000000000001</v>
      </c>
      <c r="O13" s="125"/>
      <c r="P13" s="407" t="s">
        <v>233</v>
      </c>
      <c r="Q13" s="408"/>
      <c r="R13" s="408" t="s">
        <v>28</v>
      </c>
      <c r="S13" s="408" t="s">
        <v>234</v>
      </c>
      <c r="T13" s="409" t="s">
        <v>235</v>
      </c>
    </row>
    <row r="14" spans="2:22" ht="15.75" thickBot="1" x14ac:dyDescent="0.3">
      <c r="B14" s="47">
        <f t="shared" si="1"/>
        <v>45393</v>
      </c>
      <c r="C14" s="22">
        <v>1152</v>
      </c>
      <c r="D14" s="22">
        <v>1157.0419999999999</v>
      </c>
      <c r="E14" s="5">
        <f t="shared" si="0"/>
        <v>1151.712</v>
      </c>
      <c r="F14" s="22">
        <v>1</v>
      </c>
      <c r="G14" s="22">
        <v>5.3299999999999272</v>
      </c>
      <c r="H14" s="22">
        <v>1238.4000000000001</v>
      </c>
      <c r="I14" s="80"/>
      <c r="J14" s="75"/>
      <c r="K14" s="75"/>
      <c r="L14" s="175">
        <f>+J14*'Цени капацитети'!$F$49+K14*'Цени капацитети'!$F$63</f>
        <v>0</v>
      </c>
      <c r="M14" s="175">
        <f>+J14*'Цени капацитети'!$E$49+K14*'Цени капацитети'!$E$63</f>
        <v>0</v>
      </c>
      <c r="N14" s="76">
        <f>+M14+$P$3*'Цени капацитети'!$E$4+$Q$3*'Цени капацитети'!$E$25+$R$3*'Цени капацитети'!$E$10</f>
        <v>1.2676000000000001</v>
      </c>
      <c r="O14" s="125"/>
      <c r="P14" s="410"/>
      <c r="Q14" s="411"/>
      <c r="R14" s="412">
        <v>0.1</v>
      </c>
      <c r="S14" s="413">
        <v>5.0566000000000004</v>
      </c>
      <c r="T14" s="414"/>
    </row>
    <row r="15" spans="2:22" x14ac:dyDescent="0.25">
      <c r="B15" s="47">
        <f t="shared" si="1"/>
        <v>45394</v>
      </c>
      <c r="C15" s="22">
        <v>1152</v>
      </c>
      <c r="D15" s="22">
        <v>1152.3019999999999</v>
      </c>
      <c r="E15" s="5">
        <f t="shared" si="0"/>
        <v>1151.712</v>
      </c>
      <c r="F15" s="22">
        <v>1</v>
      </c>
      <c r="G15" s="22">
        <v>0.58999999999991815</v>
      </c>
      <c r="H15" s="22">
        <v>1238.4000000000001</v>
      </c>
      <c r="I15" s="80"/>
      <c r="J15" s="75"/>
      <c r="K15" s="75"/>
      <c r="L15" s="175">
        <f>+J15*'Цени капацитети'!$F$49+K15*'Цени капацитети'!$F$63</f>
        <v>0</v>
      </c>
      <c r="M15" s="175">
        <f>+J15*'Цени капацитети'!$E$49+K15*'Цени капацитети'!$E$63</f>
        <v>0</v>
      </c>
      <c r="N15" s="76">
        <f>+M15+$P$3*'Цени капацитети'!$E$4+$Q$3*'Цени капацитети'!$E$25+$R$3*'Цени капацитети'!$E$10</f>
        <v>1.2676000000000001</v>
      </c>
      <c r="O15" s="125"/>
      <c r="P15" s="565"/>
      <c r="Q15" s="415"/>
      <c r="R15" s="416"/>
      <c r="S15" s="416"/>
      <c r="T15" s="417">
        <f>+S15+R15</f>
        <v>0</v>
      </c>
    </row>
    <row r="16" spans="2:22" x14ac:dyDescent="0.25">
      <c r="B16" s="47">
        <f t="shared" si="1"/>
        <v>45395</v>
      </c>
      <c r="C16" s="22">
        <v>1152</v>
      </c>
      <c r="D16" s="22">
        <v>1147.2</v>
      </c>
      <c r="E16" s="5">
        <f t="shared" si="0"/>
        <v>1147.2</v>
      </c>
      <c r="F16" s="22">
        <v>1</v>
      </c>
      <c r="G16" s="22">
        <v>0</v>
      </c>
      <c r="H16" s="22">
        <v>1238.4000000000001</v>
      </c>
      <c r="I16" s="80"/>
      <c r="J16" s="75"/>
      <c r="K16" s="75"/>
      <c r="L16" s="175">
        <f>+J16*'Цени капацитети'!$F$49+K16*'Цени капацитети'!$F$63</f>
        <v>0</v>
      </c>
      <c r="M16" s="175">
        <f>+J16*'Цени капацитети'!$E$49+K16*'Цени капацитети'!$E$63</f>
        <v>0</v>
      </c>
      <c r="N16" s="76">
        <f>+M16+$P$3*'Цени капацитети'!$E$4+$Q$3*'Цени капацитети'!$E$25+$R$3*'Цени капацитети'!$E$10</f>
        <v>1.2676000000000001</v>
      </c>
      <c r="O16" s="256"/>
      <c r="P16" s="566"/>
      <c r="Q16" s="415"/>
      <c r="R16" s="416"/>
      <c r="S16" s="416"/>
      <c r="T16" s="417">
        <f t="shared" ref="T16:T46" si="2">+S16+R16</f>
        <v>0</v>
      </c>
    </row>
    <row r="17" spans="2:20" x14ac:dyDescent="0.25">
      <c r="B17" s="47">
        <f t="shared" si="1"/>
        <v>45396</v>
      </c>
      <c r="C17" s="22">
        <v>1152</v>
      </c>
      <c r="D17" s="22">
        <v>1153.8389999999999</v>
      </c>
      <c r="E17" s="5">
        <f t="shared" si="0"/>
        <v>1151.712</v>
      </c>
      <c r="F17" s="22">
        <v>1</v>
      </c>
      <c r="G17" s="22">
        <v>2.1269999999999527</v>
      </c>
      <c r="H17" s="22">
        <v>1238.4000000000001</v>
      </c>
      <c r="I17" s="162"/>
      <c r="J17" s="75"/>
      <c r="K17" s="75">
        <v>2</v>
      </c>
      <c r="L17" s="175">
        <f>+J17*'Цени капацитети'!$F$49+K17*'Цени капацитети'!$F$63</f>
        <v>4.2096</v>
      </c>
      <c r="M17" s="175">
        <f>+J17*'Цени капацитети'!$E$49+K17*'Цени капацитети'!$E$63</f>
        <v>6.4471999999999996</v>
      </c>
      <c r="N17" s="76">
        <f>+M17+$P$3*'Цени капацитети'!$E$4+$Q$3*'Цени капацитети'!$E$25+$R$3*'Цени капацитети'!$E$10</f>
        <v>7.7147999999999994</v>
      </c>
      <c r="O17" s="125"/>
      <c r="P17" s="566"/>
      <c r="Q17" s="415"/>
      <c r="R17" s="416"/>
      <c r="S17" s="416"/>
      <c r="T17" s="417">
        <f t="shared" si="2"/>
        <v>0</v>
      </c>
    </row>
    <row r="18" spans="2:20" x14ac:dyDescent="0.25">
      <c r="B18" s="47">
        <f t="shared" si="1"/>
        <v>45397</v>
      </c>
      <c r="C18" s="22">
        <v>1152</v>
      </c>
      <c r="D18" s="22">
        <v>1151.3409999999999</v>
      </c>
      <c r="E18" s="5">
        <f t="shared" si="0"/>
        <v>1151.3409999999999</v>
      </c>
      <c r="F18" s="22">
        <v>1</v>
      </c>
      <c r="G18" s="22">
        <v>0</v>
      </c>
      <c r="H18" s="22">
        <v>1238.4000000000001</v>
      </c>
      <c r="I18" s="162"/>
      <c r="J18" s="75"/>
      <c r="K18" s="75"/>
      <c r="L18" s="175">
        <f>+J18*'Цени капацитети'!$F$49+K18*'Цени капацитети'!$F$63</f>
        <v>0</v>
      </c>
      <c r="M18" s="175">
        <f>+J18*'Цени капацитети'!$E$49+K18*'Цени капацитети'!$E$63</f>
        <v>0</v>
      </c>
      <c r="N18" s="76">
        <f>+M18+$P$3*'Цени капацитети'!$E$4+$Q$3*'Цени капацитети'!$E$25+$R$3*'Цени капацитети'!$E$10</f>
        <v>1.2676000000000001</v>
      </c>
      <c r="O18" s="125"/>
      <c r="P18" s="566"/>
      <c r="Q18" s="415"/>
      <c r="R18" s="416"/>
      <c r="S18" s="416"/>
      <c r="T18" s="417">
        <f t="shared" si="2"/>
        <v>0</v>
      </c>
    </row>
    <row r="19" spans="2:20" x14ac:dyDescent="0.25">
      <c r="B19" s="47">
        <f t="shared" si="1"/>
        <v>45398</v>
      </c>
      <c r="C19" s="22"/>
      <c r="D19" s="22"/>
      <c r="E19" s="5">
        <f t="shared" si="0"/>
        <v>0</v>
      </c>
      <c r="F19" s="22"/>
      <c r="G19" s="22"/>
      <c r="H19" s="22"/>
      <c r="I19" s="162"/>
      <c r="J19" s="75"/>
      <c r="K19" s="75"/>
      <c r="L19" s="175">
        <f>+J19*'Цени капацитети'!$F$49+K19*'Цени капацитети'!$F$63</f>
        <v>0</v>
      </c>
      <c r="M19" s="175">
        <f>+J19*'Цени капацитети'!$E$49+K19*'Цени капацитети'!$E$63</f>
        <v>0</v>
      </c>
      <c r="N19" s="76">
        <f>+M19+$P$3*'Цени капацитети'!$E$4+$Q$3*'Цени капацитети'!$E$25+$R$3*'Цени капацитети'!$E$10</f>
        <v>1.2676000000000001</v>
      </c>
      <c r="O19" s="125"/>
      <c r="P19" s="566"/>
      <c r="Q19" s="415"/>
      <c r="R19" s="416"/>
      <c r="S19" s="416"/>
      <c r="T19" s="417">
        <f t="shared" si="2"/>
        <v>0</v>
      </c>
    </row>
    <row r="20" spans="2:20" x14ac:dyDescent="0.25">
      <c r="B20" s="47">
        <f t="shared" si="1"/>
        <v>45399</v>
      </c>
      <c r="C20" s="22"/>
      <c r="D20" s="22"/>
      <c r="E20" s="5">
        <f t="shared" si="0"/>
        <v>0</v>
      </c>
      <c r="F20" s="22"/>
      <c r="G20" s="22"/>
      <c r="H20" s="22"/>
      <c r="I20" s="80"/>
      <c r="J20" s="75"/>
      <c r="K20" s="75"/>
      <c r="L20" s="175">
        <f>+J20*'Цени капацитети'!$F$49+K20*'Цени капацитети'!$F$63</f>
        <v>0</v>
      </c>
      <c r="M20" s="175">
        <f>+J20*'Цени капацитети'!$E$49+K20*'Цени капацитети'!$E$63</f>
        <v>0</v>
      </c>
      <c r="N20" s="76">
        <f>+M20+$P$3*'Цени капацитети'!$E$4+$Q$3*'Цени капацитети'!$E$25+$R$3*'Цени капацитети'!$E$10</f>
        <v>1.2676000000000001</v>
      </c>
      <c r="P20" s="566"/>
      <c r="Q20" s="415"/>
      <c r="R20" s="416"/>
      <c r="S20" s="416"/>
      <c r="T20" s="417">
        <f t="shared" si="2"/>
        <v>0</v>
      </c>
    </row>
    <row r="21" spans="2:20" x14ac:dyDescent="0.25">
      <c r="B21" s="47">
        <f t="shared" si="1"/>
        <v>45400</v>
      </c>
      <c r="C21" s="22"/>
      <c r="D21" s="22"/>
      <c r="E21" s="5">
        <f t="shared" si="0"/>
        <v>0</v>
      </c>
      <c r="F21" s="22"/>
      <c r="G21" s="22"/>
      <c r="H21" s="22"/>
      <c r="I21" s="162"/>
      <c r="J21" s="75"/>
      <c r="K21" s="75"/>
      <c r="L21" s="175">
        <f>+J21*'Цени капацитети'!$F$49+K21*'Цени капацитети'!$F$63</f>
        <v>0</v>
      </c>
      <c r="M21" s="175">
        <f>+J21*'Цени капацитети'!$E$49+K21*'Цени капацитети'!$E$63</f>
        <v>0</v>
      </c>
      <c r="N21" s="76">
        <f>+M21+$P$3*'Цени капацитети'!$E$4+$Q$3*'Цени капацитети'!$E$25+$R$3*'Цени капацитети'!$E$10</f>
        <v>1.2676000000000001</v>
      </c>
      <c r="P21" s="566"/>
      <c r="Q21" s="420"/>
      <c r="R21" s="416"/>
      <c r="S21" s="416"/>
      <c r="T21" s="417">
        <f t="shared" si="2"/>
        <v>0</v>
      </c>
    </row>
    <row r="22" spans="2:20" x14ac:dyDescent="0.25">
      <c r="B22" s="47">
        <f t="shared" si="1"/>
        <v>45401</v>
      </c>
      <c r="C22" s="22"/>
      <c r="D22" s="22"/>
      <c r="E22" s="5">
        <f t="shared" si="0"/>
        <v>0</v>
      </c>
      <c r="F22" s="22"/>
      <c r="G22" s="22"/>
      <c r="H22" s="22"/>
      <c r="I22" s="162"/>
      <c r="J22" s="75"/>
      <c r="K22" s="75"/>
      <c r="L22" s="175">
        <f>+J22*'Цени капацитети'!$F$49+K22*'Цени капацитети'!$F$63</f>
        <v>0</v>
      </c>
      <c r="M22" s="175">
        <f>+J22*'Цени капацитети'!$E$49+K22*'Цени капацитети'!$E$63</f>
        <v>0</v>
      </c>
      <c r="N22" s="76">
        <f>+M22+$P$3*'Цени капацитети'!$E$4+$Q$3*'Цени капацитети'!$E$25+$R$3*'Цени капацитети'!$E$10</f>
        <v>1.2676000000000001</v>
      </c>
      <c r="P22" s="566"/>
      <c r="Q22" s="420"/>
      <c r="R22" s="416"/>
      <c r="S22" s="416"/>
      <c r="T22" s="417">
        <f t="shared" si="2"/>
        <v>0</v>
      </c>
    </row>
    <row r="23" spans="2:20" x14ac:dyDescent="0.25">
      <c r="B23" s="47">
        <f t="shared" si="1"/>
        <v>45402</v>
      </c>
      <c r="C23" s="22"/>
      <c r="D23" s="22"/>
      <c r="E23" s="5">
        <f t="shared" si="0"/>
        <v>0</v>
      </c>
      <c r="F23" s="22"/>
      <c r="G23" s="22"/>
      <c r="H23" s="22"/>
      <c r="I23" s="162"/>
      <c r="J23" s="75"/>
      <c r="K23" s="75"/>
      <c r="L23" s="175">
        <f>+J23*'Цени капацитети'!$F$49+K23*'Цени капацитети'!$F$63</f>
        <v>0</v>
      </c>
      <c r="M23" s="175">
        <f>+J23*'Цени капацитети'!$E$49+K23*'Цени капацитети'!$E$63</f>
        <v>0</v>
      </c>
      <c r="N23" s="76">
        <f>+M23+$P$3*'Цени капацитети'!$E$4+$Q$3*'Цени капацитети'!$E$25+$R$3*'Цени капацитети'!$E$10</f>
        <v>1.2676000000000001</v>
      </c>
      <c r="P23" s="566"/>
      <c r="Q23" s="420"/>
      <c r="R23" s="416"/>
      <c r="S23" s="416"/>
      <c r="T23" s="417">
        <f t="shared" si="2"/>
        <v>0</v>
      </c>
    </row>
    <row r="24" spans="2:20" x14ac:dyDescent="0.25">
      <c r="B24" s="47">
        <f t="shared" si="1"/>
        <v>45403</v>
      </c>
      <c r="C24" s="22"/>
      <c r="D24" s="22"/>
      <c r="E24" s="5">
        <f t="shared" si="0"/>
        <v>0</v>
      </c>
      <c r="F24" s="22"/>
      <c r="G24" s="22"/>
      <c r="H24" s="22"/>
      <c r="I24" s="162"/>
      <c r="J24" s="75"/>
      <c r="K24" s="75"/>
      <c r="L24" s="175">
        <f>+J24*'Цени капацитети'!$F$49+K24*'Цени капацитети'!$F$63</f>
        <v>0</v>
      </c>
      <c r="M24" s="175">
        <f>+J24*'Цени капацитети'!$E$49+K24*'Цени капацитети'!$E$63</f>
        <v>0</v>
      </c>
      <c r="N24" s="76">
        <f>+M24+$P$3*'Цени капацитети'!$E$4+$Q$3*'Цени капацитети'!$E$25+$R$3*'Цени капацитети'!$E$10</f>
        <v>1.2676000000000001</v>
      </c>
      <c r="P24" s="566"/>
      <c r="Q24" s="420"/>
      <c r="R24" s="416"/>
      <c r="S24" s="416"/>
      <c r="T24" s="417">
        <f t="shared" si="2"/>
        <v>0</v>
      </c>
    </row>
    <row r="25" spans="2:20" x14ac:dyDescent="0.25">
      <c r="B25" s="47">
        <f t="shared" si="1"/>
        <v>45404</v>
      </c>
      <c r="C25" s="22"/>
      <c r="D25" s="22"/>
      <c r="E25" s="5">
        <f t="shared" si="0"/>
        <v>0</v>
      </c>
      <c r="F25" s="22"/>
      <c r="G25" s="22"/>
      <c r="H25" s="22"/>
      <c r="I25" s="162"/>
      <c r="J25" s="75"/>
      <c r="K25" s="75"/>
      <c r="L25" s="175">
        <f>+J25*'Цени капацитети'!$F$49+K25*'Цени капацитети'!$F$63</f>
        <v>0</v>
      </c>
      <c r="M25" s="175">
        <f>+J25*'Цени капацитети'!$E$49+K25*'Цени капацитети'!$E$63</f>
        <v>0</v>
      </c>
      <c r="N25" s="76">
        <f>+M25+$P$3*'Цени капацитети'!$E$4+$Q$3*'Цени капацитети'!$E$25+$R$3*'Цени капацитети'!$E$10</f>
        <v>1.2676000000000001</v>
      </c>
      <c r="P25" s="566"/>
      <c r="Q25" s="420"/>
      <c r="R25" s="416"/>
      <c r="S25" s="416"/>
      <c r="T25" s="417">
        <f t="shared" si="2"/>
        <v>0</v>
      </c>
    </row>
    <row r="26" spans="2:20" x14ac:dyDescent="0.25">
      <c r="B26" s="47">
        <f t="shared" si="1"/>
        <v>45405</v>
      </c>
      <c r="C26" s="22"/>
      <c r="D26" s="22"/>
      <c r="E26" s="5">
        <f t="shared" si="0"/>
        <v>0</v>
      </c>
      <c r="F26" s="22"/>
      <c r="G26" s="22"/>
      <c r="H26" s="22"/>
      <c r="I26" s="162"/>
      <c r="J26" s="75"/>
      <c r="K26" s="75"/>
      <c r="L26" s="175">
        <f>+J26*'Цени капацитети'!$F$49+K26*'Цени капацитети'!$F$63</f>
        <v>0</v>
      </c>
      <c r="M26" s="175">
        <f>+J26*'Цени капацитети'!$E$49+K26*'Цени капацитети'!$E$63</f>
        <v>0</v>
      </c>
      <c r="N26" s="76">
        <f>+M26+$P$3*'Цени капацитети'!$E$4+$Q$3*'Цени капацитети'!$E$25+$R$3*'Цени капацитети'!$E$10</f>
        <v>1.2676000000000001</v>
      </c>
      <c r="P26" s="566"/>
      <c r="Q26" s="420"/>
      <c r="R26" s="416"/>
      <c r="S26" s="416"/>
      <c r="T26" s="417">
        <f t="shared" si="2"/>
        <v>0</v>
      </c>
    </row>
    <row r="27" spans="2:20" x14ac:dyDescent="0.25">
      <c r="B27" s="47">
        <f t="shared" si="1"/>
        <v>45406</v>
      </c>
      <c r="C27" s="22"/>
      <c r="D27" s="22"/>
      <c r="E27" s="5">
        <f t="shared" si="0"/>
        <v>0</v>
      </c>
      <c r="F27" s="22"/>
      <c r="G27" s="22"/>
      <c r="H27" s="22"/>
      <c r="I27" s="162"/>
      <c r="J27" s="75"/>
      <c r="K27" s="75"/>
      <c r="L27" s="175">
        <f>+J27*'Цени капацитети'!$F$49+K27*'Цени капацитети'!$F$63</f>
        <v>0</v>
      </c>
      <c r="M27" s="175">
        <f>+J27*'Цени капацитети'!$E$49+K27*'Цени капацитети'!$E$63</f>
        <v>0</v>
      </c>
      <c r="N27" s="76">
        <f>+M27+$P$3*'Цени капацитети'!$E$4+$Q$3*'Цени капацитети'!$E$25+$R$3*'Цени капацитети'!$E$10</f>
        <v>1.2676000000000001</v>
      </c>
      <c r="P27" s="566"/>
      <c r="Q27" s="420"/>
      <c r="R27" s="416"/>
      <c r="S27" s="416"/>
      <c r="T27" s="417">
        <f t="shared" si="2"/>
        <v>0</v>
      </c>
    </row>
    <row r="28" spans="2:20" x14ac:dyDescent="0.25">
      <c r="B28" s="47">
        <f t="shared" si="1"/>
        <v>45407</v>
      </c>
      <c r="C28" s="49"/>
      <c r="D28" s="22"/>
      <c r="E28" s="5">
        <f t="shared" si="0"/>
        <v>0</v>
      </c>
      <c r="F28" s="22"/>
      <c r="G28" s="22"/>
      <c r="H28" s="22"/>
      <c r="I28" s="162"/>
      <c r="J28" s="75"/>
      <c r="K28" s="75"/>
      <c r="L28" s="175">
        <f>+J28*'Цени капацитети'!$F$49+K28*'Цени капацитети'!$F$63</f>
        <v>0</v>
      </c>
      <c r="M28" s="175">
        <f>+J28*'Цени капацитети'!$E$49+K28*'Цени капацитети'!$E$63</f>
        <v>0</v>
      </c>
      <c r="N28" s="76">
        <f>+M28+$P$3*'Цени капацитети'!$E$4+$Q$3*'Цени капацитети'!$E$25+$R$3*'Цени капацитети'!$E$10</f>
        <v>1.2676000000000001</v>
      </c>
      <c r="P28" s="566"/>
      <c r="Q28" s="420"/>
      <c r="R28" s="416"/>
      <c r="S28" s="416"/>
      <c r="T28" s="417">
        <f t="shared" si="2"/>
        <v>0</v>
      </c>
    </row>
    <row r="29" spans="2:20" x14ac:dyDescent="0.25">
      <c r="B29" s="47">
        <f t="shared" si="1"/>
        <v>45408</v>
      </c>
      <c r="C29" s="49"/>
      <c r="D29" s="22"/>
      <c r="E29" s="5">
        <f t="shared" si="0"/>
        <v>0</v>
      </c>
      <c r="F29" s="22"/>
      <c r="G29" s="22"/>
      <c r="H29" s="22"/>
      <c r="I29" s="162"/>
      <c r="J29" s="75"/>
      <c r="K29" s="75"/>
      <c r="L29" s="175">
        <f>+J29*'Цени капацитети'!$F$49+K29*'Цени капацитети'!$F$63</f>
        <v>0</v>
      </c>
      <c r="M29" s="175">
        <f>+J29*'Цени капацитети'!$E$49+K29*'Цени капацитети'!$E$63</f>
        <v>0</v>
      </c>
      <c r="N29" s="76">
        <f>+M29+$P$3*'Цени капацитети'!$E$4+$Q$3*'Цени капацитети'!$E$25+$R$3*'Цени капацитети'!$E$10</f>
        <v>1.2676000000000001</v>
      </c>
      <c r="P29" s="566"/>
      <c r="Q29" s="420"/>
      <c r="R29" s="416"/>
      <c r="S29" s="416"/>
      <c r="T29" s="417">
        <f t="shared" si="2"/>
        <v>0</v>
      </c>
    </row>
    <row r="30" spans="2:20" x14ac:dyDescent="0.25">
      <c r="B30" s="47">
        <f t="shared" si="1"/>
        <v>45409</v>
      </c>
      <c r="C30" s="49"/>
      <c r="D30" s="22"/>
      <c r="E30" s="5">
        <f t="shared" si="0"/>
        <v>0</v>
      </c>
      <c r="F30" s="22"/>
      <c r="G30" s="22"/>
      <c r="H30" s="22"/>
      <c r="I30" s="162"/>
      <c r="J30" s="75"/>
      <c r="K30" s="75"/>
      <c r="L30" s="175">
        <f>+J30*'Цени капацитети'!$F$49+K30*'Цени капацитети'!$F$63</f>
        <v>0</v>
      </c>
      <c r="M30" s="175">
        <f>+J30*'Цени капацитети'!$E$49+K30*'Цени капацитети'!$E$63</f>
        <v>0</v>
      </c>
      <c r="N30" s="76">
        <f>+M30+$P$3*'Цени капацитети'!$E$4+$Q$3*'Цени капацитети'!$E$25+$R$3*'Цени капацитети'!$E$10</f>
        <v>1.2676000000000001</v>
      </c>
      <c r="P30" s="566"/>
      <c r="Q30" s="420"/>
      <c r="R30" s="416"/>
      <c r="S30" s="416"/>
      <c r="T30" s="417">
        <f t="shared" si="2"/>
        <v>0</v>
      </c>
    </row>
    <row r="31" spans="2:20" x14ac:dyDescent="0.25">
      <c r="B31" s="47">
        <f t="shared" si="1"/>
        <v>45410</v>
      </c>
      <c r="C31" s="49"/>
      <c r="D31" s="22"/>
      <c r="E31" s="5">
        <f t="shared" ref="E31" si="3">D31-G31</f>
        <v>0</v>
      </c>
      <c r="F31" s="22"/>
      <c r="G31" s="22"/>
      <c r="H31" s="22"/>
      <c r="I31" s="162"/>
      <c r="J31" s="75"/>
      <c r="K31" s="75"/>
      <c r="L31" s="175">
        <f>+J31*'Цени капацитети'!$F$49+K31*'Цени капацитети'!$F$63</f>
        <v>0</v>
      </c>
      <c r="M31" s="175">
        <f>+J31*'Цени капацитети'!$E$49+K31*'Цени капацитети'!$E$63</f>
        <v>0</v>
      </c>
      <c r="N31" s="76">
        <f>+M31+$P$3*'Цени капацитети'!$E$4+$Q$3*'Цени капацитети'!$E$25+$R$3*'Цени капацитети'!$E$10</f>
        <v>1.2676000000000001</v>
      </c>
      <c r="P31" s="566"/>
      <c r="Q31" s="420"/>
      <c r="R31" s="416"/>
      <c r="S31" s="416"/>
      <c r="T31" s="417">
        <f t="shared" si="2"/>
        <v>0</v>
      </c>
    </row>
    <row r="32" spans="2:20" ht="16.149999999999999" customHeight="1" x14ac:dyDescent="0.25">
      <c r="B32" s="47">
        <f t="shared" si="1"/>
        <v>45411</v>
      </c>
      <c r="C32" s="49"/>
      <c r="D32" s="22"/>
      <c r="E32" s="5">
        <f t="shared" ref="E32:E33" si="4">D32-G32</f>
        <v>0</v>
      </c>
      <c r="F32" s="22"/>
      <c r="G32" s="22"/>
      <c r="H32" s="22"/>
      <c r="I32" s="162"/>
      <c r="J32" s="75"/>
      <c r="K32" s="75"/>
      <c r="L32" s="175">
        <f>+J32*'Цени капацитети'!$F$49+K32*'Цени капацитети'!$F$63</f>
        <v>0</v>
      </c>
      <c r="M32" s="175">
        <f>+J32*'Цени капацитети'!$E$49+K32*'Цени капацитети'!$E$63</f>
        <v>0</v>
      </c>
      <c r="N32" s="76">
        <f>+M32+$P$3*'Цени капацитети'!$E$4+$Q$3*'Цени капацитети'!$E$25+$R$3*'Цени капацитети'!$E$10</f>
        <v>1.2676000000000001</v>
      </c>
      <c r="P32" s="566"/>
      <c r="Q32" s="420"/>
      <c r="R32" s="416"/>
      <c r="S32" s="416"/>
      <c r="T32" s="417">
        <f t="shared" si="2"/>
        <v>0</v>
      </c>
    </row>
    <row r="33" spans="2:20" x14ac:dyDescent="0.25">
      <c r="B33" s="47">
        <f t="shared" si="1"/>
        <v>45412</v>
      </c>
      <c r="C33" s="49"/>
      <c r="D33" s="22"/>
      <c r="E33" s="5">
        <f t="shared" si="4"/>
        <v>0</v>
      </c>
      <c r="F33" s="22"/>
      <c r="G33" s="22"/>
      <c r="H33" s="22"/>
      <c r="I33" s="162"/>
      <c r="J33" s="75"/>
      <c r="K33" s="75"/>
      <c r="L33" s="175">
        <f>+J33*'Цени капацитети'!$F$49+K33*'Цени капацитети'!$F$63</f>
        <v>0</v>
      </c>
      <c r="M33" s="175">
        <f>+J33*'Цени капацитети'!$E$49+K33*'Цени капацитети'!$E$63</f>
        <v>0</v>
      </c>
      <c r="N33" s="76">
        <f>+M33+$P$3*'Цени капацитети'!$E$4+$Q$3*'Цени капацитети'!$E$25+$R$3*'Цени капацитети'!$E$10</f>
        <v>1.2676000000000001</v>
      </c>
      <c r="O33" s="1">
        <f>SUM(O4:O32)</f>
        <v>0</v>
      </c>
      <c r="P33" s="566"/>
      <c r="Q33" s="420"/>
      <c r="R33" s="416"/>
      <c r="S33" s="416"/>
      <c r="T33" s="417">
        <f t="shared" si="2"/>
        <v>0</v>
      </c>
    </row>
    <row r="34" spans="2:20" x14ac:dyDescent="0.25">
      <c r="D34" s="1">
        <f>SUM(D4:D33)</f>
        <v>17234.754000000001</v>
      </c>
      <c r="E34" s="1">
        <f>SUM(E4:E33)</f>
        <v>17191.475999999999</v>
      </c>
      <c r="G34" s="16">
        <f>SUM(G4:G33)</f>
        <v>43.277999999999793</v>
      </c>
      <c r="H34" s="16"/>
      <c r="I34" s="18">
        <f>SUM(I4:I33)</f>
        <v>0</v>
      </c>
      <c r="J34" s="18">
        <f>SUM(J4:J33)</f>
        <v>0</v>
      </c>
      <c r="K34" s="18">
        <f>SUM(K4:K33)</f>
        <v>40</v>
      </c>
      <c r="L34" s="18">
        <f>SUM(L4:L33)</f>
        <v>84.192000000000007</v>
      </c>
      <c r="M34" s="69">
        <f>SUM(M4:M33)</f>
        <v>128.94399999999999</v>
      </c>
      <c r="P34" s="566"/>
      <c r="Q34" s="420"/>
      <c r="R34" s="416"/>
      <c r="S34" s="416"/>
      <c r="T34" s="417">
        <f t="shared" si="2"/>
        <v>0</v>
      </c>
    </row>
    <row r="35" spans="2:20" x14ac:dyDescent="0.25">
      <c r="G35" s="1">
        <f>+G34*Цени!G41</f>
        <v>2546.4775199999881</v>
      </c>
      <c r="J35" s="18"/>
      <c r="K35" s="18">
        <f>+K34+Плевен!N25</f>
        <v>40</v>
      </c>
      <c r="P35" s="566"/>
      <c r="Q35" s="420"/>
      <c r="R35" s="416"/>
      <c r="S35" s="416"/>
      <c r="T35" s="417">
        <f t="shared" si="2"/>
        <v>0</v>
      </c>
    </row>
    <row r="36" spans="2:20" x14ac:dyDescent="0.25">
      <c r="G36" s="1">
        <f>+G35*1.09</f>
        <v>2775.6604967999874</v>
      </c>
      <c r="P36" s="566"/>
      <c r="Q36" s="420"/>
      <c r="R36" s="416"/>
      <c r="S36" s="416"/>
      <c r="T36" s="417">
        <f t="shared" si="2"/>
        <v>0</v>
      </c>
    </row>
    <row r="37" spans="2:20" x14ac:dyDescent="0.25">
      <c r="P37" s="566"/>
      <c r="Q37" s="420"/>
      <c r="R37" s="416"/>
      <c r="S37" s="416"/>
      <c r="T37" s="417">
        <f t="shared" si="2"/>
        <v>0</v>
      </c>
    </row>
    <row r="38" spans="2:20" x14ac:dyDescent="0.25">
      <c r="P38" s="566"/>
      <c r="Q38" s="420"/>
      <c r="R38" s="416"/>
      <c r="S38" s="416"/>
      <c r="T38" s="417">
        <f t="shared" si="2"/>
        <v>0</v>
      </c>
    </row>
    <row r="39" spans="2:20" x14ac:dyDescent="0.25">
      <c r="P39" s="419"/>
      <c r="Q39" s="420"/>
      <c r="R39" s="416"/>
      <c r="S39" s="416"/>
      <c r="T39" s="417">
        <f t="shared" si="2"/>
        <v>0</v>
      </c>
    </row>
    <row r="40" spans="2:20" x14ac:dyDescent="0.25">
      <c r="P40" s="418"/>
      <c r="Q40" s="420"/>
      <c r="R40" s="416"/>
      <c r="S40" s="416"/>
      <c r="T40" s="417">
        <f t="shared" si="2"/>
        <v>0</v>
      </c>
    </row>
    <row r="41" spans="2:20" x14ac:dyDescent="0.25">
      <c r="P41" s="418"/>
      <c r="Q41" s="420"/>
      <c r="R41" s="416"/>
      <c r="S41" s="416"/>
      <c r="T41" s="417">
        <f t="shared" si="2"/>
        <v>0</v>
      </c>
    </row>
    <row r="42" spans="2:20" x14ac:dyDescent="0.25">
      <c r="P42" s="418"/>
      <c r="Q42" s="420"/>
      <c r="R42" s="416"/>
      <c r="S42" s="416"/>
      <c r="T42" s="417">
        <f t="shared" si="2"/>
        <v>0</v>
      </c>
    </row>
    <row r="43" spans="2:20" x14ac:dyDescent="0.25">
      <c r="P43" s="418"/>
      <c r="Q43" s="420"/>
      <c r="R43" s="416"/>
      <c r="S43" s="416"/>
      <c r="T43" s="417">
        <f t="shared" si="2"/>
        <v>0</v>
      </c>
    </row>
    <row r="44" spans="2:20" x14ac:dyDescent="0.25">
      <c r="P44" s="418"/>
      <c r="Q44" s="420"/>
      <c r="R44" s="416"/>
      <c r="S44" s="416"/>
      <c r="T44" s="417">
        <f t="shared" si="2"/>
        <v>0</v>
      </c>
    </row>
    <row r="45" spans="2:20" x14ac:dyDescent="0.25">
      <c r="P45" s="418"/>
      <c r="Q45" s="420"/>
      <c r="R45" s="416"/>
      <c r="S45" s="416"/>
      <c r="T45" s="417">
        <f t="shared" si="2"/>
        <v>0</v>
      </c>
    </row>
    <row r="46" spans="2:20" ht="15.75" thickBot="1" x14ac:dyDescent="0.3">
      <c r="P46" s="410"/>
      <c r="Q46" s="421"/>
      <c r="R46" s="413"/>
      <c r="S46" s="413"/>
      <c r="T46" s="417">
        <f t="shared" si="2"/>
        <v>0</v>
      </c>
    </row>
    <row r="47" spans="2:20" x14ac:dyDescent="0.25">
      <c r="P47" s="422"/>
      <c r="Q47" s="422"/>
      <c r="R47" s="422">
        <f>SUM(R15:R46)</f>
        <v>0</v>
      </c>
      <c r="S47" s="422">
        <f>SUM(S15:S46)</f>
        <v>0</v>
      </c>
      <c r="T47" s="423">
        <f>SUM(T15:T46)</f>
        <v>0</v>
      </c>
    </row>
  </sheetData>
  <mergeCells count="3">
    <mergeCell ref="B2:I2"/>
    <mergeCell ref="K2:M2"/>
    <mergeCell ref="U2:V4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0000"/>
  </sheetPr>
  <dimension ref="B1:V34"/>
  <sheetViews>
    <sheetView zoomScale="70" zoomScaleNormal="70" workbookViewId="0">
      <selection activeCell="F18" sqref="F18:G18"/>
    </sheetView>
  </sheetViews>
  <sheetFormatPr defaultColWidth="8.85546875" defaultRowHeight="15" x14ac:dyDescent="0.25"/>
  <cols>
    <col min="1" max="1" width="8.85546875" style="1"/>
    <col min="2" max="2" width="12" style="1" bestFit="1" customWidth="1"/>
    <col min="3" max="3" width="9.7109375" style="1" bestFit="1" customWidth="1"/>
    <col min="4" max="4" width="16.85546875" style="1" bestFit="1" customWidth="1"/>
    <col min="5" max="5" width="10.140625" style="1" bestFit="1" customWidth="1"/>
    <col min="6" max="6" width="12.140625" style="1" bestFit="1" customWidth="1"/>
    <col min="7" max="7" width="10.7109375" style="1" bestFit="1" customWidth="1"/>
    <col min="8" max="8" width="8.140625" style="1" bestFit="1" customWidth="1"/>
    <col min="9" max="9" width="10.7109375" style="1" bestFit="1" customWidth="1"/>
    <col min="10" max="11" width="15.42578125" style="1" bestFit="1" customWidth="1"/>
    <col min="12" max="12" width="13" style="1" customWidth="1"/>
    <col min="13" max="14" width="17.5703125" style="69" customWidth="1"/>
    <col min="15" max="15" width="13.28515625" style="1" customWidth="1"/>
    <col min="16" max="16" width="17.42578125" style="1" customWidth="1"/>
    <col min="17" max="17" width="19.140625" style="1" bestFit="1" customWidth="1"/>
    <col min="18" max="18" width="12.5703125" style="1" bestFit="1" customWidth="1"/>
    <col min="19" max="20" width="8.85546875" style="1"/>
    <col min="21" max="21" width="11.42578125" style="1" customWidth="1"/>
    <col min="22" max="22" width="11.140625" style="1" customWidth="1"/>
    <col min="23" max="16384" width="8.85546875" style="1"/>
  </cols>
  <sheetData>
    <row r="1" spans="2:22" ht="15.75" thickBot="1" x14ac:dyDescent="0.3">
      <c r="J1" s="81"/>
      <c r="K1" s="81"/>
      <c r="L1" s="78"/>
      <c r="M1" s="78"/>
      <c r="N1" s="13"/>
    </row>
    <row r="2" spans="2:22" x14ac:dyDescent="0.25">
      <c r="B2" s="688" t="s">
        <v>75</v>
      </c>
      <c r="C2" s="689"/>
      <c r="D2" s="689"/>
      <c r="E2" s="689"/>
      <c r="F2" s="689"/>
      <c r="G2" s="689"/>
      <c r="H2" s="689"/>
      <c r="I2" s="690"/>
      <c r="J2" s="252"/>
      <c r="K2" s="691" t="s">
        <v>71</v>
      </c>
      <c r="L2" s="679"/>
      <c r="M2" s="692"/>
      <c r="N2" s="13"/>
      <c r="P2" s="9" t="s">
        <v>81</v>
      </c>
      <c r="Q2" s="10" t="s">
        <v>20</v>
      </c>
      <c r="R2" s="11" t="s">
        <v>21</v>
      </c>
      <c r="U2" s="681" t="s">
        <v>106</v>
      </c>
      <c r="V2" s="681"/>
    </row>
    <row r="3" spans="2:22" ht="44.25" thickBot="1" x14ac:dyDescent="0.3">
      <c r="B3" s="26" t="s">
        <v>8</v>
      </c>
      <c r="C3" s="46" t="s">
        <v>22</v>
      </c>
      <c r="D3" s="52" t="s">
        <v>23</v>
      </c>
      <c r="E3" s="121" t="s">
        <v>120</v>
      </c>
      <c r="F3" s="52" t="s">
        <v>27</v>
      </c>
      <c r="G3" s="52" t="s">
        <v>6</v>
      </c>
      <c r="H3" s="52" t="s">
        <v>21</v>
      </c>
      <c r="I3" s="35" t="s">
        <v>28</v>
      </c>
      <c r="J3" s="121" t="s">
        <v>137</v>
      </c>
      <c r="K3" s="121" t="s">
        <v>138</v>
      </c>
      <c r="L3" s="77" t="s">
        <v>101</v>
      </c>
      <c r="M3" s="77" t="s">
        <v>83</v>
      </c>
      <c r="N3" s="77" t="s">
        <v>104</v>
      </c>
      <c r="O3" s="69"/>
      <c r="P3" s="19">
        <v>260</v>
      </c>
      <c r="Q3" s="20"/>
      <c r="R3" s="8"/>
      <c r="U3" s="681"/>
      <c r="V3" s="681"/>
    </row>
    <row r="4" spans="2:22" x14ac:dyDescent="0.25">
      <c r="B4" s="47">
        <v>45383</v>
      </c>
      <c r="C4" s="22">
        <v>0</v>
      </c>
      <c r="D4" s="22">
        <v>79.614000000000004</v>
      </c>
      <c r="E4" s="5">
        <f>D4-G4</f>
        <v>79.614000000000004</v>
      </c>
      <c r="F4" s="22">
        <v>0</v>
      </c>
      <c r="G4" s="22">
        <v>0</v>
      </c>
      <c r="H4" s="22"/>
      <c r="I4" s="48"/>
      <c r="J4" s="57"/>
      <c r="K4" s="57"/>
      <c r="L4" s="175">
        <f>+J4*'Цени капацитети'!$F$49+K4*'Цени капацитети'!$F$63</f>
        <v>0</v>
      </c>
      <c r="M4" s="175">
        <f>+J4*'Цени капацитети'!$E$49+K4*'Цени капацитети'!$E$63+$P$3*'Цени капацитети'!$E$25</f>
        <v>469.35199999999998</v>
      </c>
      <c r="N4" s="76">
        <f>+M4+L4</f>
        <v>469.35199999999998</v>
      </c>
      <c r="O4" s="125"/>
      <c r="U4" s="681"/>
      <c r="V4" s="681"/>
    </row>
    <row r="5" spans="2:22" x14ac:dyDescent="0.25">
      <c r="B5" s="47">
        <f>+B4+1</f>
        <v>45384</v>
      </c>
      <c r="C5" s="22">
        <v>0</v>
      </c>
      <c r="D5" s="22">
        <v>148.11600000000001</v>
      </c>
      <c r="E5" s="5">
        <f t="shared" ref="E5:E33" si="0">D5-G5</f>
        <v>148.11600000000001</v>
      </c>
      <c r="F5" s="22">
        <v>0</v>
      </c>
      <c r="G5" s="22">
        <v>0</v>
      </c>
      <c r="H5" s="22"/>
      <c r="I5" s="160"/>
      <c r="J5" s="75"/>
      <c r="K5" s="75"/>
      <c r="L5" s="175">
        <f>+J5*'Цени капацитети'!$F$49+K5*'Цени капацитети'!$F$63</f>
        <v>0</v>
      </c>
      <c r="M5" s="175">
        <f>+J5*'Цени капацитети'!$E$49+K5*'Цени капацитети'!$E$63+$P$3*'Цени капацитети'!$E$25</f>
        <v>469.35199999999998</v>
      </c>
      <c r="N5" s="76">
        <f t="shared" ref="N5:N33" si="1">+M5+L5</f>
        <v>469.35199999999998</v>
      </c>
      <c r="O5" s="125"/>
      <c r="U5" s="113" t="s">
        <v>18</v>
      </c>
      <c r="V5" s="114" t="s">
        <v>6</v>
      </c>
    </row>
    <row r="6" spans="2:22" x14ac:dyDescent="0.25">
      <c r="B6" s="47">
        <f t="shared" ref="B6:B33" si="2">+B5+1</f>
        <v>45385</v>
      </c>
      <c r="C6" s="22">
        <v>980</v>
      </c>
      <c r="D6" s="22">
        <v>1093.269</v>
      </c>
      <c r="E6" s="5">
        <f t="shared" si="0"/>
        <v>1093.269</v>
      </c>
      <c r="F6" s="22">
        <v>0</v>
      </c>
      <c r="G6" s="22">
        <v>0</v>
      </c>
      <c r="H6" s="22"/>
      <c r="I6" s="160"/>
      <c r="J6" s="75"/>
      <c r="K6" s="75"/>
      <c r="L6" s="175">
        <f>+J6*'Цени капацитети'!$F$49+K6*'Цени капацитети'!$F$63</f>
        <v>0</v>
      </c>
      <c r="M6" s="175">
        <f>+J6*'Цени капацитети'!$E$49+K6*'Цени капацитети'!$E$63+$P$3*'Цени капацитети'!$E$25</f>
        <v>469.35199999999998</v>
      </c>
      <c r="N6" s="76">
        <f t="shared" si="1"/>
        <v>469.35199999999998</v>
      </c>
      <c r="O6" s="125"/>
      <c r="U6" s="76"/>
      <c r="V6" s="75"/>
    </row>
    <row r="7" spans="2:22" x14ac:dyDescent="0.25">
      <c r="B7" s="47">
        <f t="shared" si="2"/>
        <v>45386</v>
      </c>
      <c r="C7" s="22">
        <v>1170</v>
      </c>
      <c r="D7" s="22">
        <v>1256.682</v>
      </c>
      <c r="E7" s="5">
        <f t="shared" si="0"/>
        <v>1094.8489999999999</v>
      </c>
      <c r="F7" s="22">
        <v>150</v>
      </c>
      <c r="G7" s="22">
        <v>161.833</v>
      </c>
      <c r="H7" s="22"/>
      <c r="I7" s="160"/>
      <c r="J7" s="75"/>
      <c r="K7" s="75"/>
      <c r="L7" s="175">
        <f>+J7*'Цени капацитети'!$F$49+K7*'Цени капацитети'!$F$63</f>
        <v>0</v>
      </c>
      <c r="M7" s="175">
        <f>+J7*'Цени капацитети'!$E$49+K7*'Цени капацитети'!$E$63+$P$3*'Цени капацитети'!$E$25</f>
        <v>469.35199999999998</v>
      </c>
      <c r="N7" s="76">
        <f t="shared" si="1"/>
        <v>469.35199999999998</v>
      </c>
      <c r="O7" s="125"/>
      <c r="S7" s="1" t="s">
        <v>74</v>
      </c>
    </row>
    <row r="8" spans="2:22" x14ac:dyDescent="0.25">
      <c r="B8" s="47">
        <f t="shared" si="2"/>
        <v>45387</v>
      </c>
      <c r="C8" s="22">
        <v>1170</v>
      </c>
      <c r="D8" s="49">
        <v>1257.067</v>
      </c>
      <c r="E8" s="244">
        <f t="shared" si="0"/>
        <v>1085.3600000000001</v>
      </c>
      <c r="F8" s="49">
        <v>149</v>
      </c>
      <c r="G8" s="49">
        <v>171.70699999999999</v>
      </c>
      <c r="H8" s="22"/>
      <c r="I8" s="161"/>
      <c r="J8" s="75"/>
      <c r="K8" s="75"/>
      <c r="L8" s="175">
        <f>+J8*'Цени капацитети'!$F$49+K8*'Цени капацитети'!$F$63</f>
        <v>0</v>
      </c>
      <c r="M8" s="175">
        <f>+J8*'Цени капацитети'!$E$49+K8*'Цени капацитети'!$E$63+$P$3*'Цени капацитети'!$E$25</f>
        <v>469.35199999999998</v>
      </c>
      <c r="N8" s="76">
        <f t="shared" si="1"/>
        <v>469.35199999999998</v>
      </c>
      <c r="O8" s="125"/>
      <c r="P8" s="1" t="s">
        <v>76</v>
      </c>
    </row>
    <row r="9" spans="2:22" x14ac:dyDescent="0.25">
      <c r="B9" s="47">
        <f t="shared" si="2"/>
        <v>45388</v>
      </c>
      <c r="C9" s="22">
        <v>1165</v>
      </c>
      <c r="D9" s="22">
        <v>1228.33</v>
      </c>
      <c r="E9" s="5">
        <f t="shared" si="0"/>
        <v>1064.5429999999999</v>
      </c>
      <c r="F9" s="22">
        <v>135</v>
      </c>
      <c r="G9" s="22">
        <v>163.78700000000001</v>
      </c>
      <c r="H9" s="22"/>
      <c r="I9" s="161"/>
      <c r="J9" s="75"/>
      <c r="K9" s="75"/>
      <c r="L9" s="175">
        <f>+J9*'Цени капацитети'!$F$49+K9*'Цени капацитети'!$F$63</f>
        <v>0</v>
      </c>
      <c r="M9" s="175">
        <f>+J9*'Цени капацитети'!$E$49+K9*'Цени капацитети'!$E$63+$P$3*'Цени капацитети'!$E$25</f>
        <v>469.35199999999998</v>
      </c>
      <c r="N9" s="76">
        <f t="shared" si="1"/>
        <v>469.35199999999998</v>
      </c>
      <c r="O9" s="125"/>
      <c r="P9" s="1" t="s">
        <v>77</v>
      </c>
    </row>
    <row r="10" spans="2:22" x14ac:dyDescent="0.25">
      <c r="B10" s="47">
        <f t="shared" si="2"/>
        <v>45389</v>
      </c>
      <c r="C10" s="22">
        <v>1165</v>
      </c>
      <c r="D10" s="22">
        <v>1213.78</v>
      </c>
      <c r="E10" s="5">
        <f t="shared" si="0"/>
        <v>1047.6879999999999</v>
      </c>
      <c r="F10" s="22">
        <v>135</v>
      </c>
      <c r="G10" s="22">
        <v>166.09200000000001</v>
      </c>
      <c r="H10" s="22"/>
      <c r="I10" s="162"/>
      <c r="J10" s="75"/>
      <c r="K10" s="75"/>
      <c r="L10" s="175">
        <f>+J10*'Цени капацитети'!$F$49+K10*'Цени капацитети'!$F$63</f>
        <v>0</v>
      </c>
      <c r="M10" s="175">
        <f>+J10*'Цени капацитети'!$E$49+K10*'Цени капацитети'!$E$63+$P$3*'Цени капацитети'!$E$25</f>
        <v>469.35199999999998</v>
      </c>
      <c r="N10" s="76">
        <f t="shared" si="1"/>
        <v>469.35199999999998</v>
      </c>
      <c r="O10" s="125"/>
    </row>
    <row r="11" spans="2:22" x14ac:dyDescent="0.25">
      <c r="B11" s="47">
        <f t="shared" si="2"/>
        <v>45390</v>
      </c>
      <c r="C11" s="22">
        <v>1165</v>
      </c>
      <c r="D11" s="22">
        <v>1295.7529999999999</v>
      </c>
      <c r="E11" s="5">
        <f t="shared" si="0"/>
        <v>1124.451</v>
      </c>
      <c r="F11" s="22">
        <v>150</v>
      </c>
      <c r="G11" s="22">
        <v>171.30199999999999</v>
      </c>
      <c r="H11" s="22"/>
      <c r="I11" s="163"/>
      <c r="J11" s="75"/>
      <c r="K11" s="75"/>
      <c r="L11" s="175">
        <f>+J11*'Цени капацитети'!$F$49+K11*'Цени капацитети'!$F$63</f>
        <v>0</v>
      </c>
      <c r="M11" s="175">
        <f>+J11*'Цени капацитети'!$E$49+K11*'Цени капацитети'!$E$63+$P$3*'Цени капацитети'!$E$25</f>
        <v>469.35199999999998</v>
      </c>
      <c r="N11" s="76">
        <f t="shared" si="1"/>
        <v>469.35199999999998</v>
      </c>
      <c r="O11" s="125"/>
    </row>
    <row r="12" spans="2:22" x14ac:dyDescent="0.25">
      <c r="B12" s="47">
        <f t="shared" si="2"/>
        <v>45391</v>
      </c>
      <c r="C12" s="22">
        <v>1165</v>
      </c>
      <c r="D12" s="22">
        <v>1269.8019999999999</v>
      </c>
      <c r="E12" s="5">
        <f t="shared" si="0"/>
        <v>1100.635</v>
      </c>
      <c r="F12" s="22">
        <v>150</v>
      </c>
      <c r="G12" s="22">
        <v>169.167</v>
      </c>
      <c r="H12" s="22"/>
      <c r="I12" s="162"/>
      <c r="J12" s="75"/>
      <c r="K12" s="75"/>
      <c r="L12" s="175">
        <f>+J12*'Цени капацитети'!$F$49+K12*'Цени капацитети'!$F$63</f>
        <v>0</v>
      </c>
      <c r="M12" s="175">
        <f>+J12*'Цени капацитети'!$E$49+K12*'Цени капацитети'!$E$63+$P$3*'Цени капацитети'!$E$25</f>
        <v>469.35199999999998</v>
      </c>
      <c r="N12" s="76">
        <f t="shared" si="1"/>
        <v>469.35199999999998</v>
      </c>
      <c r="O12" s="125"/>
    </row>
    <row r="13" spans="2:22" ht="15.75" thickBot="1" x14ac:dyDescent="0.3">
      <c r="B13" s="47">
        <f t="shared" si="2"/>
        <v>45392</v>
      </c>
      <c r="C13" s="22">
        <v>1168</v>
      </c>
      <c r="D13" s="22">
        <v>1253.5119999999999</v>
      </c>
      <c r="E13" s="5">
        <f t="shared" si="0"/>
        <v>1082.819</v>
      </c>
      <c r="F13" s="22">
        <v>150</v>
      </c>
      <c r="G13" s="22">
        <v>170.69300000000001</v>
      </c>
      <c r="H13" s="22"/>
      <c r="I13" s="164"/>
      <c r="J13" s="75"/>
      <c r="K13" s="75"/>
      <c r="L13" s="175">
        <f>+J13*'Цени капацитети'!$F$49+K13*'Цени капацитети'!$F$63</f>
        <v>0</v>
      </c>
      <c r="M13" s="175">
        <f>+J13*'Цени капацитети'!$E$49+K13*'Цени капацитети'!$E$63+$P$3*'Цени капацитети'!$E$25</f>
        <v>469.35199999999998</v>
      </c>
      <c r="N13" s="76">
        <f t="shared" si="1"/>
        <v>469.35199999999998</v>
      </c>
      <c r="O13" s="125"/>
    </row>
    <row r="14" spans="2:22" x14ac:dyDescent="0.25">
      <c r="B14" s="47">
        <f t="shared" si="2"/>
        <v>45393</v>
      </c>
      <c r="C14" s="22">
        <v>1165</v>
      </c>
      <c r="D14" s="22">
        <v>1286.434</v>
      </c>
      <c r="E14" s="5">
        <f t="shared" si="0"/>
        <v>1117.5550000000001</v>
      </c>
      <c r="F14" s="22">
        <v>150</v>
      </c>
      <c r="G14" s="22">
        <v>168.87899999999999</v>
      </c>
      <c r="H14" s="22"/>
      <c r="I14" s="162"/>
      <c r="J14" s="75"/>
      <c r="K14" s="75"/>
      <c r="L14" s="175">
        <f>+J14*'Цени капацитети'!$F$49+K14*'Цени капацитети'!$F$63</f>
        <v>0</v>
      </c>
      <c r="M14" s="175">
        <f>+J14*'Цени капацитети'!$E$49+K14*'Цени капацитети'!$E$63+$P$3*'Цени капацитети'!$E$25</f>
        <v>469.35199999999998</v>
      </c>
      <c r="N14" s="76">
        <f t="shared" si="1"/>
        <v>469.35199999999998</v>
      </c>
      <c r="O14" s="125"/>
      <c r="P14" s="58" t="s">
        <v>117</v>
      </c>
      <c r="Q14" s="59"/>
      <c r="R14" s="59"/>
      <c r="S14" s="60"/>
    </row>
    <row r="15" spans="2:22" x14ac:dyDescent="0.25">
      <c r="B15" s="47">
        <f t="shared" si="2"/>
        <v>45394</v>
      </c>
      <c r="C15" s="22">
        <v>1165</v>
      </c>
      <c r="D15" s="22">
        <v>1260.0239999999999</v>
      </c>
      <c r="E15" s="5">
        <f t="shared" si="0"/>
        <v>1087.0039999999999</v>
      </c>
      <c r="F15" s="22">
        <v>150</v>
      </c>
      <c r="G15" s="22">
        <v>173.02</v>
      </c>
      <c r="H15" s="22"/>
      <c r="I15" s="162"/>
      <c r="J15" s="75"/>
      <c r="K15" s="75"/>
      <c r="L15" s="175">
        <f>+J15*'Цени капацитети'!$F$49+K15*'Цени капацитети'!$F$63</f>
        <v>0</v>
      </c>
      <c r="M15" s="175">
        <f>+J15*'Цени капацитети'!$E$49+K15*'Цени капацитети'!$E$63+$P$3*'Цени капацитети'!$E$25</f>
        <v>469.35199999999998</v>
      </c>
      <c r="N15" s="76">
        <f t="shared" si="1"/>
        <v>469.35199999999998</v>
      </c>
      <c r="O15" s="125"/>
      <c r="P15" s="61" t="s">
        <v>66</v>
      </c>
      <c r="R15" s="4">
        <f>G19*(Цени!$G$39*1.1-Цени!$G$41)</f>
        <v>0</v>
      </c>
      <c r="S15" s="62" t="s">
        <v>61</v>
      </c>
    </row>
    <row r="16" spans="2:22" x14ac:dyDescent="0.25">
      <c r="B16" s="47">
        <f t="shared" si="2"/>
        <v>45395</v>
      </c>
      <c r="C16" s="22">
        <v>1165</v>
      </c>
      <c r="D16" s="22">
        <v>1200.8630000000001</v>
      </c>
      <c r="E16" s="5">
        <f t="shared" si="0"/>
        <v>1024.117</v>
      </c>
      <c r="F16" s="22">
        <v>150</v>
      </c>
      <c r="G16" s="22">
        <v>176.74600000000001</v>
      </c>
      <c r="H16" s="22"/>
      <c r="I16" s="162"/>
      <c r="J16" s="75"/>
      <c r="K16" s="75"/>
      <c r="L16" s="175">
        <f>+J16*'Цени капацитети'!$F$49+K16*'Цени капацитети'!$F$63</f>
        <v>0</v>
      </c>
      <c r="M16" s="175">
        <f>+J16*'Цени капацитети'!$E$49+K16*'Цени капацитети'!$E$63+$P$3*'Цени капацитети'!$E$25</f>
        <v>469.35199999999998</v>
      </c>
      <c r="N16" s="76">
        <f t="shared" si="1"/>
        <v>469.35199999999998</v>
      </c>
      <c r="O16" s="125"/>
      <c r="P16" s="63" t="s">
        <v>67</v>
      </c>
      <c r="R16" s="4">
        <v>0</v>
      </c>
      <c r="S16" s="62" t="s">
        <v>61</v>
      </c>
    </row>
    <row r="17" spans="2:19" x14ac:dyDescent="0.25">
      <c r="B17" s="47">
        <f t="shared" si="2"/>
        <v>45396</v>
      </c>
      <c r="C17" s="22">
        <v>1165</v>
      </c>
      <c r="D17" s="22">
        <v>1181.7650000000001</v>
      </c>
      <c r="E17" s="5">
        <f t="shared" si="0"/>
        <v>1010.1000000000001</v>
      </c>
      <c r="F17" s="22">
        <v>150</v>
      </c>
      <c r="G17" s="22">
        <v>171.66499999999999</v>
      </c>
      <c r="H17" s="22"/>
      <c r="I17" s="162"/>
      <c r="J17" s="75"/>
      <c r="K17" s="75"/>
      <c r="L17" s="175">
        <f>+J17*'Цени капацитети'!$F$49+K17*'Цени капацитети'!$F$63</f>
        <v>0</v>
      </c>
      <c r="M17" s="175">
        <f>+J17*'Цени капацитети'!$E$49+K17*'Цени капацитети'!$E$63+$P$3*'Цени капацитети'!$E$25</f>
        <v>469.35199999999998</v>
      </c>
      <c r="N17" s="76">
        <f t="shared" si="1"/>
        <v>469.35199999999998</v>
      </c>
      <c r="O17" s="125"/>
      <c r="P17" s="63" t="s">
        <v>68</v>
      </c>
      <c r="R17" s="3">
        <v>0</v>
      </c>
      <c r="S17" s="62" t="s">
        <v>61</v>
      </c>
    </row>
    <row r="18" spans="2:19" ht="15.75" thickBot="1" x14ac:dyDescent="0.3">
      <c r="B18" s="47">
        <f t="shared" si="2"/>
        <v>45397</v>
      </c>
      <c r="C18" s="22">
        <v>1165</v>
      </c>
      <c r="D18" s="22">
        <v>1207.4390000000001</v>
      </c>
      <c r="E18" s="5">
        <f t="shared" si="0"/>
        <v>1040.45</v>
      </c>
      <c r="F18" s="22">
        <v>150</v>
      </c>
      <c r="G18" s="22">
        <v>166.989</v>
      </c>
      <c r="H18" s="22"/>
      <c r="I18" s="162"/>
      <c r="J18" s="75"/>
      <c r="K18" s="75"/>
      <c r="L18" s="175">
        <f>+J18*'Цени капацитети'!$F$49+K18*'Цени капацитети'!$F$63</f>
        <v>0</v>
      </c>
      <c r="M18" s="175">
        <f>+J18*'Цени капацитети'!$E$49+K18*'Цени капацитети'!$E$63+$P$3*'Цени капацитети'!$E$25</f>
        <v>469.35199999999998</v>
      </c>
      <c r="N18" s="76">
        <f t="shared" si="1"/>
        <v>469.35199999999998</v>
      </c>
      <c r="O18" s="125"/>
      <c r="P18" s="64"/>
      <c r="Q18" s="65" t="s">
        <v>0</v>
      </c>
      <c r="R18" s="66">
        <f>SUM(R15:R17)</f>
        <v>0</v>
      </c>
      <c r="S18" s="67" t="s">
        <v>61</v>
      </c>
    </row>
    <row r="19" spans="2:19" x14ac:dyDescent="0.25">
      <c r="B19" s="47">
        <f t="shared" si="2"/>
        <v>45398</v>
      </c>
      <c r="C19" s="22"/>
      <c r="D19" s="22"/>
      <c r="E19" s="5">
        <f t="shared" si="0"/>
        <v>0</v>
      </c>
      <c r="F19" s="22"/>
      <c r="G19" s="22"/>
      <c r="H19" s="22"/>
      <c r="I19" s="162"/>
      <c r="J19" s="75"/>
      <c r="K19" s="75"/>
      <c r="L19" s="175">
        <f>+J19*'Цени капацитети'!$F$49+K19*'Цени капацитети'!$F$63</f>
        <v>0</v>
      </c>
      <c r="M19" s="175">
        <f>+J19*'Цени капацитети'!$E$49+K19*'Цени капацитети'!$E$63+$P$3*'Цени капацитети'!$E$25</f>
        <v>469.35199999999998</v>
      </c>
      <c r="N19" s="76">
        <f t="shared" si="1"/>
        <v>469.35199999999998</v>
      </c>
      <c r="O19" s="125"/>
    </row>
    <row r="20" spans="2:19" x14ac:dyDescent="0.25">
      <c r="B20" s="47">
        <f t="shared" si="2"/>
        <v>45399</v>
      </c>
      <c r="C20" s="22"/>
      <c r="D20" s="22"/>
      <c r="E20" s="5">
        <f t="shared" si="0"/>
        <v>0</v>
      </c>
      <c r="F20" s="22"/>
      <c r="G20" s="22"/>
      <c r="H20" s="22"/>
      <c r="I20" s="162"/>
      <c r="J20" s="75"/>
      <c r="K20" s="75"/>
      <c r="L20" s="175">
        <f>+J20*'Цени капацитети'!$F$49+K20*'Цени капацитети'!$F$63</f>
        <v>0</v>
      </c>
      <c r="M20" s="175">
        <f>+J20*'Цени капацитети'!$E$49+K20*'Цени капацитети'!$E$63+$P$3*'Цени капацитети'!$E$25</f>
        <v>469.35199999999998</v>
      </c>
      <c r="N20" s="76">
        <f t="shared" si="1"/>
        <v>469.35199999999998</v>
      </c>
      <c r="O20" s="125"/>
    </row>
    <row r="21" spans="2:19" x14ac:dyDescent="0.25">
      <c r="B21" s="47">
        <f t="shared" si="2"/>
        <v>45400</v>
      </c>
      <c r="C21" s="22"/>
      <c r="D21" s="22"/>
      <c r="E21" s="5">
        <f t="shared" si="0"/>
        <v>0</v>
      </c>
      <c r="F21" s="22"/>
      <c r="G21" s="22"/>
      <c r="H21" s="22"/>
      <c r="I21" s="162"/>
      <c r="J21" s="75"/>
      <c r="K21" s="75"/>
      <c r="L21" s="175">
        <f>+J21*'Цени капацитети'!$F$49+K21*'Цени капацитети'!$F$63</f>
        <v>0</v>
      </c>
      <c r="M21" s="175">
        <f>+J21*'Цени капацитети'!$E$49+K21*'Цени капацитети'!$E$63+$P$3*'Цени капацитети'!$E$25</f>
        <v>469.35199999999998</v>
      </c>
      <c r="N21" s="76">
        <f t="shared" si="1"/>
        <v>469.35199999999998</v>
      </c>
      <c r="O21" s="125"/>
    </row>
    <row r="22" spans="2:19" x14ac:dyDescent="0.25">
      <c r="B22" s="47">
        <f t="shared" si="2"/>
        <v>45401</v>
      </c>
      <c r="C22" s="22"/>
      <c r="D22" s="22"/>
      <c r="E22" s="5">
        <f t="shared" si="0"/>
        <v>0</v>
      </c>
      <c r="F22" s="22"/>
      <c r="G22" s="22"/>
      <c r="H22" s="22"/>
      <c r="I22" s="162"/>
      <c r="J22" s="75"/>
      <c r="K22" s="75"/>
      <c r="L22" s="175">
        <f>+J22*'Цени капацитети'!$F$49+K22*'Цени капацитети'!$F$63</f>
        <v>0</v>
      </c>
      <c r="M22" s="175">
        <f>+J22*'Цени капацитети'!$E$49+K22*'Цени капацитети'!$E$63+$P$3*'Цени капацитети'!$E$25</f>
        <v>469.35199999999998</v>
      </c>
      <c r="N22" s="76">
        <f t="shared" si="1"/>
        <v>469.35199999999998</v>
      </c>
      <c r="O22" s="125"/>
    </row>
    <row r="23" spans="2:19" x14ac:dyDescent="0.25">
      <c r="B23" s="47">
        <f t="shared" si="2"/>
        <v>45402</v>
      </c>
      <c r="C23" s="22"/>
      <c r="D23" s="22"/>
      <c r="E23" s="5">
        <f t="shared" si="0"/>
        <v>0</v>
      </c>
      <c r="F23" s="22"/>
      <c r="G23" s="22"/>
      <c r="H23" s="22"/>
      <c r="I23" s="162"/>
      <c r="J23" s="75"/>
      <c r="K23" s="75"/>
      <c r="L23" s="175">
        <f>+J23*'Цени капацитети'!$F$49+K23*'Цени капацитети'!$F$63</f>
        <v>0</v>
      </c>
      <c r="M23" s="175">
        <f>+J23*'Цени капацитети'!$E$49+K23*'Цени капацитети'!$E$63+$P$3*'Цени капацитети'!$E$25</f>
        <v>469.35199999999998</v>
      </c>
      <c r="N23" s="76">
        <f t="shared" si="1"/>
        <v>469.35199999999998</v>
      </c>
      <c r="O23" s="125"/>
    </row>
    <row r="24" spans="2:19" x14ac:dyDescent="0.25">
      <c r="B24" s="47">
        <f t="shared" si="2"/>
        <v>45403</v>
      </c>
      <c r="C24" s="22"/>
      <c r="D24" s="22"/>
      <c r="E24" s="5">
        <f t="shared" si="0"/>
        <v>0</v>
      </c>
      <c r="F24" s="22"/>
      <c r="G24" s="22"/>
      <c r="H24" s="22"/>
      <c r="I24" s="162"/>
      <c r="J24" s="75"/>
      <c r="K24" s="75"/>
      <c r="L24" s="175">
        <f>+J24*'Цени капацитети'!$F$49+K24*'Цени капацитети'!$F$63</f>
        <v>0</v>
      </c>
      <c r="M24" s="175">
        <f>+J24*'Цени капацитети'!$E$49+K24*'Цени капацитети'!$E$63+$P$3*'Цени капацитети'!$E$25</f>
        <v>469.35199999999998</v>
      </c>
      <c r="N24" s="76">
        <f t="shared" si="1"/>
        <v>469.35199999999998</v>
      </c>
      <c r="O24" s="125"/>
    </row>
    <row r="25" spans="2:19" x14ac:dyDescent="0.25">
      <c r="B25" s="47">
        <f t="shared" si="2"/>
        <v>45404</v>
      </c>
      <c r="C25" s="22"/>
      <c r="D25" s="22"/>
      <c r="E25" s="5">
        <f t="shared" si="0"/>
        <v>0</v>
      </c>
      <c r="F25" s="22"/>
      <c r="G25" s="22"/>
      <c r="H25" s="22"/>
      <c r="I25" s="164"/>
      <c r="J25" s="75"/>
      <c r="K25" s="75"/>
      <c r="L25" s="175">
        <f>+J25*'Цени капацитети'!$F$49+K25*'Цени капацитети'!$F$63</f>
        <v>0</v>
      </c>
      <c r="M25" s="175">
        <f>+J25*'Цени капацитети'!$E$49+K25*'Цени капацитети'!$E$63+$P$3*'Цени капацитети'!$E$25</f>
        <v>469.35199999999998</v>
      </c>
      <c r="N25" s="76">
        <f t="shared" si="1"/>
        <v>469.35199999999998</v>
      </c>
      <c r="O25" s="125"/>
    </row>
    <row r="26" spans="2:19" x14ac:dyDescent="0.25">
      <c r="B26" s="47">
        <f t="shared" si="2"/>
        <v>45405</v>
      </c>
      <c r="C26" s="22"/>
      <c r="D26" s="22"/>
      <c r="E26" s="5">
        <f t="shared" si="0"/>
        <v>0</v>
      </c>
      <c r="F26" s="22"/>
      <c r="G26" s="22"/>
      <c r="H26" s="22"/>
      <c r="I26" s="162"/>
      <c r="J26" s="75"/>
      <c r="K26" s="75"/>
      <c r="L26" s="175">
        <f>+J26*'Цени капацитети'!$F$49+K26*'Цени капацитети'!$F$63</f>
        <v>0</v>
      </c>
      <c r="M26" s="175">
        <f>+J26*'Цени капацитети'!$E$49+K26*'Цени капацитети'!$E$63+$P$3*'Цени капацитети'!$E$25</f>
        <v>469.35199999999998</v>
      </c>
      <c r="N26" s="76">
        <f t="shared" si="1"/>
        <v>469.35199999999998</v>
      </c>
      <c r="O26" s="125"/>
    </row>
    <row r="27" spans="2:19" x14ac:dyDescent="0.25">
      <c r="B27" s="47">
        <f t="shared" si="2"/>
        <v>45406</v>
      </c>
      <c r="C27" s="22"/>
      <c r="D27" s="22"/>
      <c r="E27" s="5">
        <f t="shared" si="0"/>
        <v>0</v>
      </c>
      <c r="F27" s="22"/>
      <c r="G27" s="22"/>
      <c r="H27" s="22"/>
      <c r="I27" s="162"/>
      <c r="J27" s="75"/>
      <c r="K27" s="75"/>
      <c r="L27" s="175">
        <f>+J27*'Цени капацитети'!$F$49+K27*'Цени капацитети'!$F$63</f>
        <v>0</v>
      </c>
      <c r="M27" s="175">
        <f>+J27*'Цени капацитети'!$E$49+K27*'Цени капацитети'!$E$63+$P$3*'Цени капацитети'!$E$25</f>
        <v>469.35199999999998</v>
      </c>
      <c r="N27" s="76">
        <f t="shared" si="1"/>
        <v>469.35199999999998</v>
      </c>
      <c r="O27" s="125"/>
    </row>
    <row r="28" spans="2:19" x14ac:dyDescent="0.25">
      <c r="B28" s="47">
        <f t="shared" si="2"/>
        <v>45407</v>
      </c>
      <c r="C28" s="22"/>
      <c r="D28" s="22"/>
      <c r="E28" s="5">
        <f t="shared" si="0"/>
        <v>0</v>
      </c>
      <c r="F28" s="22"/>
      <c r="G28" s="22"/>
      <c r="H28" s="22"/>
      <c r="I28" s="162"/>
      <c r="J28" s="75"/>
      <c r="K28" s="75"/>
      <c r="L28" s="175">
        <f>+J28*'Цени капацитети'!$F$49+K28*'Цени капацитети'!$F$63</f>
        <v>0</v>
      </c>
      <c r="M28" s="175">
        <f>+J28*'Цени капацитети'!$E$49+K28*'Цени капацитети'!$E$63+$P$3*'Цени капацитети'!$E$25</f>
        <v>469.35199999999998</v>
      </c>
      <c r="N28" s="76">
        <f t="shared" si="1"/>
        <v>469.35199999999998</v>
      </c>
      <c r="O28" s="125"/>
    </row>
    <row r="29" spans="2:19" x14ac:dyDescent="0.25">
      <c r="B29" s="47">
        <f t="shared" si="2"/>
        <v>45408</v>
      </c>
      <c r="C29" s="22"/>
      <c r="D29" s="22"/>
      <c r="E29" s="5">
        <f t="shared" si="0"/>
        <v>0</v>
      </c>
      <c r="F29" s="22"/>
      <c r="G29" s="22"/>
      <c r="H29" s="24"/>
      <c r="I29" s="162"/>
      <c r="J29" s="75"/>
      <c r="K29" s="75"/>
      <c r="L29" s="175">
        <f>+J29*'Цени капацитети'!$F$49+K29*'Цени капацитети'!$F$63</f>
        <v>0</v>
      </c>
      <c r="M29" s="175">
        <f>+J29*'Цени капацитети'!$E$49+K29*'Цени капацитети'!$E$63+$P$3*'Цени капацитети'!$E$25</f>
        <v>469.35199999999998</v>
      </c>
      <c r="N29" s="76">
        <f t="shared" si="1"/>
        <v>469.35199999999998</v>
      </c>
      <c r="O29" s="125"/>
    </row>
    <row r="30" spans="2:19" x14ac:dyDescent="0.25">
      <c r="B30" s="47">
        <f t="shared" si="2"/>
        <v>45409</v>
      </c>
      <c r="C30" s="22"/>
      <c r="D30" s="22"/>
      <c r="E30" s="5">
        <f t="shared" si="0"/>
        <v>0</v>
      </c>
      <c r="F30" s="22"/>
      <c r="G30" s="22"/>
      <c r="H30" s="7"/>
      <c r="I30" s="162"/>
      <c r="J30" s="75"/>
      <c r="K30" s="75"/>
      <c r="L30" s="175">
        <f>+J30*'Цени капацитети'!$F$49+K30*'Цени капацитети'!$F$63</f>
        <v>0</v>
      </c>
      <c r="M30" s="175">
        <f>+J30*'Цени капацитети'!$E$49+K30*'Цени капацитети'!$E$63+$P$3*'Цени капацитети'!$E$25</f>
        <v>469.35199999999998</v>
      </c>
      <c r="N30" s="76">
        <f t="shared" si="1"/>
        <v>469.35199999999998</v>
      </c>
      <c r="O30" s="125"/>
    </row>
    <row r="31" spans="2:19" x14ac:dyDescent="0.25">
      <c r="B31" s="47">
        <f t="shared" si="2"/>
        <v>45410</v>
      </c>
      <c r="C31" s="22"/>
      <c r="D31" s="22"/>
      <c r="E31" s="5">
        <f t="shared" si="0"/>
        <v>0</v>
      </c>
      <c r="F31" s="22"/>
      <c r="G31" s="22"/>
      <c r="H31" s="7"/>
      <c r="I31" s="162"/>
      <c r="J31" s="75"/>
      <c r="K31" s="75"/>
      <c r="L31" s="175">
        <f>+J31*'Цени капацитети'!$F$49+K31*'Цени капацитети'!$F$63</f>
        <v>0</v>
      </c>
      <c r="M31" s="175">
        <f>+J31*'Цени капацитети'!$E$49+K31*'Цени капацитети'!$E$63+$P$3*'Цени капацитети'!$E$25</f>
        <v>469.35199999999998</v>
      </c>
      <c r="N31" s="76">
        <f t="shared" si="1"/>
        <v>469.35199999999998</v>
      </c>
      <c r="O31" s="125"/>
    </row>
    <row r="32" spans="2:19" x14ac:dyDescent="0.25">
      <c r="B32" s="47">
        <f t="shared" si="2"/>
        <v>45411</v>
      </c>
      <c r="C32" s="22"/>
      <c r="D32" s="22"/>
      <c r="E32" s="5">
        <f t="shared" si="0"/>
        <v>0</v>
      </c>
      <c r="F32" s="22"/>
      <c r="G32" s="22"/>
      <c r="H32" s="7"/>
      <c r="I32" s="162"/>
      <c r="J32" s="75"/>
      <c r="K32" s="75"/>
      <c r="L32" s="175">
        <f>+J32*'Цени капацитети'!$F$49+K32*'Цени капацитети'!$F$63</f>
        <v>0</v>
      </c>
      <c r="M32" s="175">
        <f>+J32*'Цени капацитети'!$E$49+K32*'Цени капацитети'!$E$63+$P$3*'Цени капацитети'!$E$25</f>
        <v>469.35199999999998</v>
      </c>
      <c r="N32" s="76">
        <f t="shared" si="1"/>
        <v>469.35199999999998</v>
      </c>
      <c r="O32" s="125"/>
    </row>
    <row r="33" spans="2:15" x14ac:dyDescent="0.25">
      <c r="B33" s="47">
        <f t="shared" si="2"/>
        <v>45412</v>
      </c>
      <c r="C33" s="22"/>
      <c r="D33" s="22"/>
      <c r="E33" s="5">
        <f t="shared" si="0"/>
        <v>0</v>
      </c>
      <c r="F33" s="22"/>
      <c r="G33" s="22"/>
      <c r="H33" s="7"/>
      <c r="I33" s="162"/>
      <c r="J33" s="75"/>
      <c r="K33" s="75"/>
      <c r="L33" s="175">
        <f>+J33*'Цени капацитети'!$F$48+K33*'Цени капацитети'!$F$62</f>
        <v>0</v>
      </c>
      <c r="M33" s="175">
        <f>+J33*'Цени капацитети'!$E$49+K33*'Цени капацитети'!$E$63+$P$3*'Цени капацитети'!$E$25</f>
        <v>469.35199999999998</v>
      </c>
      <c r="N33" s="76">
        <f t="shared" si="1"/>
        <v>469.35199999999998</v>
      </c>
      <c r="O33" s="125"/>
    </row>
    <row r="34" spans="2:15" x14ac:dyDescent="0.25">
      <c r="D34" s="1">
        <f>SUM(D4:D33)</f>
        <v>16232.449999999997</v>
      </c>
      <c r="G34" s="16">
        <f>SUM(G4:G33)</f>
        <v>2031.88</v>
      </c>
      <c r="H34" s="16"/>
      <c r="I34" s="18">
        <f>SUM(I4:I33)</f>
        <v>0</v>
      </c>
      <c r="J34" s="18"/>
      <c r="K34" s="18">
        <f>SUM(K4:K33)</f>
        <v>0</v>
      </c>
      <c r="L34" s="18">
        <f>SUM(L4:L33)</f>
        <v>0</v>
      </c>
      <c r="M34" s="16">
        <f>SUM(M4:M33)</f>
        <v>14080.560000000009</v>
      </c>
      <c r="O34" s="18">
        <f>SUM(O4:O33)</f>
        <v>0</v>
      </c>
    </row>
  </sheetData>
  <mergeCells count="3">
    <mergeCell ref="B2:I2"/>
    <mergeCell ref="K2:M2"/>
    <mergeCell ref="U2:V4"/>
  </mergeCells>
  <pageMargins left="1.0899999999999999" right="0.7" top="0.75" bottom="0.75" header="0.3" footer="0.3"/>
  <pageSetup scale="92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0000"/>
  </sheetPr>
  <dimension ref="A1:N36"/>
  <sheetViews>
    <sheetView zoomScale="70" zoomScaleNormal="70" workbookViewId="0">
      <selection activeCell="F17" sqref="F17:F18"/>
    </sheetView>
  </sheetViews>
  <sheetFormatPr defaultColWidth="8.85546875" defaultRowHeight="15" x14ac:dyDescent="0.25"/>
  <cols>
    <col min="1" max="1" width="8.85546875" style="1"/>
    <col min="2" max="2" width="12.140625" style="1" bestFit="1" customWidth="1"/>
    <col min="3" max="3" width="13.28515625" style="1" bestFit="1" customWidth="1"/>
    <col min="4" max="4" width="11.42578125" style="1" bestFit="1" customWidth="1"/>
    <col min="5" max="5" width="9.28515625" style="1" bestFit="1" customWidth="1"/>
    <col min="6" max="7" width="15.42578125" style="1" bestFit="1" customWidth="1"/>
    <col min="8" max="8" width="13" style="1" customWidth="1"/>
    <col min="9" max="10" width="17.5703125" style="69" customWidth="1"/>
    <col min="11" max="11" width="9.5703125" style="1" bestFit="1" customWidth="1"/>
    <col min="12" max="12" width="14.7109375" style="1" bestFit="1" customWidth="1"/>
    <col min="13" max="13" width="19.28515625" style="1" bestFit="1" customWidth="1"/>
    <col min="14" max="14" width="11.28515625" style="1" bestFit="1" customWidth="1"/>
    <col min="15" max="16384" width="8.85546875" style="1"/>
  </cols>
  <sheetData>
    <row r="1" spans="1:14" ht="15.75" thickBot="1" x14ac:dyDescent="0.3">
      <c r="F1" s="77"/>
      <c r="G1" s="77"/>
      <c r="H1" s="78"/>
      <c r="I1" s="78"/>
      <c r="J1" s="13"/>
      <c r="L1" s="680" t="s">
        <v>29</v>
      </c>
      <c r="M1" s="680"/>
    </row>
    <row r="2" spans="1:14" ht="28.9" customHeight="1" x14ac:dyDescent="0.25">
      <c r="B2" s="685" t="s">
        <v>116</v>
      </c>
      <c r="C2" s="686"/>
      <c r="D2" s="686"/>
      <c r="E2" s="687"/>
      <c r="F2" s="240"/>
      <c r="G2" s="679" t="s">
        <v>71</v>
      </c>
      <c r="H2" s="679"/>
      <c r="I2" s="679"/>
      <c r="J2" s="52"/>
      <c r="L2" s="2" t="s">
        <v>100</v>
      </c>
      <c r="M2" s="2" t="s">
        <v>81</v>
      </c>
      <c r="N2" s="2" t="s">
        <v>112</v>
      </c>
    </row>
    <row r="3" spans="1:14" ht="43.5" x14ac:dyDescent="0.25">
      <c r="B3" s="12" t="s">
        <v>8</v>
      </c>
      <c r="C3" s="2" t="s">
        <v>238</v>
      </c>
      <c r="D3" s="13" t="s">
        <v>27</v>
      </c>
      <c r="E3" s="79" t="s">
        <v>6</v>
      </c>
      <c r="F3" s="121" t="s">
        <v>137</v>
      </c>
      <c r="G3" s="121" t="s">
        <v>138</v>
      </c>
      <c r="H3" s="77" t="s">
        <v>103</v>
      </c>
      <c r="I3" s="77" t="s">
        <v>83</v>
      </c>
      <c r="J3" s="77" t="s">
        <v>104</v>
      </c>
      <c r="K3" s="69" t="s">
        <v>122</v>
      </c>
      <c r="L3" s="254">
        <v>46</v>
      </c>
      <c r="M3" s="254"/>
      <c r="N3" s="249"/>
    </row>
    <row r="4" spans="1:14" x14ac:dyDescent="0.25">
      <c r="B4" s="47">
        <v>45383</v>
      </c>
      <c r="C4" s="49">
        <v>77.426000000000002</v>
      </c>
      <c r="D4" s="49">
        <v>0</v>
      </c>
      <c r="E4" s="144">
        <v>0</v>
      </c>
      <c r="F4" s="75"/>
      <c r="G4" s="75"/>
      <c r="H4" s="175">
        <f>+F4*'Цени капацитети'!$F$49+G4*'Цени капацитети'!$F$63</f>
        <v>0</v>
      </c>
      <c r="I4" s="175">
        <f>+F4*'Цени капацитети'!$E$49+G4*'Цени капацитети'!$E$63</f>
        <v>0</v>
      </c>
      <c r="J4" s="115">
        <f>$M$3*'Цени капацитети'!$E$25+$L$3*'Цени капацитети'!$E$4+$N$3*'Цени капацитети'!$E$10+I4</f>
        <v>58.309600000000003</v>
      </c>
      <c r="K4" s="126"/>
    </row>
    <row r="5" spans="1:14" x14ac:dyDescent="0.25">
      <c r="B5" s="47">
        <f>+B4+1</f>
        <v>45384</v>
      </c>
      <c r="C5" s="49">
        <v>0</v>
      </c>
      <c r="D5" s="49">
        <v>0</v>
      </c>
      <c r="E5" s="144">
        <v>0</v>
      </c>
      <c r="F5" s="224"/>
      <c r="G5" s="224"/>
      <c r="H5" s="175">
        <f>+F5*'Цени капацитети'!$F$49+G5*'Цени капацитети'!$F$63</f>
        <v>0</v>
      </c>
      <c r="I5" s="175">
        <f>+F5*'Цени капацитети'!$E$49+G5*'Цени капацитети'!$E$63</f>
        <v>0</v>
      </c>
      <c r="J5" s="115">
        <f>$M$3*'Цени капацитети'!$E$25+$L$3*'Цени капацитети'!$E$4+$N$3*'Цени капацитети'!$E$10+I5</f>
        <v>58.309600000000003</v>
      </c>
      <c r="K5" s="126"/>
    </row>
    <row r="6" spans="1:14" x14ac:dyDescent="0.25">
      <c r="B6" s="47">
        <f t="shared" ref="B6:B33" si="0">+B5+1</f>
        <v>45385</v>
      </c>
      <c r="C6" s="49">
        <v>0</v>
      </c>
      <c r="D6" s="49">
        <v>0</v>
      </c>
      <c r="E6" s="144">
        <v>0</v>
      </c>
      <c r="F6" s="224"/>
      <c r="G6" s="224"/>
      <c r="H6" s="175">
        <f>+F6*'Цени капацитети'!$F$49+G6*'Цени капацитети'!$F$63</f>
        <v>0</v>
      </c>
      <c r="I6" s="175">
        <f>+F6*'Цени капацитети'!$E$49+G6*'Цени капацитети'!$E$63</f>
        <v>0</v>
      </c>
      <c r="J6" s="115">
        <f>$M$3*'Цени капацитети'!$E$25+$L$3*'Цени капацитети'!$E$4+$N$3*'Цени капацитети'!$E$10+I6</f>
        <v>58.309600000000003</v>
      </c>
      <c r="K6" s="126"/>
      <c r="L6" s="681" t="s">
        <v>106</v>
      </c>
      <c r="M6" s="681"/>
    </row>
    <row r="7" spans="1:14" x14ac:dyDescent="0.25">
      <c r="B7" s="47">
        <f t="shared" si="0"/>
        <v>45386</v>
      </c>
      <c r="C7" s="49">
        <v>0</v>
      </c>
      <c r="D7" s="49">
        <v>0</v>
      </c>
      <c r="E7" s="144">
        <v>0</v>
      </c>
      <c r="F7" s="224"/>
      <c r="G7" s="224"/>
      <c r="H7" s="175">
        <f>+F7*'Цени капацитети'!$F$49+G7*'Цени капацитети'!$F$63</f>
        <v>0</v>
      </c>
      <c r="I7" s="175">
        <f>+F7*'Цени капацитети'!$E$49+G7*'Цени капацитети'!$E$63</f>
        <v>0</v>
      </c>
      <c r="J7" s="115">
        <f>$M$3*'Цени капацитети'!$E$25+$L$3*'Цени капацитети'!$E$4+$N$3*'Цени капацитети'!$E$10+I7</f>
        <v>58.309600000000003</v>
      </c>
      <c r="K7" s="126"/>
      <c r="L7" s="681"/>
      <c r="M7" s="681"/>
    </row>
    <row r="8" spans="1:14" x14ac:dyDescent="0.25">
      <c r="A8" s="1" t="s">
        <v>139</v>
      </c>
      <c r="B8" s="47">
        <f t="shared" si="0"/>
        <v>45387</v>
      </c>
      <c r="C8" s="49">
        <v>118.535</v>
      </c>
      <c r="D8" s="49">
        <v>0</v>
      </c>
      <c r="E8" s="144">
        <v>0</v>
      </c>
      <c r="F8" s="224"/>
      <c r="G8" s="224"/>
      <c r="H8" s="175">
        <f>+F8*'Цени капацитети'!$F$49+G8*'Цени капацитети'!$F$63</f>
        <v>0</v>
      </c>
      <c r="I8" s="175">
        <f>+F8*'Цени капацитети'!$E$49+G8*'Цени капацитети'!$E$63</f>
        <v>0</v>
      </c>
      <c r="J8" s="115">
        <f>$M$3*'Цени капацитети'!$E$25+$L$3*'Цени капацитети'!$E$4+$N$3*'Цени капацитети'!$E$10+I8</f>
        <v>58.309600000000003</v>
      </c>
      <c r="K8" s="126"/>
      <c r="L8" s="681"/>
      <c r="M8" s="681"/>
    </row>
    <row r="9" spans="1:14" x14ac:dyDescent="0.25">
      <c r="B9" s="47">
        <f t="shared" si="0"/>
        <v>45388</v>
      </c>
      <c r="C9" s="49">
        <v>154</v>
      </c>
      <c r="D9" s="49">
        <v>40</v>
      </c>
      <c r="E9" s="144">
        <v>58.794999999999987</v>
      </c>
      <c r="F9" s="224"/>
      <c r="G9" s="224"/>
      <c r="H9" s="175">
        <f>+F9*'Цени капацитети'!$F$49+G9*'Цени капацитети'!$F$63</f>
        <v>0</v>
      </c>
      <c r="I9" s="175">
        <f>+F9*'Цени капацитети'!$E$49+G9*'Цени капацитети'!$E$63</f>
        <v>0</v>
      </c>
      <c r="J9" s="115">
        <f>$M$3*'Цени капацитети'!$E$25+$L$3*'Цени капацитети'!$E$4+$N$3*'Цени капацитети'!$E$10+I9</f>
        <v>58.309600000000003</v>
      </c>
      <c r="K9" s="126"/>
      <c r="L9" s="113" t="s">
        <v>18</v>
      </c>
      <c r="M9" s="114" t="s">
        <v>6</v>
      </c>
    </row>
    <row r="10" spans="1:14" x14ac:dyDescent="0.25">
      <c r="B10" s="47">
        <f t="shared" si="0"/>
        <v>45389</v>
      </c>
      <c r="C10" s="49">
        <v>154</v>
      </c>
      <c r="D10" s="49">
        <v>50</v>
      </c>
      <c r="E10" s="144">
        <v>63.204000000000008</v>
      </c>
      <c r="F10" s="224"/>
      <c r="G10" s="224">
        <v>12</v>
      </c>
      <c r="H10" s="175">
        <f>+F10*'Цени капацитети'!$F$49+G10*'Цени капацитети'!$F$63</f>
        <v>25.2576</v>
      </c>
      <c r="I10" s="175">
        <f>+F10*'Цени капацитети'!$E$49+G10*'Цени капацитети'!$E$63</f>
        <v>38.683199999999999</v>
      </c>
      <c r="J10" s="115">
        <f>$M$3*'Цени капацитети'!$E$25+$L$3*'Цени капацитети'!$E$4+$N$3*'Цени капацитети'!$E$10+I10</f>
        <v>96.992800000000003</v>
      </c>
      <c r="K10" s="126"/>
      <c r="L10" s="113"/>
      <c r="M10" s="113"/>
    </row>
    <row r="11" spans="1:14" x14ac:dyDescent="0.25">
      <c r="B11" s="47">
        <f t="shared" si="0"/>
        <v>45390</v>
      </c>
      <c r="C11" s="49">
        <v>154</v>
      </c>
      <c r="D11" s="49">
        <v>50</v>
      </c>
      <c r="E11" s="144">
        <v>54.995000000000005</v>
      </c>
      <c r="F11" s="224">
        <v>12</v>
      </c>
      <c r="G11" s="224"/>
      <c r="H11" s="175">
        <f>+F11*'Цени капацитети'!$F$49+G11*'Цени капацитети'!$F$63</f>
        <v>20.206800000000001</v>
      </c>
      <c r="I11" s="175">
        <f>+F11*'Цени капацитети'!$E$49+G11*'Цени капацитети'!$E$63</f>
        <v>30.9468</v>
      </c>
      <c r="J11" s="115">
        <f>$M$3*'Цени капацитети'!$E$25+$L$3*'Цени капацитети'!$E$4+$N$3*'Цени капацитети'!$E$10+I11</f>
        <v>89.256399999999999</v>
      </c>
      <c r="K11" s="126"/>
    </row>
    <row r="12" spans="1:14" x14ac:dyDescent="0.25">
      <c r="B12" s="47">
        <f t="shared" si="0"/>
        <v>45391</v>
      </c>
      <c r="C12" s="49">
        <v>154</v>
      </c>
      <c r="D12" s="49">
        <v>50</v>
      </c>
      <c r="E12" s="144">
        <v>62.073000000000008</v>
      </c>
      <c r="F12" s="224">
        <v>14</v>
      </c>
      <c r="G12" s="224"/>
      <c r="H12" s="175">
        <f>+F12*'Цени капацитети'!$F$49+G12*'Цени капацитети'!$F$63</f>
        <v>23.5746</v>
      </c>
      <c r="I12" s="175">
        <f>+F12*'Цени капацитети'!$E$49+G12*'Цени капацитети'!$E$63</f>
        <v>36.104599999999998</v>
      </c>
      <c r="J12" s="115">
        <f>$M$3*'Цени капацитети'!$E$25+$L$3*'Цени капацитети'!$E$4+$N$3*'Цени капацитети'!$E$10+I12</f>
        <v>94.414199999999994</v>
      </c>
      <c r="K12" s="126"/>
    </row>
    <row r="13" spans="1:14" x14ac:dyDescent="0.25">
      <c r="B13" s="47">
        <f t="shared" si="0"/>
        <v>45392</v>
      </c>
      <c r="C13" s="49">
        <v>154</v>
      </c>
      <c r="D13" s="49">
        <v>60</v>
      </c>
      <c r="E13" s="144">
        <v>59.703000000000003</v>
      </c>
      <c r="F13" s="224">
        <v>10</v>
      </c>
      <c r="G13" s="224">
        <v>10</v>
      </c>
      <c r="H13" s="175">
        <f>+F13*'Цени капацитети'!$F$49+G13*'Цени капацитети'!$F$63</f>
        <v>37.887</v>
      </c>
      <c r="I13" s="175">
        <f>+F13*'Цени капацитети'!$E$49+G13*'Цени капацитети'!$E$63</f>
        <v>58.024999999999999</v>
      </c>
      <c r="J13" s="115">
        <f>$M$3*'Цени капацитети'!$E$25+$L$3*'Цени капацитети'!$E$4+$N$3*'Цени капацитети'!$E$10+I13</f>
        <v>116.33459999999999</v>
      </c>
      <c r="K13" s="126"/>
      <c r="L13" s="23"/>
    </row>
    <row r="14" spans="1:14" x14ac:dyDescent="0.25">
      <c r="B14" s="47">
        <f t="shared" si="0"/>
        <v>45393</v>
      </c>
      <c r="C14" s="49">
        <v>154</v>
      </c>
      <c r="D14" s="49">
        <v>60</v>
      </c>
      <c r="E14" s="144">
        <v>58.207999999999998</v>
      </c>
      <c r="F14" s="224">
        <v>20</v>
      </c>
      <c r="G14" s="224"/>
      <c r="H14" s="175">
        <f>+F14*'Цени капацитети'!$F$49+G14*'Цени капацитети'!$F$63</f>
        <v>33.677999999999997</v>
      </c>
      <c r="I14" s="175">
        <f>+F14*'Цени капацитети'!$E$49+G14*'Цени капацитети'!$E$63</f>
        <v>51.578000000000003</v>
      </c>
      <c r="J14" s="115">
        <f>$M$3*'Цени капацитети'!$E$25+$L$3*'Цени капацитети'!$E$4+$N$3*'Цени капацитети'!$E$10+I14</f>
        <v>109.88760000000001</v>
      </c>
      <c r="K14" s="126"/>
    </row>
    <row r="15" spans="1:14" x14ac:dyDescent="0.25">
      <c r="B15" s="47">
        <f t="shared" si="0"/>
        <v>45394</v>
      </c>
      <c r="C15" s="49">
        <v>154</v>
      </c>
      <c r="D15" s="49">
        <v>60</v>
      </c>
      <c r="E15" s="144">
        <v>52.412000000000006</v>
      </c>
      <c r="F15" s="224">
        <v>15</v>
      </c>
      <c r="G15" s="224"/>
      <c r="H15" s="175">
        <f>+F15*'Цени капацитети'!$F$49+G15*'Цени капацитети'!$F$63</f>
        <v>25.258499999999998</v>
      </c>
      <c r="I15" s="175">
        <f>+F15*'Цени капацитети'!$E$49+G15*'Цени капацитети'!$E$63</f>
        <v>38.683500000000002</v>
      </c>
      <c r="J15" s="115">
        <f>$M$3*'Цени капацитети'!$E$25+$L$3*'Цени капацитети'!$E$4+$N$3*'Цени капацитети'!$E$10+I15</f>
        <v>96.993099999999998</v>
      </c>
      <c r="K15" s="126"/>
    </row>
    <row r="16" spans="1:14" x14ac:dyDescent="0.25">
      <c r="B16" s="47">
        <f t="shared" si="0"/>
        <v>45395</v>
      </c>
      <c r="C16" s="49">
        <v>154</v>
      </c>
      <c r="D16" s="49">
        <v>50</v>
      </c>
      <c r="E16" s="144">
        <v>66.694999999999993</v>
      </c>
      <c r="F16" s="224">
        <v>14</v>
      </c>
      <c r="G16" s="224"/>
      <c r="H16" s="175">
        <f>+F16*'Цени капацитети'!$F$49+G16*'Цени капацитети'!$F$63</f>
        <v>23.5746</v>
      </c>
      <c r="I16" s="175">
        <f>+F16*'Цени капацитети'!$E$49+G16*'Цени капацитети'!$E$63</f>
        <v>36.104599999999998</v>
      </c>
      <c r="J16" s="115">
        <f>$M$3*'Цени капацитети'!$E$25+$L$3*'Цени капацитети'!$E$4+$N$3*'Цени капацитети'!$E$10+I16</f>
        <v>94.414199999999994</v>
      </c>
      <c r="K16" s="126"/>
    </row>
    <row r="17" spans="2:13" x14ac:dyDescent="0.25">
      <c r="B17" s="47">
        <f t="shared" si="0"/>
        <v>45396</v>
      </c>
      <c r="C17" s="49">
        <v>154</v>
      </c>
      <c r="D17" s="49">
        <v>50</v>
      </c>
      <c r="E17" s="144">
        <v>65.712999999999994</v>
      </c>
      <c r="F17" s="224">
        <v>14</v>
      </c>
      <c r="G17" s="224"/>
      <c r="H17" s="175">
        <f>+F17*'Цени капацитети'!$F$49+G17*'Цени капацитети'!$F$63</f>
        <v>23.5746</v>
      </c>
      <c r="I17" s="175">
        <f>+F17*'Цени капацитети'!$E$49+G17*'Цени капацитети'!$E$63</f>
        <v>36.104599999999998</v>
      </c>
      <c r="J17" s="115">
        <f>$M$3*'Цени капацитети'!$E$25+$L$3*'Цени капацитети'!$E$4+$N$3*'Цени капацитети'!$E$10+I17</f>
        <v>94.414199999999994</v>
      </c>
      <c r="K17" s="126"/>
    </row>
    <row r="18" spans="2:13" x14ac:dyDescent="0.25">
      <c r="B18" s="47">
        <f t="shared" si="0"/>
        <v>45397</v>
      </c>
      <c r="C18" s="49">
        <v>154</v>
      </c>
      <c r="D18" s="49">
        <v>51</v>
      </c>
      <c r="E18" s="144">
        <v>52.156000000000006</v>
      </c>
      <c r="F18" s="224">
        <v>14</v>
      </c>
      <c r="G18" s="224"/>
      <c r="H18" s="175">
        <f>+F18*'Цени капацитети'!$F$49+G18*'Цени капацитети'!$F$63</f>
        <v>23.5746</v>
      </c>
      <c r="I18" s="175">
        <f>+F18*'Цени капацитети'!$E$49+G18*'Цени капацитети'!$E$63</f>
        <v>36.104599999999998</v>
      </c>
      <c r="J18" s="115">
        <f>$M$3*'Цени капацитети'!$E$25+$L$3*'Цени капацитети'!$E$4+$N$3*'Цени капацитети'!$E$10+I18</f>
        <v>94.414199999999994</v>
      </c>
      <c r="K18" s="126"/>
    </row>
    <row r="19" spans="2:13" x14ac:dyDescent="0.25">
      <c r="B19" s="47">
        <f t="shared" si="0"/>
        <v>45398</v>
      </c>
      <c r="C19" s="49"/>
      <c r="D19" s="49"/>
      <c r="E19" s="144"/>
      <c r="F19" s="224"/>
      <c r="G19" s="224"/>
      <c r="H19" s="175">
        <f>+F19*'Цени капацитети'!$F$49+G19*'Цени капацитети'!$F$63</f>
        <v>0</v>
      </c>
      <c r="I19" s="175">
        <f>+F19*'Цени капацитети'!$E$49+G19*'Цени капацитети'!$E$63</f>
        <v>0</v>
      </c>
      <c r="J19" s="115">
        <f>$M$3*'Цени капацитети'!$E$25+$L$3*'Цени капацитети'!$E$4+$N$3*'Цени капацитети'!$E$10+I19</f>
        <v>58.309600000000003</v>
      </c>
      <c r="K19" s="126"/>
      <c r="M19" s="3"/>
    </row>
    <row r="20" spans="2:13" x14ac:dyDescent="0.25">
      <c r="B20" s="47">
        <f t="shared" si="0"/>
        <v>45399</v>
      </c>
      <c r="C20" s="49"/>
      <c r="D20" s="49"/>
      <c r="E20" s="144"/>
      <c r="F20" s="224"/>
      <c r="G20" s="224"/>
      <c r="H20" s="175">
        <f>+F20*'Цени капацитети'!$F$49+G20*'Цени капацитети'!$F$63</f>
        <v>0</v>
      </c>
      <c r="I20" s="175">
        <f>+F20*'Цени капацитети'!$E$49+G20*'Цени капацитети'!$E$63</f>
        <v>0</v>
      </c>
      <c r="J20" s="115">
        <f>$M$3*'Цени капацитети'!$E$25+$L$3*'Цени капацитети'!$E$4+$N$3*'Цени капацитети'!$E$10+I20</f>
        <v>58.309600000000003</v>
      </c>
      <c r="K20" s="126"/>
      <c r="M20" s="17"/>
    </row>
    <row r="21" spans="2:13" x14ac:dyDescent="0.25">
      <c r="B21" s="47">
        <f t="shared" si="0"/>
        <v>45400</v>
      </c>
      <c r="C21" s="49"/>
      <c r="D21" s="49"/>
      <c r="E21" s="144"/>
      <c r="F21" s="224"/>
      <c r="G21" s="224"/>
      <c r="H21" s="175">
        <f>+F21*'Цени капацитети'!$F$49+G21*'Цени капацитети'!$F$63</f>
        <v>0</v>
      </c>
      <c r="I21" s="175">
        <f>+F21*'Цени капацитети'!$E$49+G21*'Цени капацитети'!$E$63</f>
        <v>0</v>
      </c>
      <c r="J21" s="115">
        <f>$M$3*'Цени капацитети'!$E$25+$L$3*'Цени капацитети'!$E$4+$N$3*'Цени капацитети'!$E$10+I21</f>
        <v>58.309600000000003</v>
      </c>
      <c r="K21" s="126"/>
      <c r="M21" s="17"/>
    </row>
    <row r="22" spans="2:13" x14ac:dyDescent="0.25">
      <c r="B22" s="47">
        <f t="shared" si="0"/>
        <v>45401</v>
      </c>
      <c r="C22" s="49"/>
      <c r="D22" s="49"/>
      <c r="E22" s="144"/>
      <c r="F22" s="224"/>
      <c r="G22" s="224"/>
      <c r="H22" s="175">
        <f>+F22*'Цени капацитети'!$F$49+G22*'Цени капацитети'!$F$63</f>
        <v>0</v>
      </c>
      <c r="I22" s="175">
        <f>+F22*'Цени капацитети'!$E$49+G22*'Цени капацитети'!$E$63</f>
        <v>0</v>
      </c>
      <c r="J22" s="115">
        <f>$M$3*'Цени капацитети'!$E$25+$L$3*'Цени капацитети'!$E$4+$N$3*'Цени капацитети'!$E$10+I22</f>
        <v>58.309600000000003</v>
      </c>
      <c r="K22" s="126"/>
    </row>
    <row r="23" spans="2:13" x14ac:dyDescent="0.25">
      <c r="B23" s="47">
        <f t="shared" si="0"/>
        <v>45402</v>
      </c>
      <c r="C23" s="49"/>
      <c r="D23" s="49"/>
      <c r="E23" s="144"/>
      <c r="F23" s="224"/>
      <c r="G23" s="57"/>
      <c r="H23" s="175">
        <f>+F23*'Цени капацитети'!$F$49+G23*'Цени капацитети'!$F$63</f>
        <v>0</v>
      </c>
      <c r="I23" s="175">
        <f>+F23*'Цени капацитети'!$E$49+G23*'Цени капацитети'!$E$63</f>
        <v>0</v>
      </c>
      <c r="J23" s="115">
        <f>$M$3*'Цени капацитети'!$E$25+$L$3*'Цени капацитети'!$E$4+$N$3*'Цени капацитети'!$E$10+I23</f>
        <v>58.309600000000003</v>
      </c>
      <c r="K23" s="126"/>
    </row>
    <row r="24" spans="2:13" x14ac:dyDescent="0.25">
      <c r="B24" s="47">
        <f t="shared" si="0"/>
        <v>45403</v>
      </c>
      <c r="C24" s="49"/>
      <c r="D24" s="49"/>
      <c r="E24" s="144"/>
      <c r="F24" s="57"/>
      <c r="G24" s="57"/>
      <c r="H24" s="175">
        <f>+F24*'Цени капацитети'!$F$49+G24*'Цени капацитети'!$F$63</f>
        <v>0</v>
      </c>
      <c r="I24" s="175">
        <f>+F24*'Цени капацитети'!$E$49+G24*'Цени капацитети'!$E$63</f>
        <v>0</v>
      </c>
      <c r="J24" s="115">
        <f>$M$3*'Цени капацитети'!$E$25+$L$3*'Цени капацитети'!$E$4+$N$3*'Цени капацитети'!$E$10+I24</f>
        <v>58.309600000000003</v>
      </c>
      <c r="K24" s="126"/>
    </row>
    <row r="25" spans="2:13" x14ac:dyDescent="0.25">
      <c r="B25" s="47">
        <f t="shared" si="0"/>
        <v>45404</v>
      </c>
      <c r="C25" s="49"/>
      <c r="D25" s="49"/>
      <c r="E25" s="144"/>
      <c r="F25" s="57"/>
      <c r="G25" s="57"/>
      <c r="H25" s="175">
        <f>+F25*'Цени капацитети'!$F$49+G25*'Цени капацитети'!$F$63</f>
        <v>0</v>
      </c>
      <c r="I25" s="175">
        <f>+F25*'Цени капацитети'!$E$49+G25*'Цени капацитети'!$E$63</f>
        <v>0</v>
      </c>
      <c r="J25" s="115">
        <f>$M$3*'Цени капацитети'!$E$25+$L$3*'Цени капацитети'!$E$4+$N$3*'Цени капацитети'!$E$10+I25</f>
        <v>58.309600000000003</v>
      </c>
      <c r="K25" s="126"/>
    </row>
    <row r="26" spans="2:13" x14ac:dyDescent="0.25">
      <c r="B26" s="47">
        <f t="shared" si="0"/>
        <v>45405</v>
      </c>
      <c r="C26" s="49"/>
      <c r="D26" s="49"/>
      <c r="E26" s="144"/>
      <c r="F26" s="57"/>
      <c r="G26" s="57"/>
      <c r="H26" s="175">
        <f>+F26*'Цени капацитети'!$F$49+G26*'Цени капацитети'!$F$63</f>
        <v>0</v>
      </c>
      <c r="I26" s="175">
        <f>+F26*'Цени капацитети'!$E$49+G26*'Цени капацитети'!$E$63</f>
        <v>0</v>
      </c>
      <c r="J26" s="115">
        <f>$M$3*'Цени капацитети'!$E$25+$L$3*'Цени капацитети'!$E$4+$N$3*'Цени капацитети'!$E$10+I26</f>
        <v>58.309600000000003</v>
      </c>
      <c r="K26" s="126"/>
    </row>
    <row r="27" spans="2:13" x14ac:dyDescent="0.25">
      <c r="B27" s="47">
        <f t="shared" si="0"/>
        <v>45406</v>
      </c>
      <c r="C27" s="49"/>
      <c r="D27" s="49"/>
      <c r="E27" s="144"/>
      <c r="F27" s="57"/>
      <c r="G27" s="57"/>
      <c r="H27" s="175">
        <f>+F27*'Цени капацитети'!$F$49+G27*'Цени капацитети'!$F$63</f>
        <v>0</v>
      </c>
      <c r="I27" s="175">
        <f>+F27*'Цени капацитети'!$E$49+G27*'Цени капацитети'!$E$63</f>
        <v>0</v>
      </c>
      <c r="J27" s="115">
        <f>$M$3*'Цени капацитети'!$E$25+$L$3*'Цени капацитети'!$E$4+$N$3*'Цени капацитети'!$E$10+I27</f>
        <v>58.309600000000003</v>
      </c>
      <c r="K27" s="126"/>
    </row>
    <row r="28" spans="2:13" x14ac:dyDescent="0.25">
      <c r="B28" s="47">
        <f t="shared" si="0"/>
        <v>45407</v>
      </c>
      <c r="C28" s="49"/>
      <c r="D28" s="49"/>
      <c r="E28" s="144"/>
      <c r="F28" s="57"/>
      <c r="G28" s="57"/>
      <c r="H28" s="175">
        <f>+F28*'Цени капацитети'!$F$49+G28*'Цени капацитети'!$F$63</f>
        <v>0</v>
      </c>
      <c r="I28" s="175">
        <f>+F28*'Цени капацитети'!$E$49+G28*'Цени капацитети'!$E$63</f>
        <v>0</v>
      </c>
      <c r="J28" s="115">
        <f>$M$3*'Цени капацитети'!$E$25+$L$3*'Цени капацитети'!$E$4+$N$3*'Цени капацитети'!$E$10+I28</f>
        <v>58.309600000000003</v>
      </c>
      <c r="K28" s="126"/>
    </row>
    <row r="29" spans="2:13" x14ac:dyDescent="0.25">
      <c r="B29" s="47">
        <f t="shared" si="0"/>
        <v>45408</v>
      </c>
      <c r="C29" s="49"/>
      <c r="D29" s="49"/>
      <c r="E29" s="144"/>
      <c r="F29" s="57"/>
      <c r="G29" s="57"/>
      <c r="H29" s="175">
        <f>+F29*'Цени капацитети'!$F$49+G29*'Цени капацитети'!$F$63</f>
        <v>0</v>
      </c>
      <c r="I29" s="175">
        <f>+F29*'Цени капацитети'!$E$49+G29*'Цени капацитети'!$E$63</f>
        <v>0</v>
      </c>
      <c r="J29" s="115">
        <f>$M$3*'Цени капацитети'!$E$25+$L$3*'Цени капацитети'!$E$4+$N$3*'Цени капацитети'!$E$10+I29</f>
        <v>58.309600000000003</v>
      </c>
      <c r="K29" s="126"/>
    </row>
    <row r="30" spans="2:13" x14ac:dyDescent="0.25">
      <c r="B30" s="47">
        <f t="shared" si="0"/>
        <v>45409</v>
      </c>
      <c r="C30" s="49"/>
      <c r="D30" s="49"/>
      <c r="E30" s="144"/>
      <c r="F30" s="57"/>
      <c r="G30" s="57"/>
      <c r="H30" s="175">
        <f>+F30*'Цени капацитети'!$F$49+G30*'Цени капацитети'!$F$63</f>
        <v>0</v>
      </c>
      <c r="I30" s="175">
        <f>+F30*'Цени капацитети'!$E$49+G30*'Цени капацитети'!$E$63</f>
        <v>0</v>
      </c>
      <c r="J30" s="115">
        <f>$M$3*'Цени капацитети'!$E$25+$L$3*'Цени капацитети'!$E$4+$N$3*'Цени капацитети'!$E$10+I30</f>
        <v>58.309600000000003</v>
      </c>
      <c r="K30" s="126"/>
    </row>
    <row r="31" spans="2:13" x14ac:dyDescent="0.25">
      <c r="B31" s="47">
        <f t="shared" si="0"/>
        <v>45410</v>
      </c>
      <c r="C31" s="49"/>
      <c r="D31" s="49"/>
      <c r="E31" s="144"/>
      <c r="F31" s="57"/>
      <c r="G31" s="57"/>
      <c r="H31" s="175">
        <f>+F31*'Цени капацитети'!$F$49+G31*'Цени капацитети'!$F$63</f>
        <v>0</v>
      </c>
      <c r="I31" s="175">
        <f>+F31*'Цени капацитети'!$E$49+G31*'Цени капацитети'!$E$63</f>
        <v>0</v>
      </c>
      <c r="J31" s="115">
        <f>$M$3*'Цени капацитети'!$E$25+$L$3*'Цени капацитети'!$E$4+$N$3*'Цени капацитети'!$E$10+I31</f>
        <v>58.309600000000003</v>
      </c>
      <c r="K31" s="126"/>
    </row>
    <row r="32" spans="2:13" x14ac:dyDescent="0.25">
      <c r="B32" s="47">
        <f t="shared" si="0"/>
        <v>45411</v>
      </c>
      <c r="C32" s="49"/>
      <c r="D32" s="49"/>
      <c r="E32" s="144"/>
      <c r="F32" s="57"/>
      <c r="G32" s="57"/>
      <c r="H32" s="175">
        <f>+F32*'Цени капацитети'!$F$49+G32*'Цени капацитети'!$F$63</f>
        <v>0</v>
      </c>
      <c r="I32" s="175">
        <f>+F32*'Цени капацитети'!$E$49+G32*'Цени капацитети'!$E$63</f>
        <v>0</v>
      </c>
      <c r="J32" s="115">
        <f>$M$3*'Цени капацитети'!$E$25+$L$3*'Цени капацитети'!$E$4+$N$3*'Цени капацитети'!$E$10+I32</f>
        <v>58.309600000000003</v>
      </c>
      <c r="K32" s="126"/>
    </row>
    <row r="33" spans="2:11" x14ac:dyDescent="0.25">
      <c r="B33" s="47">
        <f t="shared" si="0"/>
        <v>45412</v>
      </c>
      <c r="C33" s="49"/>
      <c r="D33" s="49"/>
      <c r="E33" s="144"/>
      <c r="F33" s="57"/>
      <c r="G33" s="57"/>
      <c r="H33" s="175">
        <f>+F33*'Цени капацитети'!$F$49+G33*'Цени капацитети'!$F$63</f>
        <v>0</v>
      </c>
      <c r="I33" s="175">
        <f>+F33*'Цени капацитети'!$E$49+G33*'Цени капацитети'!$E$63</f>
        <v>0</v>
      </c>
      <c r="J33" s="115">
        <f>$M$3*'Цени капацитети'!$E$25+$L$3*'Цени капацитети'!$E$4+$N$3*'Цени капацитети'!$E$10+I33</f>
        <v>58.309600000000003</v>
      </c>
      <c r="K33" s="126"/>
    </row>
    <row r="34" spans="2:11" x14ac:dyDescent="0.25">
      <c r="E34" s="16">
        <f>SUM(E4:E33)</f>
        <v>593.95399999999995</v>
      </c>
      <c r="F34" s="16"/>
      <c r="G34" s="16">
        <f>SUM(G4:G33)</f>
        <v>22</v>
      </c>
      <c r="H34" s="16">
        <f>SUM(H4:H33)</f>
        <v>236.58629999999999</v>
      </c>
      <c r="K34" s="126"/>
    </row>
    <row r="35" spans="2:11" x14ac:dyDescent="0.25">
      <c r="D35" s="16">
        <f>SUM(E24:E33)</f>
        <v>0</v>
      </c>
      <c r="E35" s="1">
        <f>+E34*Цени!G41</f>
        <v>34948.253360000002</v>
      </c>
      <c r="K35" s="186">
        <f>SUM(K4:K34)</f>
        <v>0</v>
      </c>
    </row>
    <row r="36" spans="2:11" x14ac:dyDescent="0.25">
      <c r="D36" s="1">
        <f>+D35*Цени!G41*1.09</f>
        <v>0</v>
      </c>
      <c r="E36" s="1">
        <f>+E35*1.09</f>
        <v>38093.596162400005</v>
      </c>
    </row>
  </sheetData>
  <mergeCells count="4">
    <mergeCell ref="L6:M8"/>
    <mergeCell ref="L1:M1"/>
    <mergeCell ref="B2:E2"/>
    <mergeCell ref="G2:I2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4da30f3-d450-42f3-a305-6a1de303da54" xsi:nil="true"/>
    <lcf76f155ced4ddcb4097134ff3c332f xmlns="f72fde2d-b807-4537-b4b0-8b27d7e9d203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663273EF680CE46A9BB227905110AE3" ma:contentTypeVersion="15" ma:contentTypeDescription="Create a new document." ma:contentTypeScope="" ma:versionID="c44d2247b42298762f159768c3a70c71">
  <xsd:schema xmlns:xsd="http://www.w3.org/2001/XMLSchema" xmlns:xs="http://www.w3.org/2001/XMLSchema" xmlns:p="http://schemas.microsoft.com/office/2006/metadata/properties" xmlns:ns2="f72fde2d-b807-4537-b4b0-8b27d7e9d203" xmlns:ns3="d4da30f3-d450-42f3-a305-6a1de303da54" targetNamespace="http://schemas.microsoft.com/office/2006/metadata/properties" ma:root="true" ma:fieldsID="099cb61ee19aea13fd7687df9ca6721f" ns2:_="" ns3:_="">
    <xsd:import namespace="f72fde2d-b807-4537-b4b0-8b27d7e9d203"/>
    <xsd:import namespace="d4da30f3-d450-42f3-a305-6a1de303da5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2fde2d-b807-4537-b4b0-8b27d7e9d20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0928c00e-ac5e-44b4-96e5-205a8c1ee00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da30f3-d450-42f3-a305-6a1de303da54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323c5a16-ef6d-447c-bb9c-5a11ecd1522c}" ma:internalName="TaxCatchAll" ma:showField="CatchAllData" ma:web="d4da30f3-d450-42f3-a305-6a1de303da5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6549173-8138-411C-98B6-E7EF60BA7215}">
  <ds:schemaRefs>
    <ds:schemaRef ds:uri="http://schemas.microsoft.com/office/infopath/2007/PartnerControls"/>
    <ds:schemaRef ds:uri="http://schemas.microsoft.com/office/2006/documentManagement/types"/>
    <ds:schemaRef ds:uri="d4da30f3-d450-42f3-a305-6a1de303da54"/>
    <ds:schemaRef ds:uri="http://schemas.microsoft.com/office/2006/metadata/properties"/>
    <ds:schemaRef ds:uri="http://purl.org/dc/elements/1.1/"/>
    <ds:schemaRef ds:uri="f72fde2d-b807-4537-b4b0-8b27d7e9d20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244638A0-5FDC-45B2-9074-5DE078F9A0A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72fde2d-b807-4537-b4b0-8b27d7e9d203"/>
    <ds:schemaRef ds:uri="d4da30f3-d450-42f3-a305-6a1de303da5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E92AFDB-D94F-4AA1-BE51-37E2E96FFF6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2</vt:i4>
      </vt:variant>
    </vt:vector>
  </HeadingPairs>
  <TitlesOfParts>
    <vt:vector size="32" baseType="lpstr">
      <vt:lpstr>Цени</vt:lpstr>
      <vt:lpstr>Цени капацитети</vt:lpstr>
      <vt:lpstr>Плевен</vt:lpstr>
      <vt:lpstr>Бургас</vt:lpstr>
      <vt:lpstr>Враца 1</vt:lpstr>
      <vt:lpstr>Враца 2</vt:lpstr>
      <vt:lpstr>Перник</vt:lpstr>
      <vt:lpstr>Русе</vt:lpstr>
      <vt:lpstr>Велико Търново</vt:lpstr>
      <vt:lpstr>Русе Кемикълс</vt:lpstr>
      <vt:lpstr>Труд</vt:lpstr>
      <vt:lpstr>Берус</vt:lpstr>
      <vt:lpstr>Бултекс 1</vt:lpstr>
      <vt:lpstr>Доминекс про</vt:lpstr>
      <vt:lpstr>РВД</vt:lpstr>
      <vt:lpstr>Тенекс С</vt:lpstr>
      <vt:lpstr>Декотекс</vt:lpstr>
      <vt:lpstr>Нова пауър</vt:lpstr>
      <vt:lpstr>ДХТ</vt:lpstr>
      <vt:lpstr>ЕМИ</vt:lpstr>
      <vt:lpstr>Алуком</vt:lpstr>
      <vt:lpstr>Илинден</vt:lpstr>
      <vt:lpstr>Ваптех АМ</vt:lpstr>
      <vt:lpstr>Борса и балансиране</vt:lpstr>
      <vt:lpstr>Цени борса</vt:lpstr>
      <vt:lpstr>Общо</vt:lpstr>
      <vt:lpstr>ОБЩО NEW за печат</vt:lpstr>
      <vt:lpstr>Рамка Април</vt:lpstr>
      <vt:lpstr>баланс 2024</vt:lpstr>
      <vt:lpstr>за печат</vt:lpstr>
      <vt:lpstr>'баланс 2024'!Print_Area</vt:lpstr>
      <vt:lpstr>'ОБЩО NEW за печат'!Print_Area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Aneta Ivanova</cp:lastModifiedBy>
  <cp:lastPrinted>2024-03-15T08:16:08Z</cp:lastPrinted>
  <dcterms:created xsi:type="dcterms:W3CDTF">2020-02-12T06:12:21Z</dcterms:created>
  <dcterms:modified xsi:type="dcterms:W3CDTF">2024-04-16T07:17:31Z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0x0101005663273EF680CE46A9BB227905110AE3</vt:lpwstr>
  </property>
  <property fmtid="{D5CDD505-2E9C-101B-9397-08002B2CF9AE}" pid="3" name="MediaServiceImageTags">
    <vt:lpwstr/>
  </property>
</Properties>
</file>