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MART_2024/FAKTURI/Топлофикации/DRUGI_KLIENTI/Окончателни фактури/"/>
    </mc:Choice>
  </mc:AlternateContent>
  <xr:revisionPtr revIDLastSave="2768" documentId="8_{290B685A-61D3-4331-9FB5-CD31459AB3D8}" xr6:coauthVersionLast="47" xr6:coauthVersionMax="47" xr10:uidLastSave="{3BBF0258-B679-4453-B4B9-2EF268BA7947}"/>
  <bookViews>
    <workbookView xWindow="-120" yWindow="-120" windowWidth="29040" windowHeight="15840" tabRatio="895" activeTab="5" xr2:uid="{D93E4178-CC31-4D87-86F4-CC1B2ECB3685}"/>
  </bookViews>
  <sheets>
    <sheet name="Оконч.плащане Русе Кемикълс" sheetId="27" r:id="rId1"/>
    <sheet name="Оконч.плащане Труд " sheetId="36" r:id="rId2"/>
    <sheet name="Оконч.плащане Берус" sheetId="32" r:id="rId3"/>
    <sheet name="Оконч.плащане Бултекс 1" sheetId="33" r:id="rId4"/>
    <sheet name="Оконч.плащане Доминекс" sheetId="5" r:id="rId5"/>
    <sheet name="оконч. плащане РВД " sheetId="31" r:id="rId6"/>
    <sheet name="Оконч. плащане Тенекс С" sheetId="17" r:id="rId7"/>
    <sheet name="Оконч.плащане Декотекс" sheetId="24" r:id="rId8"/>
    <sheet name="Оконч.плащане ЕМИ" sheetId="29" r:id="rId9"/>
    <sheet name="Оконч.плащане Алуком" sheetId="19" r:id="rId10"/>
    <sheet name="Оконч.плащане Илинден" sheetId="35" r:id="rId11"/>
    <sheet name="Оконч.плащане Ваптех АМ" sheetId="21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7" l="1"/>
  <c r="E21" i="17"/>
  <c r="E27" i="31"/>
  <c r="E26" i="31"/>
  <c r="F3" i="27"/>
  <c r="H8" i="33"/>
  <c r="I8" i="33"/>
  <c r="G8" i="33"/>
  <c r="G7" i="33"/>
  <c r="G10" i="31"/>
  <c r="E30" i="31" l="1"/>
  <c r="H7" i="33"/>
  <c r="I7" i="33" s="1"/>
  <c r="H10" i="31"/>
  <c r="I10" i="31" s="1"/>
  <c r="G6" i="36" l="1"/>
  <c r="H6" i="36" l="1"/>
  <c r="I6" i="36" s="1"/>
  <c r="E5" i="29" l="1"/>
  <c r="G7" i="24"/>
  <c r="H7" i="24" l="1"/>
  <c r="I7" i="24" s="1"/>
  <c r="E5" i="36" l="1"/>
  <c r="G7" i="36" l="1"/>
  <c r="G5" i="36"/>
  <c r="G4" i="36"/>
  <c r="B4" i="36"/>
  <c r="B5" i="36" s="1"/>
  <c r="H4" i="36" l="1"/>
  <c r="I4" i="36" s="1"/>
  <c r="G3" i="36"/>
  <c r="G8" i="36" s="1"/>
  <c r="H5" i="36"/>
  <c r="H7" i="36"/>
  <c r="I7" i="36" s="1"/>
  <c r="H3" i="36" l="1"/>
  <c r="I3" i="36" s="1"/>
  <c r="I5" i="36"/>
  <c r="E19" i="36"/>
  <c r="I8" i="36" l="1"/>
  <c r="H8" i="36"/>
  <c r="G8" i="24"/>
  <c r="H8" i="24" s="1"/>
  <c r="I8" i="24" s="1"/>
  <c r="G9" i="24"/>
  <c r="H9" i="24" s="1"/>
  <c r="I9" i="24" l="1"/>
  <c r="G7" i="35" l="1"/>
  <c r="H7" i="35" s="1"/>
  <c r="I7" i="35" s="1"/>
  <c r="B7" i="35"/>
  <c r="E6" i="35"/>
  <c r="G6" i="35" s="1"/>
  <c r="G5" i="35"/>
  <c r="H5" i="35" l="1"/>
  <c r="I5" i="35" s="1"/>
  <c r="G4" i="35"/>
  <c r="H6" i="35"/>
  <c r="G5" i="33"/>
  <c r="E6" i="33"/>
  <c r="G6" i="33" s="1"/>
  <c r="G5" i="32"/>
  <c r="F4" i="32" s="1"/>
  <c r="G4" i="32" s="1"/>
  <c r="H4" i="32" s="1"/>
  <c r="E6" i="32"/>
  <c r="G6" i="32" s="1"/>
  <c r="G4" i="29"/>
  <c r="G8" i="35" l="1"/>
  <c r="H4" i="35"/>
  <c r="I4" i="32"/>
  <c r="E17" i="32" s="1"/>
  <c r="E18" i="32" s="1"/>
  <c r="H5" i="33"/>
  <c r="I5" i="33" s="1"/>
  <c r="F4" i="33"/>
  <c r="G4" i="33" s="1"/>
  <c r="H4" i="33" s="1"/>
  <c r="I6" i="35"/>
  <c r="H5" i="32"/>
  <c r="I5" i="32" s="1"/>
  <c r="G7" i="32"/>
  <c r="H6" i="33"/>
  <c r="H6" i="32"/>
  <c r="I4" i="33" l="1"/>
  <c r="H7" i="32"/>
  <c r="I4" i="35"/>
  <c r="H8" i="35"/>
  <c r="I7" i="32"/>
  <c r="I6" i="33"/>
  <c r="I6" i="32"/>
  <c r="E19" i="33" l="1"/>
  <c r="E20" i="33" s="1"/>
  <c r="I8" i="35"/>
  <c r="E20" i="35"/>
  <c r="G7" i="5"/>
  <c r="H7" i="5" s="1"/>
  <c r="I7" i="5" l="1"/>
  <c r="G11" i="31" l="1"/>
  <c r="H11" i="31" s="1"/>
  <c r="I11" i="31" s="1"/>
  <c r="E7" i="31"/>
  <c r="E9" i="31" s="1"/>
  <c r="G9" i="31" s="1"/>
  <c r="G5" i="31"/>
  <c r="B5" i="31"/>
  <c r="F4" i="31" l="1"/>
  <c r="G4" i="31" s="1"/>
  <c r="F8" i="31"/>
  <c r="G8" i="31" s="1"/>
  <c r="H8" i="31" s="1"/>
  <c r="I8" i="31" s="1"/>
  <c r="H9" i="31"/>
  <c r="I9" i="31" s="1"/>
  <c r="G7" i="31"/>
  <c r="F6" i="31" s="1"/>
  <c r="H5" i="31"/>
  <c r="I5" i="31" s="1"/>
  <c r="H4" i="31" l="1"/>
  <c r="G6" i="31"/>
  <c r="H7" i="31"/>
  <c r="I7" i="31" s="1"/>
  <c r="I4" i="31" l="1"/>
  <c r="H6" i="31"/>
  <c r="H12" i="31" s="1"/>
  <c r="G12" i="31"/>
  <c r="I6" i="31" l="1"/>
  <c r="E31" i="31" s="1"/>
  <c r="E29" i="31" l="1"/>
  <c r="I12" i="31"/>
  <c r="G6" i="29" l="1"/>
  <c r="H6" i="29" s="1"/>
  <c r="I6" i="29" s="1"/>
  <c r="G5" i="29"/>
  <c r="G7" i="29" l="1"/>
  <c r="H4" i="29"/>
  <c r="I4" i="29" s="1"/>
  <c r="H5" i="29"/>
  <c r="H7" i="29" l="1"/>
  <c r="I5" i="29"/>
  <c r="I7" i="29" s="1"/>
  <c r="G5" i="5" l="1"/>
  <c r="F4" i="5" s="1"/>
  <c r="G4" i="5" s="1"/>
  <c r="H4" i="5" l="1"/>
  <c r="H5" i="5"/>
  <c r="I4" i="5" l="1"/>
  <c r="I5" i="5"/>
  <c r="E21" i="5" l="1"/>
  <c r="E22" i="5" s="1"/>
  <c r="E5" i="27"/>
  <c r="G4" i="27" l="1"/>
  <c r="H4" i="27" l="1"/>
  <c r="I4" i="27" l="1"/>
  <c r="E6" i="17"/>
  <c r="E5" i="21"/>
  <c r="E6" i="19"/>
  <c r="E6" i="24"/>
  <c r="G6" i="24" s="1"/>
  <c r="E6" i="5"/>
  <c r="B4" i="27" l="1"/>
  <c r="B5" i="27" s="1"/>
  <c r="B6" i="27" s="1"/>
  <c r="G6" i="27" l="1"/>
  <c r="G5" i="27"/>
  <c r="G3" i="27"/>
  <c r="G7" i="27" l="1"/>
  <c r="H3" i="27"/>
  <c r="I3" i="27" s="1"/>
  <c r="H5" i="27"/>
  <c r="H6" i="27"/>
  <c r="I6" i="27" s="1"/>
  <c r="H7" i="27" l="1"/>
  <c r="E18" i="27"/>
  <c r="I5" i="27"/>
  <c r="I7" i="27" s="1"/>
  <c r="G4" i="21" l="1"/>
  <c r="G5" i="19"/>
  <c r="F4" i="19" s="1"/>
  <c r="G4" i="19" s="1"/>
  <c r="G5" i="24"/>
  <c r="F4" i="24" s="1"/>
  <c r="G4" i="24" s="1"/>
  <c r="H4" i="19" l="1"/>
  <c r="G10" i="24"/>
  <c r="H4" i="24"/>
  <c r="H4" i="21"/>
  <c r="H5" i="19"/>
  <c r="H5" i="24"/>
  <c r="I4" i="19" l="1"/>
  <c r="I4" i="24"/>
  <c r="I5" i="24"/>
  <c r="I4" i="21"/>
  <c r="I5" i="19"/>
  <c r="G5" i="17"/>
  <c r="F4" i="17" s="1"/>
  <c r="G4" i="17" s="1"/>
  <c r="E19" i="19" l="1"/>
  <c r="E20" i="19" s="1"/>
  <c r="E20" i="24"/>
  <c r="E21" i="24" s="1"/>
  <c r="H4" i="17"/>
  <c r="H5" i="17"/>
  <c r="I5" i="17" s="1"/>
  <c r="I4" i="17" l="1"/>
  <c r="G6" i="5"/>
  <c r="G6" i="17"/>
  <c r="E22" i="17" l="1"/>
  <c r="H6" i="5"/>
  <c r="I6" i="5" l="1"/>
  <c r="H6" i="24" l="1"/>
  <c r="H10" i="24" s="1"/>
  <c r="I6" i="24" l="1"/>
  <c r="I10" i="24" s="1"/>
  <c r="G6" i="21"/>
  <c r="G5" i="21"/>
  <c r="G7" i="21" s="1"/>
  <c r="B6" i="21"/>
  <c r="G7" i="19"/>
  <c r="G6" i="19"/>
  <c r="G8" i="19" s="1"/>
  <c r="B7" i="19"/>
  <c r="H5" i="21" l="1"/>
  <c r="H7" i="21" s="1"/>
  <c r="H6" i="21"/>
  <c r="I6" i="21" s="1"/>
  <c r="H7" i="19"/>
  <c r="I7" i="19" s="1"/>
  <c r="H6" i="19"/>
  <c r="H8" i="19" s="1"/>
  <c r="I5" i="21" l="1"/>
  <c r="I7" i="21" s="1"/>
  <c r="I6" i="19"/>
  <c r="I8" i="19" s="1"/>
  <c r="G7" i="17" l="1"/>
  <c r="G9" i="17" s="1"/>
  <c r="H6" i="17" l="1"/>
  <c r="H7" i="17"/>
  <c r="I7" i="17" s="1"/>
  <c r="H9" i="17" l="1"/>
  <c r="I6" i="17"/>
  <c r="I9" i="17" s="1"/>
  <c r="G8" i="5" l="1"/>
  <c r="G9" i="5" s="1"/>
  <c r="H8" i="5" l="1"/>
  <c r="H9" i="5" s="1"/>
  <c r="I8" i="5" l="1"/>
  <c r="I9" i="5" s="1"/>
</calcChain>
</file>

<file path=xl/sharedStrings.xml><?xml version="1.0" encoding="utf-8"?>
<sst xmlns="http://schemas.openxmlformats.org/spreadsheetml/2006/main" count="325" uniqueCount="86">
  <si>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</si>
  <si>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</si>
  <si>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</si>
  <si>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</si>
  <si>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</si>
  <si>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</si>
  <si>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ДДС, 20%</t>
  </si>
  <si>
    <t>Стойност с ДДС</t>
  </si>
  <si>
    <t>Клиенти по аванси-Труд АД</t>
  </si>
  <si>
    <t>бр.</t>
  </si>
  <si>
    <t>MWh</t>
  </si>
  <si>
    <t>Пренос на природен газ</t>
  </si>
  <si>
    <t>Превишен капацитет</t>
  </si>
  <si>
    <t>Акциз за стопански нужди</t>
  </si>
  <si>
    <t>GJ</t>
  </si>
  <si>
    <t>ОБЩО</t>
  </si>
  <si>
    <t>лева с ДДС</t>
  </si>
  <si>
    <t>кредитно известие</t>
  </si>
  <si>
    <t>кредитно известие, без ДДС</t>
  </si>
  <si>
    <t>без ДДС</t>
  </si>
  <si>
    <t>Клиенти по аванси - ДП РВД</t>
  </si>
  <si>
    <t xml:space="preserve">Пренос на природен газ </t>
  </si>
  <si>
    <t>Кредитно известие обща стойност</t>
  </si>
  <si>
    <t>с ДДС</t>
  </si>
  <si>
    <t>кредитно известие за  природен газ</t>
  </si>
  <si>
    <t>кредитно известие за пренос и добавка 20% ДДС</t>
  </si>
  <si>
    <t>Договор № ПГ- 0106/Дг22/003/05.07.2021</t>
  </si>
  <si>
    <t>Дневен капацитет</t>
  </si>
  <si>
    <t>Капацитет в рамките на деня</t>
  </si>
  <si>
    <t>Договор № ПГ-0106/Дг22/020/07.02.2022</t>
  </si>
  <si>
    <t>Клиенти по аванси-БУЛТЕКС 1</t>
  </si>
  <si>
    <t>Договор № ПГ-0106/Дг22/012/30.09.2021</t>
  </si>
  <si>
    <t>Клиенти по аванси- БЕРУС</t>
  </si>
  <si>
    <t>Клиенти по аванси Доминекс</t>
  </si>
  <si>
    <t>Клиенти по аванси-"Русе Кемикълс" АД</t>
  </si>
  <si>
    <t>Клиенти по аванси Тенекс С</t>
  </si>
  <si>
    <t>Клиенти по аванси Декотекс</t>
  </si>
  <si>
    <t>Клиенти по аванси Алуком</t>
  </si>
  <si>
    <t>Клиенти по аванси Илинден</t>
  </si>
  <si>
    <t>Клиенти по аванси ф-ра 3000002713/12.03.2024</t>
  </si>
  <si>
    <t>Клиенти по аванси ф-ра 3000002732/21.03.2024</t>
  </si>
  <si>
    <t>Русе Кемикълс АД</t>
  </si>
  <si>
    <t>Труд АД</t>
  </si>
  <si>
    <t>БЕРУС</t>
  </si>
  <si>
    <t>БУЛТЕКС 1</t>
  </si>
  <si>
    <t>Доминекс про ЕООД</t>
  </si>
  <si>
    <t>ДП РВД</t>
  </si>
  <si>
    <t xml:space="preserve"> Тенекс С</t>
  </si>
  <si>
    <t>Декотекс АД</t>
  </si>
  <si>
    <t>ЕМИ</t>
  </si>
  <si>
    <t xml:space="preserve"> АЛУКОМ АД</t>
  </si>
  <si>
    <t>ИЛИНДЕН ЕООД</t>
  </si>
  <si>
    <t xml:space="preserve"> ВАПТЕХ ЕАД</t>
  </si>
  <si>
    <t>Клиенти по аванси ф-ра 3000002707/12.03.2024</t>
  </si>
  <si>
    <t>Клиенти по аванси ф-ра 3000002723/21.03.2024</t>
  </si>
  <si>
    <t>Клиенти по аванси ф-ра 3000002708/12.03.2024</t>
  </si>
  <si>
    <t>Клиенти по аванси ф-ра 3000002724/21.03.2024</t>
  </si>
  <si>
    <t>Клиенти по аванси ф-ра 3000002709/12.03.2024</t>
  </si>
  <si>
    <t>Клиенти по аванси ф-ра 3000002726/21.03.2024</t>
  </si>
  <si>
    <t>Клиенти по аванси ф-ра 3000002710/12.03.2024</t>
  </si>
  <si>
    <t>Клиенти по аванси ф-ра 3000002729/21.03.2024</t>
  </si>
  <si>
    <t>Клиенти по аванси ф-ра 3000002711/12.03.2024</t>
  </si>
  <si>
    <t>Клиенти по аванси ф-ра 3000002725/21.03.2024</t>
  </si>
  <si>
    <t>Клиенти по аванси ф-ра 3000002712/12.03.2024</t>
  </si>
  <si>
    <t>Клиенти по аванси ф-ра 3000002728/21.03.2024</t>
  </si>
  <si>
    <t>Клиенти по аванси ф-ра 3000002714/12.03.2024</t>
  </si>
  <si>
    <t>Клиенти по аванси ф-ра 3000002727/21.03.2024</t>
  </si>
  <si>
    <t>Клиенти по аванси ф-ра 3000002716/12.03.2024</t>
  </si>
  <si>
    <t>Клиенти по аванси ф-ра 3000002730/21.03.2024</t>
  </si>
  <si>
    <t>Клиенти по аванси ф-ра 3000002717/12.03.2024</t>
  </si>
  <si>
    <t>Клиенти по аванси ф-ра 3000002731/21.03.2024</t>
  </si>
  <si>
    <t>Доставен природен газ на "Русе Кемикълс" АД по линия C025P01 м. март 2024</t>
  </si>
  <si>
    <t>Доставен природен газ на Труд АД по линия C025P01 м. март 2024</t>
  </si>
  <si>
    <t>Доставен природен газ на БЕРУС по линия С067Р05  м. март 2024</t>
  </si>
  <si>
    <t>Доставен природен газ на БУЛТЕКС 1 по линия С025P01   м. март 2024</t>
  </si>
  <si>
    <t>Доставен природен газ на Доминекс про ЕООД по линия C025P01 м. март 2024</t>
  </si>
  <si>
    <t>Доставка на природен газ по линия C050P01 м. март 2024</t>
  </si>
  <si>
    <t>Търговска надбавка за доставка на природен газ м. март 2024</t>
  </si>
  <si>
    <t>Доставен природен газ на Тенекс С по линия C050P01-  м. март 2024</t>
  </si>
  <si>
    <t>Доставен природен газ на Декотекс АД по линия С067Р05 м. март 2024</t>
  </si>
  <si>
    <t>Доставен природен газ на ЕМИ по линия C062P01-  м. март 2024</t>
  </si>
  <si>
    <t>Доставен природен газ на АЛУКОМ АД по линия C041P03  м. март 2024</t>
  </si>
  <si>
    <t>Доставен природен газ на ИЛИНДЕН ЕООД   м. март 2024</t>
  </si>
  <si>
    <t>Доставен природен газ на ВАПТЕХ ЕАД по линия C041P03 м. март 2024</t>
  </si>
  <si>
    <t>Клиенти по аванси ф-ра 3000001732/25.07.2022</t>
  </si>
  <si>
    <t>Клиенти по аванси ф-ра 3000002062/21.12.2022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</si>
</sst>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0.0000"/>
    <numFmt numFmtId="166" formatCode="0.000"/>
    <numFmt numFmtId="167" formatCode="#,##0.000000"/>
  </numFmts>
  <fonts count="14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8"/>
      <color rgb="FF212529"/>
      <name val="Arial"/>
      <family val="2"/>
      <charset val="204"/>
    </font>
    <font>
      <sz val="12"/>
      <name val="Times New Roman"/>
      <family val="1"/>
      <charset val="204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indexed="8"/>
      <name val="Times New Roman"/>
      <family val="1"/>
    </font>
    <font>
      <sz val="8"/>
      <name val="Calibri"/>
      <family val="2"/>
      <charset val="204"/>
      <scheme val="minor"/>
    </font>
    <font>
      <b/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4" fontId="1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center" vertical="center"/>
    </xf>
    <xf numFmtId="4" fontId="2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165" fontId="2" fillId="3" borderId="1" xfId="0" applyNumberFormat="1" applyFont="1" applyFill="1" applyBorder="1" applyAlignment="1">
      <alignment horizontal="center" vertical="center"/>
    </xf>
    <xf numFmtId="166" fontId="3" fillId="0" borderId="0" xfId="0" applyNumberFormat="1" applyFont="1"/>
    <xf numFmtId="0" fontId="4" fillId="4" borderId="0" xfId="0" applyFont="1" applyFill="1"/>
    <xf numFmtId="0" fontId="5" fillId="0" borderId="0" xfId="0" applyFont="1"/>
    <xf numFmtId="0" fontId="6" fillId="3" borderId="1" xfId="0" applyFont="1" applyFill="1" applyBorder="1" applyAlignment="1">
      <alignment horizontal="left" wrapText="1"/>
    </xf>
    <xf numFmtId="4" fontId="0" fillId="0" borderId="0" xfId="0" applyNumberFormat="1"/>
    <xf numFmtId="0" fontId="6" fillId="0" borderId="1" xfId="0" applyFont="1" applyBorder="1" applyAlignment="1">
      <alignment horizontal="left" wrapText="1"/>
    </xf>
    <xf numFmtId="4" fontId="2" fillId="0" borderId="1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wrapText="1"/>
    </xf>
    <xf numFmtId="164" fontId="2" fillId="3" borderId="3" xfId="0" applyNumberFormat="1" applyFont="1" applyFill="1" applyBorder="1" applyAlignment="1">
      <alignment horizontal="center" vertical="center"/>
    </xf>
    <xf numFmtId="4" fontId="2" fillId="3" borderId="3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164" fontId="2" fillId="3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6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3" borderId="0" xfId="0" applyFont="1" applyFill="1"/>
    <xf numFmtId="0" fontId="8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8" fillId="0" borderId="0" xfId="0" applyFont="1"/>
    <xf numFmtId="4" fontId="8" fillId="0" borderId="0" xfId="0" applyNumberFormat="1" applyFont="1"/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wrapText="1"/>
    </xf>
    <xf numFmtId="164" fontId="8" fillId="3" borderId="1" xfId="0" applyNumberFormat="1" applyFont="1" applyFill="1" applyBorder="1" applyAlignment="1">
      <alignment horizontal="center" vertical="center"/>
    </xf>
    <xf numFmtId="4" fontId="8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wrapText="1"/>
    </xf>
    <xf numFmtId="164" fontId="8" fillId="3" borderId="0" xfId="0" applyNumberFormat="1" applyFont="1" applyFill="1" applyAlignment="1">
      <alignment horizontal="center" vertical="center"/>
    </xf>
    <xf numFmtId="0" fontId="7" fillId="0" borderId="1" xfId="0" applyFont="1" applyBorder="1"/>
    <xf numFmtId="4" fontId="7" fillId="0" borderId="1" xfId="0" applyNumberFormat="1" applyFont="1" applyBorder="1"/>
    <xf numFmtId="2" fontId="8" fillId="3" borderId="0" xfId="0" applyNumberFormat="1" applyFont="1" applyFill="1" applyAlignment="1">
      <alignment horizontal="center" vertical="center"/>
    </xf>
    <xf numFmtId="4" fontId="8" fillId="3" borderId="0" xfId="0" applyNumberFormat="1" applyFont="1" applyFill="1" applyAlignment="1">
      <alignment horizontal="center" vertical="center"/>
    </xf>
    <xf numFmtId="0" fontId="8" fillId="3" borderId="3" xfId="0" applyFont="1" applyFill="1" applyBorder="1" applyAlignment="1">
      <alignment horizontal="left" wrapText="1"/>
    </xf>
    <xf numFmtId="164" fontId="8" fillId="3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165" fontId="8" fillId="0" borderId="3" xfId="0" applyNumberFormat="1" applyFont="1" applyBorder="1" applyAlignment="1">
      <alignment horizontal="center" vertical="center"/>
    </xf>
    <xf numFmtId="4" fontId="8" fillId="3" borderId="3" xfId="0" applyNumberFormat="1" applyFont="1" applyFill="1" applyBorder="1" applyAlignment="1">
      <alignment horizontal="center" vertical="center"/>
    </xf>
    <xf numFmtId="0" fontId="7" fillId="3" borderId="0" xfId="0" applyFont="1" applyFill="1"/>
    <xf numFmtId="4" fontId="7" fillId="3" borderId="0" xfId="0" applyNumberFormat="1" applyFont="1" applyFill="1"/>
    <xf numFmtId="4" fontId="8" fillId="3" borderId="0" xfId="0" applyNumberFormat="1" applyFont="1" applyFill="1"/>
    <xf numFmtId="2" fontId="8" fillId="0" borderId="0" xfId="0" applyNumberFormat="1" applyFont="1"/>
    <xf numFmtId="0" fontId="7" fillId="0" borderId="0" xfId="0" applyFont="1"/>
    <xf numFmtId="0" fontId="8" fillId="3" borderId="3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0" xfId="0" applyNumberFormat="1" applyFont="1"/>
    <xf numFmtId="0" fontId="8" fillId="3" borderId="2" xfId="0" applyFont="1" applyFill="1" applyBorder="1" applyAlignment="1">
      <alignment horizontal="left" wrapText="1"/>
    </xf>
    <xf numFmtId="2" fontId="2" fillId="0" borderId="1" xfId="0" applyNumberFormat="1" applyFont="1" applyBorder="1" applyAlignment="1">
      <alignment horizontal="center" vertical="center"/>
    </xf>
    <xf numFmtId="165" fontId="2" fillId="3" borderId="3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4" fontId="1" fillId="3" borderId="0" xfId="0" applyNumberFormat="1" applyFont="1" applyFill="1"/>
    <xf numFmtId="0" fontId="1" fillId="3" borderId="0" xfId="0" applyFont="1" applyFill="1"/>
    <xf numFmtId="4" fontId="0" fillId="3" borderId="0" xfId="0" applyNumberFormat="1" applyFill="1"/>
    <xf numFmtId="164" fontId="0" fillId="0" borderId="0" xfId="0" applyNumberFormat="1"/>
    <xf numFmtId="4" fontId="3" fillId="0" borderId="0" xfId="0" applyNumberFormat="1" applyFont="1"/>
    <xf numFmtId="167" fontId="2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9" fillId="3" borderId="0" xfId="0" applyFont="1" applyFill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wrapText="1"/>
    </xf>
    <xf numFmtId="164" fontId="9" fillId="3" borderId="1" xfId="0" applyNumberFormat="1" applyFont="1" applyFill="1" applyBorder="1" applyAlignment="1">
      <alignment horizontal="center" vertical="center"/>
    </xf>
    <xf numFmtId="4" fontId="9" fillId="3" borderId="1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left" wrapText="1"/>
    </xf>
    <xf numFmtId="164" fontId="9" fillId="3" borderId="3" xfId="0" applyNumberFormat="1" applyFont="1" applyFill="1" applyBorder="1" applyAlignment="1">
      <alignment horizontal="center" vertical="center"/>
    </xf>
    <xf numFmtId="4" fontId="9" fillId="3" borderId="3" xfId="0" applyNumberFormat="1" applyFont="1" applyFill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0" fontId="10" fillId="0" borderId="1" xfId="0" applyFont="1" applyBorder="1"/>
    <xf numFmtId="4" fontId="10" fillId="0" borderId="1" xfId="0" applyNumberFormat="1" applyFont="1" applyBorder="1"/>
    <xf numFmtId="0" fontId="11" fillId="4" borderId="0" xfId="0" applyFont="1" applyFill="1"/>
    <xf numFmtId="4" fontId="9" fillId="3" borderId="1" xfId="0" applyNumberFormat="1" applyFont="1" applyFill="1" applyBorder="1" applyAlignment="1" applyProtection="1">
      <alignment horizontal="center"/>
      <protection locked="0"/>
    </xf>
    <xf numFmtId="165" fontId="9" fillId="3" borderId="3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4" fontId="3" fillId="3" borderId="0" xfId="0" applyNumberFormat="1" applyFont="1" applyFill="1"/>
    <xf numFmtId="4" fontId="9" fillId="0" borderId="0" xfId="0" applyNumberFormat="1" applyFont="1"/>
    <xf numFmtId="4" fontId="10" fillId="3" borderId="1" xfId="0" applyNumberFormat="1" applyFont="1" applyFill="1" applyBorder="1"/>
    <xf numFmtId="2" fontId="7" fillId="3" borderId="0" xfId="0" applyNumberFormat="1" applyFont="1" applyFill="1"/>
    <xf numFmtId="4" fontId="1" fillId="3" borderId="1" xfId="0" applyNumberFormat="1" applyFont="1" applyFill="1" applyBorder="1"/>
    <xf numFmtId="4" fontId="10" fillId="3" borderId="0" xfId="0" applyNumberFormat="1" applyFont="1" applyFill="1"/>
    <xf numFmtId="0" fontId="1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591E9-BBA6-4663-BA7E-9F3811E5008E}">
  <dimension ref="B1:K21"/>
  <sheetViews>
    <sheetView topLeftCell="B1" zoomScaleNormal="100" workbookViewId="0">
      <selection activeCell="I17" sqref="I17"/>
    </sheetView>
  </sheetViews>
  <sheetFormatPr defaultColWidth="8.85546875" defaultRowHeight="15" x14ac:dyDescent="0.25"/>
  <cols>
    <col min="1" max="1" width="8.85546875" style="47"/>
    <col min="2" max="2" width="9.140625" style="47" bestFit="1" customWidth="1"/>
    <col min="3" max="3" width="34.42578125" style="47" customWidth="1"/>
    <col min="4" max="4" width="7.140625" style="47" bestFit="1" customWidth="1"/>
    <col min="5" max="5" width="14.42578125" style="47" customWidth="1"/>
    <col min="6" max="6" width="15.7109375" style="47" customWidth="1"/>
    <col min="7" max="7" width="12.28515625" style="47" customWidth="1"/>
    <col min="8" max="8" width="10.7109375" style="47" customWidth="1"/>
    <col min="9" max="9" width="11.7109375" style="47" bestFit="1" customWidth="1"/>
    <col min="10" max="10" width="8.85546875" style="47"/>
    <col min="11" max="11" width="9.85546875" style="47" bestFit="1" customWidth="1"/>
    <col min="12" max="16384" width="8.85546875" style="47"/>
  </cols>
  <sheetData>
    <row r="1" spans="2:11" x14ac:dyDescent="0.25">
      <c r="C1" s="47" t="s">
        <v>41</v>
      </c>
    </row>
    <row r="2" spans="2:11" s="43" customFormat="1" ht="28.5" x14ac:dyDescent="0.25">
      <c r="B2" s="41" t="s">
        <v>0</v>
      </c>
      <c r="C2" s="41" t="s">
        <v>1</v>
      </c>
      <c r="D2" s="41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</row>
    <row r="3" spans="2:11" ht="30" x14ac:dyDescent="0.25">
      <c r="B3" s="44">
        <v>1</v>
      </c>
      <c r="C3" s="75" t="s">
        <v>34</v>
      </c>
      <c r="D3" s="49" t="s">
        <v>9</v>
      </c>
      <c r="E3" s="51">
        <v>-1</v>
      </c>
      <c r="F3" s="46">
        <f>+G4</f>
        <v>4921.4021700000012</v>
      </c>
      <c r="G3" s="52">
        <f>E3*F3</f>
        <v>-4921.4021700000012</v>
      </c>
      <c r="H3" s="52">
        <f>G3*0.2</f>
        <v>-984.28043400000024</v>
      </c>
      <c r="I3" s="52">
        <f>G3+H3</f>
        <v>-5905.6826040000014</v>
      </c>
      <c r="K3" s="48"/>
    </row>
    <row r="4" spans="2:11" s="43" customFormat="1" ht="45" x14ac:dyDescent="0.25">
      <c r="B4" s="49">
        <f>+B3+1</f>
        <v>2</v>
      </c>
      <c r="C4" s="50" t="s">
        <v>71</v>
      </c>
      <c r="D4" s="49" t="s">
        <v>10</v>
      </c>
      <c r="E4" s="51">
        <v>89.823000000000022</v>
      </c>
      <c r="F4" s="78">
        <v>54.79</v>
      </c>
      <c r="G4" s="52">
        <f>E4*F4</f>
        <v>4921.4021700000012</v>
      </c>
      <c r="H4" s="52">
        <f>G4*0.2</f>
        <v>984.28043400000024</v>
      </c>
      <c r="I4" s="52">
        <f>G4+H4</f>
        <v>5905.6826040000014</v>
      </c>
    </row>
    <row r="5" spans="2:11" s="43" customFormat="1" ht="15.75" x14ac:dyDescent="0.25">
      <c r="B5" s="49">
        <f>+B4+1</f>
        <v>3</v>
      </c>
      <c r="C5" s="50" t="s">
        <v>11</v>
      </c>
      <c r="D5" s="49" t="s">
        <v>10</v>
      </c>
      <c r="E5" s="51">
        <f>E4</f>
        <v>89.823000000000022</v>
      </c>
      <c r="F5" s="77">
        <v>0.52290000000000003</v>
      </c>
      <c r="G5" s="52">
        <f>E5*F5</f>
        <v>46.968446700000015</v>
      </c>
      <c r="H5" s="52">
        <f t="shared" ref="H5:H6" si="0">G5*0.2</f>
        <v>9.3936893400000034</v>
      </c>
      <c r="I5" s="52">
        <f t="shared" ref="I5:I6" si="1">G5+H5</f>
        <v>56.362136040000017</v>
      </c>
    </row>
    <row r="6" spans="2:11" x14ac:dyDescent="0.25">
      <c r="B6" s="49">
        <f>+B5+1</f>
        <v>4</v>
      </c>
      <c r="C6" s="62" t="s">
        <v>13</v>
      </c>
      <c r="D6" s="63" t="s">
        <v>14</v>
      </c>
      <c r="E6" s="64"/>
      <c r="F6" s="65"/>
      <c r="G6" s="66">
        <f t="shared" ref="G6" si="2">E6*F6</f>
        <v>0</v>
      </c>
      <c r="H6" s="66">
        <f t="shared" si="0"/>
        <v>0</v>
      </c>
      <c r="I6" s="66">
        <f t="shared" si="1"/>
        <v>0</v>
      </c>
    </row>
    <row r="7" spans="2:11" x14ac:dyDescent="0.25">
      <c r="F7" s="56" t="s">
        <v>15</v>
      </c>
      <c r="G7" s="57">
        <f>SUM(G3:G6)</f>
        <v>46.968446700000015</v>
      </c>
      <c r="H7" s="57">
        <f t="shared" ref="H7:I7" si="3">SUM(H3:H6)</f>
        <v>9.3936893400000034</v>
      </c>
      <c r="I7" s="57">
        <f t="shared" si="3"/>
        <v>56.362136040000017</v>
      </c>
    </row>
    <row r="12" spans="2:11" ht="13.9" x14ac:dyDescent="0.25">
      <c r="F12" s="48"/>
    </row>
    <row r="14" spans="2:11" s="43" customFormat="1" ht="15.75" x14ac:dyDescent="0.25">
      <c r="B14" s="43" t="s">
        <v>53</v>
      </c>
      <c r="E14" s="111">
        <v>3773.3999999999996</v>
      </c>
      <c r="F14" s="67" t="s">
        <v>16</v>
      </c>
    </row>
    <row r="15" spans="2:11" s="43" customFormat="1" ht="15.75" x14ac:dyDescent="0.25">
      <c r="B15" s="43" t="s">
        <v>54</v>
      </c>
      <c r="E15" s="111">
        <v>3773.3999999999996</v>
      </c>
      <c r="F15" s="67" t="s">
        <v>16</v>
      </c>
    </row>
    <row r="16" spans="2:11" s="43" customFormat="1" ht="13.9" x14ac:dyDescent="0.25">
      <c r="E16" s="68"/>
      <c r="F16" s="67"/>
    </row>
    <row r="17" spans="3:8" s="43" customFormat="1" x14ac:dyDescent="0.25">
      <c r="C17" s="43" t="s">
        <v>17</v>
      </c>
      <c r="E17" s="68">
        <f>E14+E15+I3-281.98*1.2</f>
        <v>1302.7413959999978</v>
      </c>
      <c r="F17" s="67" t="s">
        <v>16</v>
      </c>
      <c r="H17" s="69"/>
    </row>
    <row r="18" spans="3:8" s="43" customFormat="1" x14ac:dyDescent="0.25">
      <c r="C18" s="43" t="s">
        <v>18</v>
      </c>
      <c r="E18" s="110">
        <f>+E17/1.2</f>
        <v>1085.6178299999983</v>
      </c>
      <c r="F18" s="67" t="s">
        <v>19</v>
      </c>
      <c r="G18" s="69"/>
    </row>
    <row r="19" spans="3:8" ht="13.9" x14ac:dyDescent="0.25">
      <c r="E19" s="70"/>
    </row>
    <row r="21" spans="3:8" x14ac:dyDescent="0.25">
      <c r="E21" s="4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22E19-1368-4B69-AFC6-4DA19C513047}">
  <dimension ref="B2:I20"/>
  <sheetViews>
    <sheetView workbookViewId="0">
      <selection activeCell="F5" sqref="F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37"/>
      <c r="C2" s="38" t="s">
        <v>50</v>
      </c>
      <c r="D2" s="37"/>
      <c r="E2" s="39"/>
      <c r="F2" s="35"/>
      <c r="G2" s="40"/>
      <c r="H2" s="40"/>
      <c r="I2" s="40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43" customFormat="1" x14ac:dyDescent="0.25">
      <c r="B4" s="13">
        <v>1</v>
      </c>
      <c r="C4" s="14" t="s">
        <v>37</v>
      </c>
      <c r="D4" s="13" t="s">
        <v>9</v>
      </c>
      <c r="E4" s="6">
        <v>-1</v>
      </c>
      <c r="F4" s="25">
        <f>+G5</f>
        <v>1591.6495000000002</v>
      </c>
      <c r="G4" s="16">
        <f>E4*F4</f>
        <v>-1591.6495000000002</v>
      </c>
      <c r="H4" s="16">
        <f>G4*0.2</f>
        <v>-318.32990000000007</v>
      </c>
      <c r="I4" s="16">
        <f>G4+H4</f>
        <v>-1909.9794000000002</v>
      </c>
    </row>
    <row r="5" spans="2:9" s="12" customFormat="1" ht="47.25" x14ac:dyDescent="0.25">
      <c r="B5" s="4">
        <v>1</v>
      </c>
      <c r="C5" s="24" t="s">
        <v>81</v>
      </c>
      <c r="D5" s="4" t="s">
        <v>10</v>
      </c>
      <c r="E5" s="6">
        <v>29.050000000000004</v>
      </c>
      <c r="F5" s="76">
        <v>54.79</v>
      </c>
      <c r="G5" s="25">
        <f t="shared" ref="G5" si="0">E5*F5</f>
        <v>1591.6495000000002</v>
      </c>
      <c r="H5" s="25">
        <f>G5*0.2</f>
        <v>318.32990000000007</v>
      </c>
      <c r="I5" s="25">
        <f>G5+H5</f>
        <v>1909.9794000000002</v>
      </c>
    </row>
    <row r="6" spans="2:9" s="12" customFormat="1" x14ac:dyDescent="0.25">
      <c r="B6" s="4">
        <v>1</v>
      </c>
      <c r="C6" s="5" t="s">
        <v>11</v>
      </c>
      <c r="D6" s="4" t="s">
        <v>10</v>
      </c>
      <c r="E6" s="6">
        <f>E5</f>
        <v>29.050000000000004</v>
      </c>
      <c r="F6" s="18">
        <v>1.0194000000000001</v>
      </c>
      <c r="G6" s="25">
        <f t="shared" ref="G6:G7" si="1">E6*F6</f>
        <v>29.613570000000006</v>
      </c>
      <c r="H6" s="25">
        <f t="shared" ref="H6:H7" si="2">G6*0.2</f>
        <v>5.9227140000000018</v>
      </c>
      <c r="I6" s="25">
        <f t="shared" ref="I6:I7" si="3">G6+H6</f>
        <v>35.536284000000009</v>
      </c>
    </row>
    <row r="7" spans="2:9" x14ac:dyDescent="0.25">
      <c r="B7" s="4">
        <f t="shared" ref="B7" si="4">+B6+1</f>
        <v>2</v>
      </c>
      <c r="C7" s="5" t="s">
        <v>13</v>
      </c>
      <c r="D7" s="4" t="s">
        <v>14</v>
      </c>
      <c r="E7" s="6"/>
      <c r="F7" s="11"/>
      <c r="G7" s="25">
        <f t="shared" si="1"/>
        <v>0</v>
      </c>
      <c r="H7" s="25">
        <f t="shared" si="2"/>
        <v>0</v>
      </c>
      <c r="I7" s="25">
        <f t="shared" si="3"/>
        <v>0</v>
      </c>
    </row>
    <row r="8" spans="2:9" x14ac:dyDescent="0.25">
      <c r="F8" s="8" t="s">
        <v>15</v>
      </c>
      <c r="G8" s="80">
        <f>SUM(G4:G7)</f>
        <v>29.613570000000006</v>
      </c>
      <c r="H8" s="80">
        <f t="shared" ref="H8:I8" si="5">SUM(H4:H7)</f>
        <v>5.9227140000000018</v>
      </c>
      <c r="I8" s="80">
        <f t="shared" si="5"/>
        <v>35.536284000000009</v>
      </c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7"/>
      <c r="E11" s="10"/>
    </row>
    <row r="12" spans="2:9" x14ac:dyDescent="0.25">
      <c r="C12" s="3" t="s">
        <v>31</v>
      </c>
    </row>
    <row r="16" spans="2:9" s="47" customFormat="1" x14ac:dyDescent="0.25">
      <c r="B16" s="43" t="s">
        <v>67</v>
      </c>
      <c r="C16" s="89"/>
      <c r="D16" s="89"/>
      <c r="E16" s="109">
        <v>1381.7160000000001</v>
      </c>
      <c r="F16" s="113" t="s">
        <v>16</v>
      </c>
    </row>
    <row r="17" spans="2:6" s="47" customFormat="1" x14ac:dyDescent="0.25">
      <c r="B17" s="43" t="s">
        <v>68</v>
      </c>
      <c r="C17" s="43"/>
      <c r="D17" s="43"/>
      <c r="E17" s="109">
        <v>1381.7160000000001</v>
      </c>
      <c r="F17" s="113" t="s">
        <v>16</v>
      </c>
    </row>
    <row r="18" spans="2:6" s="47" customFormat="1" x14ac:dyDescent="0.25">
      <c r="B18" s="43"/>
      <c r="C18" s="43"/>
      <c r="D18" s="43"/>
      <c r="E18" s="112"/>
      <c r="F18" s="113"/>
    </row>
    <row r="19" spans="2:6" s="47" customFormat="1" ht="15" x14ac:dyDescent="0.25">
      <c r="B19" s="43"/>
      <c r="C19" s="43" t="s">
        <v>17</v>
      </c>
      <c r="D19" s="43"/>
      <c r="E19" s="68">
        <f>E17+I4+E16</f>
        <v>853.45260000000007</v>
      </c>
      <c r="F19" s="113" t="s">
        <v>16</v>
      </c>
    </row>
    <row r="20" spans="2:6" s="47" customFormat="1" ht="15" x14ac:dyDescent="0.25">
      <c r="B20" s="43"/>
      <c r="C20" s="43" t="s">
        <v>17</v>
      </c>
      <c r="D20" s="43"/>
      <c r="E20" s="68">
        <f>+E19/1.2</f>
        <v>711.21050000000014</v>
      </c>
      <c r="F20" s="113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54FCB-A276-4F29-B0A7-F2B9438BED42}">
  <dimension ref="A2:I20"/>
  <sheetViews>
    <sheetView topLeftCell="B1" workbookViewId="0">
      <selection activeCell="G22" sqref="G22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1:9" s="12" customFormat="1" x14ac:dyDescent="0.25">
      <c r="B2" s="37"/>
      <c r="C2" s="38" t="s">
        <v>51</v>
      </c>
      <c r="D2" s="37"/>
      <c r="E2" s="39"/>
      <c r="F2" s="35"/>
      <c r="G2" s="40"/>
      <c r="H2" s="40"/>
      <c r="I2" s="40"/>
    </row>
    <row r="3" spans="1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1:9" s="43" customFormat="1" x14ac:dyDescent="0.25">
      <c r="B4" s="13">
        <v>1</v>
      </c>
      <c r="C4" s="14" t="s">
        <v>38</v>
      </c>
      <c r="D4" s="13" t="s">
        <v>9</v>
      </c>
      <c r="E4" s="6">
        <v>-1</v>
      </c>
      <c r="F4" s="25">
        <v>548.29999999999995</v>
      </c>
      <c r="G4" s="16">
        <f>E4*F4</f>
        <v>-548.29999999999995</v>
      </c>
      <c r="H4" s="16">
        <f>G4*0.2</f>
        <v>-109.66</v>
      </c>
      <c r="I4" s="16">
        <f>G4+H4</f>
        <v>-657.95999999999992</v>
      </c>
    </row>
    <row r="5" spans="1:9" s="12" customFormat="1" ht="31.5" x14ac:dyDescent="0.25">
      <c r="B5" s="4">
        <v>1</v>
      </c>
      <c r="C5" s="24" t="s">
        <v>82</v>
      </c>
      <c r="D5" s="4" t="s">
        <v>10</v>
      </c>
      <c r="E5" s="6">
        <v>16.379000000000001</v>
      </c>
      <c r="F5" s="76">
        <v>54.79</v>
      </c>
      <c r="G5" s="25">
        <f t="shared" ref="G5:G7" si="0">E5*F5</f>
        <v>897.40541000000007</v>
      </c>
      <c r="H5" s="25">
        <f>G5*0.2</f>
        <v>179.48108200000001</v>
      </c>
      <c r="I5" s="25">
        <f>G5+H5</f>
        <v>1076.8864920000001</v>
      </c>
    </row>
    <row r="6" spans="1:9" x14ac:dyDescent="0.25">
      <c r="A6" s="12"/>
      <c r="B6" s="4">
        <v>1</v>
      </c>
      <c r="C6" s="5" t="s">
        <v>11</v>
      </c>
      <c r="D6" s="4" t="s">
        <v>10</v>
      </c>
      <c r="E6" s="6">
        <f>E5</f>
        <v>16.379000000000001</v>
      </c>
      <c r="F6" s="18">
        <v>1.0194000000000001</v>
      </c>
      <c r="G6" s="25">
        <f t="shared" si="0"/>
        <v>16.696752600000003</v>
      </c>
      <c r="H6" s="25">
        <f t="shared" ref="H6:H7" si="1">G6*0.2</f>
        <v>3.3393505200000009</v>
      </c>
      <c r="I6" s="25">
        <f t="shared" ref="I6:I7" si="2">G6+H6</f>
        <v>20.036103120000003</v>
      </c>
    </row>
    <row r="7" spans="1:9" x14ac:dyDescent="0.25">
      <c r="B7" s="4">
        <f t="shared" ref="B7" si="3">+B6+1</f>
        <v>2</v>
      </c>
      <c r="C7" s="5" t="s">
        <v>13</v>
      </c>
      <c r="D7" s="4" t="s">
        <v>14</v>
      </c>
      <c r="E7" s="6"/>
      <c r="F7" s="11"/>
      <c r="G7" s="25">
        <f t="shared" si="0"/>
        <v>0</v>
      </c>
      <c r="H7" s="25">
        <f t="shared" si="1"/>
        <v>0</v>
      </c>
      <c r="I7" s="25">
        <f t="shared" si="2"/>
        <v>0</v>
      </c>
    </row>
    <row r="8" spans="1:9" x14ac:dyDescent="0.25">
      <c r="F8" s="8" t="s">
        <v>15</v>
      </c>
      <c r="G8" s="80">
        <f>SUM(G4:G7)</f>
        <v>365.80216260000014</v>
      </c>
      <c r="H8" s="80">
        <f t="shared" ref="H8:I8" si="4">SUM(H4:H7)</f>
        <v>73.160432520000015</v>
      </c>
      <c r="I8" s="80">
        <f t="shared" si="4"/>
        <v>438.96259512000017</v>
      </c>
    </row>
    <row r="9" spans="1:9" x14ac:dyDescent="0.25">
      <c r="C9" s="7"/>
      <c r="E9" s="10"/>
    </row>
    <row r="10" spans="1:9" x14ac:dyDescent="0.25">
      <c r="C10" s="7"/>
      <c r="E10" s="10"/>
    </row>
    <row r="11" spans="1:9" x14ac:dyDescent="0.25">
      <c r="C11" s="7"/>
      <c r="E11" s="10"/>
    </row>
    <row r="16" spans="1:9" s="47" customFormat="1" x14ac:dyDescent="0.25">
      <c r="B16" s="43" t="s">
        <v>69</v>
      </c>
      <c r="C16" s="89"/>
      <c r="D16" s="89"/>
      <c r="E16" s="109">
        <v>328.97999999999996</v>
      </c>
      <c r="F16" s="113" t="s">
        <v>16</v>
      </c>
      <c r="G16" s="48"/>
    </row>
    <row r="17" spans="2:6" s="47" customFormat="1" x14ac:dyDescent="0.25">
      <c r="B17" s="43" t="s">
        <v>70</v>
      </c>
      <c r="C17" s="43"/>
      <c r="D17" s="43"/>
      <c r="E17" s="109">
        <v>328.97999999999996</v>
      </c>
      <c r="F17" s="113" t="s">
        <v>16</v>
      </c>
    </row>
    <row r="18" spans="2:6" s="47" customFormat="1" x14ac:dyDescent="0.25">
      <c r="B18" s="43"/>
      <c r="C18" s="43"/>
      <c r="D18" s="43"/>
      <c r="E18" s="112"/>
      <c r="F18" s="113"/>
    </row>
    <row r="19" spans="2:6" s="47" customFormat="1" ht="15" x14ac:dyDescent="0.25">
      <c r="B19" s="43"/>
      <c r="C19" s="43" t="s">
        <v>17</v>
      </c>
      <c r="D19" s="43"/>
      <c r="E19" s="68">
        <v>0</v>
      </c>
      <c r="F19" s="113" t="s">
        <v>16</v>
      </c>
    </row>
    <row r="20" spans="2:6" s="47" customFormat="1" ht="15" x14ac:dyDescent="0.25">
      <c r="B20" s="43"/>
      <c r="C20" s="43" t="s">
        <v>17</v>
      </c>
      <c r="D20" s="43"/>
      <c r="E20" s="68">
        <f>+E19/1.2</f>
        <v>0</v>
      </c>
      <c r="F20" s="113" t="s">
        <v>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E379-FDD3-41FC-B807-A85BAE499A5C}">
  <sheetPr>
    <tabColor theme="0" tint="-0.14999847407452621"/>
  </sheetPr>
  <dimension ref="B2:I15"/>
  <sheetViews>
    <sheetView workbookViewId="0">
      <selection activeCell="C25" sqref="C2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3.140625" style="3" bestFit="1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s="12" customFormat="1" x14ac:dyDescent="0.25">
      <c r="B2" s="30"/>
      <c r="C2" s="36" t="s">
        <v>52</v>
      </c>
      <c r="D2" s="30"/>
      <c r="E2" s="32"/>
      <c r="F2" s="33"/>
      <c r="G2" s="34"/>
      <c r="H2" s="34"/>
      <c r="I2" s="34"/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12" customFormat="1" ht="47.25" x14ac:dyDescent="0.25">
      <c r="B4" s="13">
        <v>1</v>
      </c>
      <c r="C4" s="22" t="s">
        <v>83</v>
      </c>
      <c r="D4" s="13" t="s">
        <v>10</v>
      </c>
      <c r="E4" s="79">
        <v>9.57</v>
      </c>
      <c r="F4" s="76">
        <v>54.79</v>
      </c>
      <c r="G4" s="16">
        <f t="shared" ref="G4" si="0">E4*F4</f>
        <v>524.34029999999996</v>
      </c>
      <c r="H4" s="16">
        <f>G4*0.2</f>
        <v>104.86806</v>
      </c>
      <c r="I4" s="16">
        <f t="shared" ref="I4" si="1">G4+H4</f>
        <v>629.20835999999997</v>
      </c>
    </row>
    <row r="5" spans="2:9" s="12" customFormat="1" x14ac:dyDescent="0.25">
      <c r="B5" s="26">
        <v>1</v>
      </c>
      <c r="C5" s="27" t="s">
        <v>11</v>
      </c>
      <c r="D5" s="26" t="s">
        <v>10</v>
      </c>
      <c r="E5" s="28">
        <f>E4</f>
        <v>9.57</v>
      </c>
      <c r="F5" s="18">
        <v>0.52290000000000003</v>
      </c>
      <c r="G5" s="29">
        <f t="shared" ref="G5:G6" si="2">E5*F5</f>
        <v>5.0041530000000005</v>
      </c>
      <c r="H5" s="29">
        <f t="shared" ref="H5:H6" si="3">G5*0.2</f>
        <v>1.0008306000000002</v>
      </c>
      <c r="I5" s="29">
        <f t="shared" ref="I5:I6" si="4">G5+H5</f>
        <v>6.004983600000001</v>
      </c>
    </row>
    <row r="6" spans="2:9" x14ac:dyDescent="0.25">
      <c r="B6" s="13">
        <f t="shared" ref="B6" si="5">+B5+1</f>
        <v>2</v>
      </c>
      <c r="C6" s="5" t="s">
        <v>13</v>
      </c>
      <c r="D6" s="4" t="s">
        <v>14</v>
      </c>
      <c r="E6" s="6"/>
      <c r="F6" s="11"/>
      <c r="G6" s="16">
        <f t="shared" si="2"/>
        <v>0</v>
      </c>
      <c r="H6" s="16">
        <f t="shared" si="3"/>
        <v>0</v>
      </c>
      <c r="I6" s="16">
        <f t="shared" si="4"/>
        <v>0</v>
      </c>
    </row>
    <row r="7" spans="2:9" x14ac:dyDescent="0.25">
      <c r="F7" s="8" t="s">
        <v>15</v>
      </c>
      <c r="G7" s="9">
        <f>SUM(G4:G6)</f>
        <v>529.34445299999993</v>
      </c>
      <c r="H7" s="9">
        <f t="shared" ref="H7:I7" si="6">SUM(H4:H6)</f>
        <v>105.8688906</v>
      </c>
      <c r="I7" s="9">
        <f t="shared" si="6"/>
        <v>635.21334359999992</v>
      </c>
    </row>
    <row r="8" spans="2:9" x14ac:dyDescent="0.25">
      <c r="C8" s="7"/>
      <c r="E8" s="10"/>
    </row>
    <row r="9" spans="2:9" x14ac:dyDescent="0.25">
      <c r="C9" s="7"/>
      <c r="E9" s="10"/>
    </row>
    <row r="10" spans="2:9" x14ac:dyDescent="0.25">
      <c r="C10" s="7"/>
      <c r="E10" s="10"/>
    </row>
    <row r="11" spans="2:9" x14ac:dyDescent="0.25">
      <c r="C11" s="12"/>
    </row>
    <row r="14" spans="2:9" s="12" customFormat="1" x14ac:dyDescent="0.25">
      <c r="B14" s="43"/>
      <c r="C14" s="43"/>
      <c r="D14" s="43"/>
      <c r="E14" s="68"/>
      <c r="F14" s="68"/>
    </row>
    <row r="15" spans="2:9" s="12" customFormat="1" x14ac:dyDescent="0.25">
      <c r="B15" s="43"/>
      <c r="C15" s="43"/>
      <c r="D15" s="43"/>
      <c r="E15" s="68"/>
      <c r="F15" s="6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5F8F-C9EF-4D95-8A2E-675324A328F4}">
  <dimension ref="B1:K20"/>
  <sheetViews>
    <sheetView topLeftCell="B1" zoomScaleNormal="100" workbookViewId="0">
      <selection activeCell="B6" sqref="B6:I6"/>
    </sheetView>
  </sheetViews>
  <sheetFormatPr defaultColWidth="8.85546875" defaultRowHeight="15" x14ac:dyDescent="0.25"/>
  <cols>
    <col min="1" max="1" width="8.85546875" style="47"/>
    <col min="2" max="2" width="9.140625" style="47" bestFit="1" customWidth="1"/>
    <col min="3" max="3" width="34.42578125" style="47" customWidth="1"/>
    <col min="4" max="4" width="7.140625" style="47" bestFit="1" customWidth="1"/>
    <col min="5" max="5" width="14.42578125" style="47" customWidth="1"/>
    <col min="6" max="6" width="15.7109375" style="47" customWidth="1"/>
    <col min="7" max="7" width="12.28515625" style="47" customWidth="1"/>
    <col min="8" max="8" width="10.7109375" style="47" customWidth="1"/>
    <col min="9" max="9" width="11.7109375" style="47" bestFit="1" customWidth="1"/>
    <col min="10" max="10" width="8.85546875" style="47"/>
    <col min="11" max="11" width="9.85546875" style="47" bestFit="1" customWidth="1"/>
    <col min="12" max="16384" width="8.85546875" style="47"/>
  </cols>
  <sheetData>
    <row r="1" spans="2:11" x14ac:dyDescent="0.25">
      <c r="C1" s="47" t="s">
        <v>42</v>
      </c>
    </row>
    <row r="2" spans="2:11" s="43" customFormat="1" ht="28.5" x14ac:dyDescent="0.25">
      <c r="B2" s="41" t="s">
        <v>0</v>
      </c>
      <c r="C2" s="41" t="s">
        <v>1</v>
      </c>
      <c r="D2" s="41" t="s">
        <v>2</v>
      </c>
      <c r="E2" s="42" t="s">
        <v>3</v>
      </c>
      <c r="F2" s="42" t="s">
        <v>4</v>
      </c>
      <c r="G2" s="42" t="s">
        <v>5</v>
      </c>
      <c r="H2" s="42" t="s">
        <v>6</v>
      </c>
      <c r="I2" s="42" t="s">
        <v>7</v>
      </c>
    </row>
    <row r="3" spans="2:11" x14ac:dyDescent="0.25">
      <c r="B3" s="44">
        <v>1</v>
      </c>
      <c r="C3" s="75" t="s">
        <v>8</v>
      </c>
      <c r="D3" s="49" t="s">
        <v>9</v>
      </c>
      <c r="E3" s="51">
        <v>-1</v>
      </c>
      <c r="F3" s="46">
        <v>17600.439999999999</v>
      </c>
      <c r="G3" s="52">
        <f>E3*F3</f>
        <v>-17600.439999999999</v>
      </c>
      <c r="H3" s="52">
        <f>G3*0.2</f>
        <v>-3520.0879999999997</v>
      </c>
      <c r="I3" s="52">
        <f>G3+H3</f>
        <v>-21120.527999999998</v>
      </c>
      <c r="K3" s="48"/>
    </row>
    <row r="4" spans="2:11" s="43" customFormat="1" ht="30" x14ac:dyDescent="0.25">
      <c r="B4" s="49">
        <f>+B3+1</f>
        <v>2</v>
      </c>
      <c r="C4" s="50" t="s">
        <v>72</v>
      </c>
      <c r="D4" s="49" t="s">
        <v>10</v>
      </c>
      <c r="E4" s="51">
        <v>411.053</v>
      </c>
      <c r="F4" s="78">
        <v>54.79</v>
      </c>
      <c r="G4" s="52">
        <f>E4*F4</f>
        <v>22521.593870000001</v>
      </c>
      <c r="H4" s="52">
        <f>G4*0.2</f>
        <v>4504.3187740000003</v>
      </c>
      <c r="I4" s="52">
        <f>G4+H4</f>
        <v>27025.912644</v>
      </c>
    </row>
    <row r="5" spans="2:11" s="43" customFormat="1" ht="15.75" x14ac:dyDescent="0.25">
      <c r="B5" s="49">
        <f>+B4+1</f>
        <v>3</v>
      </c>
      <c r="C5" s="50" t="s">
        <v>11</v>
      </c>
      <c r="D5" s="49" t="s">
        <v>10</v>
      </c>
      <c r="E5" s="51">
        <f>+E4</f>
        <v>411.053</v>
      </c>
      <c r="F5" s="77">
        <v>0.52290000000000003</v>
      </c>
      <c r="G5" s="52">
        <f>E5*F5</f>
        <v>214.93961370000002</v>
      </c>
      <c r="H5" s="52">
        <f t="shared" ref="H5:H7" si="0">G5*0.2</f>
        <v>42.987922740000009</v>
      </c>
      <c r="I5" s="52">
        <f t="shared" ref="I5:I7" si="1">G5+H5</f>
        <v>257.92753644000004</v>
      </c>
    </row>
    <row r="6" spans="2:11" s="43" customFormat="1" ht="15.75" x14ac:dyDescent="0.25">
      <c r="B6" s="92">
        <v>4</v>
      </c>
      <c r="C6" s="97" t="s">
        <v>12</v>
      </c>
      <c r="D6" s="96" t="s">
        <v>10</v>
      </c>
      <c r="E6" s="100">
        <v>77.470999999999989</v>
      </c>
      <c r="F6" s="105">
        <v>3.3016999999999999</v>
      </c>
      <c r="G6" s="99">
        <f>E6*F6</f>
        <v>255.78600069999996</v>
      </c>
      <c r="H6" s="99">
        <f>G6*0.2</f>
        <v>51.157200139999993</v>
      </c>
      <c r="I6" s="99">
        <f>G6+H6</f>
        <v>306.94320083999997</v>
      </c>
    </row>
    <row r="7" spans="2:11" x14ac:dyDescent="0.25">
      <c r="B7" s="49">
        <v>5</v>
      </c>
      <c r="C7" s="62" t="s">
        <v>13</v>
      </c>
      <c r="D7" s="63" t="s">
        <v>14</v>
      </c>
      <c r="E7" s="64"/>
      <c r="F7" s="65"/>
      <c r="G7" s="66">
        <f t="shared" ref="G7" si="2">E7*F7</f>
        <v>0</v>
      </c>
      <c r="H7" s="66">
        <f t="shared" si="0"/>
        <v>0</v>
      </c>
      <c r="I7" s="66">
        <f t="shared" si="1"/>
        <v>0</v>
      </c>
    </row>
    <row r="8" spans="2:11" x14ac:dyDescent="0.25">
      <c r="F8" s="56" t="s">
        <v>15</v>
      </c>
      <c r="G8" s="57">
        <f>SUM(G3:G7)</f>
        <v>5391.8794844000022</v>
      </c>
      <c r="H8" s="57">
        <f t="shared" ref="H8:I8" si="3">SUM(H3:H7)</f>
        <v>1078.3758968800005</v>
      </c>
      <c r="I8" s="57">
        <f t="shared" si="3"/>
        <v>6470.2553812800015</v>
      </c>
    </row>
    <row r="13" spans="2:11" ht="13.9" x14ac:dyDescent="0.25">
      <c r="F13" s="48"/>
    </row>
    <row r="15" spans="2:11" s="43" customFormat="1" ht="15.75" x14ac:dyDescent="0.25">
      <c r="B15" s="43" t="s">
        <v>55</v>
      </c>
      <c r="E15" s="111">
        <v>10560.263999999999</v>
      </c>
      <c r="F15" s="67" t="s">
        <v>16</v>
      </c>
      <c r="G15" s="69"/>
    </row>
    <row r="16" spans="2:11" s="43" customFormat="1" ht="15.75" x14ac:dyDescent="0.25">
      <c r="B16" s="43" t="s">
        <v>56</v>
      </c>
      <c r="E16" s="111">
        <v>10560.263999999999</v>
      </c>
      <c r="F16" s="67" t="s">
        <v>16</v>
      </c>
    </row>
    <row r="17" spans="3:8" s="43" customFormat="1" ht="15.6" x14ac:dyDescent="0.3">
      <c r="E17" s="82"/>
      <c r="F17" s="67"/>
    </row>
    <row r="18" spans="3:8" s="43" customFormat="1" x14ac:dyDescent="0.25">
      <c r="C18" s="43" t="s">
        <v>17</v>
      </c>
      <c r="E18" s="68">
        <v>0</v>
      </c>
      <c r="F18" s="67" t="s">
        <v>16</v>
      </c>
      <c r="H18" s="69"/>
    </row>
    <row r="19" spans="3:8" s="43" customFormat="1" x14ac:dyDescent="0.25">
      <c r="C19" s="43" t="s">
        <v>18</v>
      </c>
      <c r="E19" s="110">
        <f>+E18/1.2</f>
        <v>0</v>
      </c>
      <c r="F19" s="67" t="s">
        <v>19</v>
      </c>
      <c r="G19" s="69"/>
    </row>
    <row r="20" spans="3:8" ht="13.9" x14ac:dyDescent="0.25">
      <c r="E20" s="7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2597-DC55-4880-820C-E58F83E76848}">
  <dimension ref="B2:I18"/>
  <sheetViews>
    <sheetView topLeftCell="B1" workbookViewId="0">
      <selection activeCell="F5" sqref="F5"/>
    </sheetView>
  </sheetViews>
  <sheetFormatPr defaultColWidth="8.85546875" defaultRowHeight="15.75" x14ac:dyDescent="0.25"/>
  <cols>
    <col min="1" max="1" width="8.85546875" style="88"/>
    <col min="2" max="2" width="9.140625" style="88" bestFit="1" customWidth="1"/>
    <col min="3" max="3" width="34.42578125" style="88" customWidth="1"/>
    <col min="4" max="4" width="7.140625" style="88" bestFit="1" customWidth="1"/>
    <col min="5" max="5" width="14.42578125" style="88" customWidth="1"/>
    <col min="6" max="6" width="15.7109375" style="88" customWidth="1"/>
    <col min="7" max="7" width="12.28515625" style="88" customWidth="1"/>
    <col min="8" max="8" width="10.7109375" style="88" customWidth="1"/>
    <col min="9" max="9" width="11.7109375" style="88" bestFit="1" customWidth="1"/>
    <col min="10" max="16384" width="8.85546875" style="88"/>
  </cols>
  <sheetData>
    <row r="2" spans="2:9" x14ac:dyDescent="0.25">
      <c r="C2" s="88" t="s">
        <v>43</v>
      </c>
    </row>
    <row r="3" spans="2:9" s="89" customFormat="1" ht="31.5" x14ac:dyDescent="0.25">
      <c r="B3" s="90" t="s">
        <v>0</v>
      </c>
      <c r="C3" s="90" t="s">
        <v>1</v>
      </c>
      <c r="D3" s="90" t="s">
        <v>2</v>
      </c>
      <c r="E3" s="91" t="s">
        <v>3</v>
      </c>
      <c r="F3" s="91" t="s">
        <v>4</v>
      </c>
      <c r="G3" s="91" t="s">
        <v>5</v>
      </c>
      <c r="H3" s="42" t="s">
        <v>6</v>
      </c>
      <c r="I3" s="91" t="s">
        <v>7</v>
      </c>
    </row>
    <row r="4" spans="2:9" s="89" customFormat="1" x14ac:dyDescent="0.25">
      <c r="B4" s="92">
        <v>1</v>
      </c>
      <c r="C4" s="93" t="s">
        <v>32</v>
      </c>
      <c r="D4" s="92" t="s">
        <v>10</v>
      </c>
      <c r="E4" s="94">
        <v>-1</v>
      </c>
      <c r="F4" s="46">
        <f>+G5</f>
        <v>399.63825999999995</v>
      </c>
      <c r="G4" s="95">
        <f>E4*F4</f>
        <v>-399.63825999999995</v>
      </c>
      <c r="H4" s="95">
        <f>G4*0.2</f>
        <v>-79.927651999999995</v>
      </c>
      <c r="I4" s="95">
        <f>G4+H4</f>
        <v>-479.56591199999991</v>
      </c>
    </row>
    <row r="5" spans="2:9" s="89" customFormat="1" ht="47.25" x14ac:dyDescent="0.25">
      <c r="B5" s="92">
        <v>2</v>
      </c>
      <c r="C5" s="93" t="s">
        <v>73</v>
      </c>
      <c r="D5" s="92" t="s">
        <v>10</v>
      </c>
      <c r="E5" s="94">
        <v>7.2939999999999996</v>
      </c>
      <c r="F5" s="46">
        <v>54.79</v>
      </c>
      <c r="G5" s="95">
        <f>E5*F5</f>
        <v>399.63825999999995</v>
      </c>
      <c r="H5" s="95">
        <f>G5*0.2</f>
        <v>79.927651999999995</v>
      </c>
      <c r="I5" s="95">
        <f>G5+H5</f>
        <v>479.56591199999991</v>
      </c>
    </row>
    <row r="6" spans="2:9" s="89" customFormat="1" x14ac:dyDescent="0.25">
      <c r="B6" s="96">
        <v>3</v>
      </c>
      <c r="C6" s="97" t="s">
        <v>11</v>
      </c>
      <c r="D6" s="96" t="s">
        <v>10</v>
      </c>
      <c r="E6" s="98">
        <f>E5</f>
        <v>7.2939999999999996</v>
      </c>
      <c r="F6" s="105">
        <v>0.52290000000000003</v>
      </c>
      <c r="G6" s="99">
        <f>E6*F6</f>
        <v>3.8140326</v>
      </c>
      <c r="H6" s="99">
        <f>G6*0.2</f>
        <v>0.76280652000000004</v>
      </c>
      <c r="I6" s="99">
        <f>G6+H6</f>
        <v>4.5768391199999998</v>
      </c>
    </row>
    <row r="7" spans="2:9" x14ac:dyDescent="0.25">
      <c r="F7" s="101" t="s">
        <v>15</v>
      </c>
      <c r="G7" s="102">
        <f>SUM(G4:G6)</f>
        <v>3.8140326</v>
      </c>
      <c r="H7" s="102">
        <f>SUM(H4:H6)</f>
        <v>0.76280652000000004</v>
      </c>
      <c r="I7" s="102">
        <f>SUM(I4:I6)</f>
        <v>4.5768391199999998</v>
      </c>
    </row>
    <row r="12" spans="2:9" x14ac:dyDescent="0.25">
      <c r="C12" s="103" t="s">
        <v>29</v>
      </c>
    </row>
    <row r="14" spans="2:9" x14ac:dyDescent="0.25">
      <c r="B14" s="43" t="s">
        <v>57</v>
      </c>
      <c r="C14" s="43"/>
      <c r="D14" s="43"/>
      <c r="E14" s="111">
        <v>356.94</v>
      </c>
      <c r="F14" s="67" t="s">
        <v>16</v>
      </c>
    </row>
    <row r="15" spans="2:9" x14ac:dyDescent="0.25">
      <c r="B15" s="43" t="s">
        <v>58</v>
      </c>
      <c r="C15" s="43"/>
      <c r="D15" s="43"/>
      <c r="E15" s="111">
        <v>356.94</v>
      </c>
      <c r="F15" s="67" t="s">
        <v>16</v>
      </c>
    </row>
    <row r="16" spans="2:9" x14ac:dyDescent="0.25">
      <c r="B16" s="43"/>
      <c r="C16" s="43"/>
      <c r="D16" s="43"/>
      <c r="E16" s="82"/>
      <c r="F16" s="67"/>
    </row>
    <row r="17" spans="2:6" x14ac:dyDescent="0.25">
      <c r="B17" s="43"/>
      <c r="C17" s="43" t="s">
        <v>17</v>
      </c>
      <c r="D17" s="43"/>
      <c r="E17" s="68">
        <f>E14+E15+I4</f>
        <v>234.31408800000008</v>
      </c>
      <c r="F17" s="67" t="s">
        <v>16</v>
      </c>
    </row>
    <row r="18" spans="2:6" x14ac:dyDescent="0.25">
      <c r="B18" s="43"/>
      <c r="C18" s="43" t="s">
        <v>18</v>
      </c>
      <c r="D18" s="43"/>
      <c r="E18" s="110">
        <f>+E17/1.2</f>
        <v>195.26174000000009</v>
      </c>
      <c r="F18" s="67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481-B964-4CA5-8100-2704296FD1E8}">
  <dimension ref="B2:I20"/>
  <sheetViews>
    <sheetView topLeftCell="B1" workbookViewId="0">
      <selection activeCell="I15" sqref="I15"/>
    </sheetView>
  </sheetViews>
  <sheetFormatPr defaultColWidth="8.85546875" defaultRowHeight="15.75" x14ac:dyDescent="0.25"/>
  <cols>
    <col min="1" max="1" width="8.85546875" style="88"/>
    <col min="2" max="2" width="9.140625" style="88" bestFit="1" customWidth="1"/>
    <col min="3" max="3" width="34.42578125" style="88" customWidth="1"/>
    <col min="4" max="4" width="7.140625" style="88" bestFit="1" customWidth="1"/>
    <col min="5" max="5" width="14.42578125" style="88" customWidth="1"/>
    <col min="6" max="6" width="15.7109375" style="88" customWidth="1"/>
    <col min="7" max="7" width="12.28515625" style="88" customWidth="1"/>
    <col min="8" max="8" width="10.7109375" style="88" customWidth="1"/>
    <col min="9" max="9" width="11.7109375" style="88" bestFit="1" customWidth="1"/>
    <col min="10" max="16384" width="8.85546875" style="88"/>
  </cols>
  <sheetData>
    <row r="2" spans="2:9" x14ac:dyDescent="0.25">
      <c r="C2" s="88" t="s">
        <v>44</v>
      </c>
    </row>
    <row r="3" spans="2:9" s="89" customFormat="1" ht="31.5" x14ac:dyDescent="0.25">
      <c r="B3" s="90" t="s">
        <v>0</v>
      </c>
      <c r="C3" s="90" t="s">
        <v>1</v>
      </c>
      <c r="D3" s="90" t="s">
        <v>2</v>
      </c>
      <c r="E3" s="91" t="s">
        <v>3</v>
      </c>
      <c r="F3" s="91" t="s">
        <v>4</v>
      </c>
      <c r="G3" s="91" t="s">
        <v>5</v>
      </c>
      <c r="H3" s="42" t="s">
        <v>6</v>
      </c>
      <c r="I3" s="91" t="s">
        <v>7</v>
      </c>
    </row>
    <row r="4" spans="2:9" s="89" customFormat="1" x14ac:dyDescent="0.25">
      <c r="B4" s="44">
        <v>1</v>
      </c>
      <c r="C4" s="75" t="s">
        <v>30</v>
      </c>
      <c r="D4" s="49" t="s">
        <v>9</v>
      </c>
      <c r="E4" s="51">
        <v>-1</v>
      </c>
      <c r="F4" s="46">
        <f>+G5</f>
        <v>2360.5175700000009</v>
      </c>
      <c r="G4" s="52">
        <f>E4*F4</f>
        <v>-2360.5175700000009</v>
      </c>
      <c r="H4" s="52">
        <f>G4*0.2</f>
        <v>-472.10351400000019</v>
      </c>
      <c r="I4" s="52">
        <f>G4+H4</f>
        <v>-2832.6210840000012</v>
      </c>
    </row>
    <row r="5" spans="2:9" s="89" customFormat="1" ht="47.25" x14ac:dyDescent="0.25">
      <c r="B5" s="92">
        <v>2</v>
      </c>
      <c r="C5" s="93" t="s">
        <v>74</v>
      </c>
      <c r="D5" s="92" t="s">
        <v>10</v>
      </c>
      <c r="E5" s="94">
        <v>43.08300000000002</v>
      </c>
      <c r="F5" s="46">
        <v>54.79</v>
      </c>
      <c r="G5" s="95">
        <f>E5*F5</f>
        <v>2360.5175700000009</v>
      </c>
      <c r="H5" s="95">
        <f>G5*0.2</f>
        <v>472.10351400000019</v>
      </c>
      <c r="I5" s="95">
        <f>G5+H5</f>
        <v>2832.6210840000012</v>
      </c>
    </row>
    <row r="6" spans="2:9" s="89" customFormat="1" x14ac:dyDescent="0.25">
      <c r="B6" s="96">
        <v>3</v>
      </c>
      <c r="C6" s="97" t="s">
        <v>11</v>
      </c>
      <c r="D6" s="96" t="s">
        <v>10</v>
      </c>
      <c r="E6" s="98">
        <f>E5</f>
        <v>43.08300000000002</v>
      </c>
      <c r="F6" s="105">
        <v>0.52290000000000003</v>
      </c>
      <c r="G6" s="99">
        <f>E6*F6</f>
        <v>22.52810070000001</v>
      </c>
      <c r="H6" s="99">
        <f>G6*0.2</f>
        <v>4.5056201400000022</v>
      </c>
      <c r="I6" s="99">
        <f>G6+H6</f>
        <v>27.033720840000012</v>
      </c>
    </row>
    <row r="7" spans="2:9" s="89" customFormat="1" x14ac:dyDescent="0.25">
      <c r="B7" s="92">
        <v>4</v>
      </c>
      <c r="C7" s="97" t="s">
        <v>12</v>
      </c>
      <c r="D7" s="96" t="s">
        <v>10</v>
      </c>
      <c r="E7" s="100">
        <v>1.2580000000000005</v>
      </c>
      <c r="F7" s="105">
        <v>3.3016999999999999</v>
      </c>
      <c r="G7" s="99">
        <f>E7*F7</f>
        <v>4.153538600000001</v>
      </c>
      <c r="H7" s="99">
        <f>G7*0.2</f>
        <v>0.83070772000000026</v>
      </c>
      <c r="I7" s="99">
        <f>G7+H7</f>
        <v>4.9842463200000013</v>
      </c>
    </row>
    <row r="8" spans="2:9" x14ac:dyDescent="0.25">
      <c r="F8" s="101" t="s">
        <v>15</v>
      </c>
      <c r="G8" s="102">
        <f>SUM(G4:G7)</f>
        <v>26.681639300000011</v>
      </c>
      <c r="H8" s="102">
        <f t="shared" ref="H8:I8" si="0">SUM(H4:H7)</f>
        <v>5.3363278600000026</v>
      </c>
      <c r="I8" s="102">
        <f t="shared" si="0"/>
        <v>32.017967160000012</v>
      </c>
    </row>
    <row r="13" spans="2:9" x14ac:dyDescent="0.25">
      <c r="C13" s="103" t="s">
        <v>29</v>
      </c>
    </row>
    <row r="16" spans="2:9" x14ac:dyDescent="0.25">
      <c r="B16" s="43" t="s">
        <v>59</v>
      </c>
      <c r="C16" s="89"/>
      <c r="D16" s="89"/>
      <c r="E16" s="109">
        <v>1925.1959999999999</v>
      </c>
      <c r="F16" s="67" t="s">
        <v>16</v>
      </c>
      <c r="G16" s="108"/>
    </row>
    <row r="17" spans="2:7" x14ac:dyDescent="0.25">
      <c r="B17" s="43" t="s">
        <v>60</v>
      </c>
      <c r="C17" s="43"/>
      <c r="D17" s="43"/>
      <c r="E17" s="109">
        <v>1925.1959999999999</v>
      </c>
      <c r="F17" s="67" t="s">
        <v>16</v>
      </c>
      <c r="G17" s="108"/>
    </row>
    <row r="18" spans="2:7" x14ac:dyDescent="0.25">
      <c r="B18" s="43"/>
      <c r="C18" s="43"/>
      <c r="D18" s="43"/>
      <c r="E18" s="112"/>
      <c r="F18" s="67"/>
      <c r="G18" s="108"/>
    </row>
    <row r="19" spans="2:7" x14ac:dyDescent="0.25">
      <c r="B19" s="43"/>
      <c r="C19" s="43" t="s">
        <v>17</v>
      </c>
      <c r="D19" s="43"/>
      <c r="E19" s="68">
        <f>E17+I4+E16</f>
        <v>1017.7709159999986</v>
      </c>
      <c r="F19" s="67" t="s">
        <v>16</v>
      </c>
    </row>
    <row r="20" spans="2:7" x14ac:dyDescent="0.25">
      <c r="B20" s="43"/>
      <c r="C20" s="43" t="s">
        <v>18</v>
      </c>
      <c r="D20" s="43"/>
      <c r="E20" s="110">
        <f>+E19/1.2</f>
        <v>848.14242999999885</v>
      </c>
      <c r="F20" s="67" t="s">
        <v>19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dimension ref="A2:I23"/>
  <sheetViews>
    <sheetView topLeftCell="B1" workbookViewId="0">
      <selection activeCell="C13" sqref="C13"/>
    </sheetView>
  </sheetViews>
  <sheetFormatPr defaultColWidth="8.85546875" defaultRowHeight="15" x14ac:dyDescent="0.25"/>
  <cols>
    <col min="1" max="1" width="8.85546875" style="47"/>
    <col min="2" max="2" width="9.140625" style="47" bestFit="1" customWidth="1"/>
    <col min="3" max="3" width="34.42578125" style="47" customWidth="1"/>
    <col min="4" max="4" width="7.140625" style="47" bestFit="1" customWidth="1"/>
    <col min="5" max="5" width="14.42578125" style="47" customWidth="1"/>
    <col min="6" max="6" width="15.7109375" style="47" customWidth="1"/>
    <col min="7" max="7" width="12.7109375" style="47" bestFit="1" customWidth="1"/>
    <col min="8" max="8" width="10.7109375" style="47" customWidth="1"/>
    <col min="9" max="9" width="11.7109375" style="47" bestFit="1" customWidth="1"/>
    <col min="10" max="16384" width="8.85546875" style="47"/>
  </cols>
  <sheetData>
    <row r="2" spans="1:9" s="43" customFormat="1" x14ac:dyDescent="0.25">
      <c r="B2" s="53"/>
      <c r="C2" s="54" t="s">
        <v>45</v>
      </c>
      <c r="D2" s="53"/>
      <c r="E2" s="55"/>
      <c r="F2" s="58"/>
      <c r="G2" s="59"/>
      <c r="H2" s="59"/>
      <c r="I2" s="59"/>
    </row>
    <row r="3" spans="1:9" s="43" customFormat="1" ht="28.5" x14ac:dyDescent="0.25">
      <c r="B3" s="41" t="s">
        <v>0</v>
      </c>
      <c r="C3" s="41" t="s">
        <v>1</v>
      </c>
      <c r="D3" s="41" t="s">
        <v>2</v>
      </c>
      <c r="E3" s="42" t="s">
        <v>3</v>
      </c>
      <c r="F3" s="42" t="s">
        <v>4</v>
      </c>
      <c r="G3" s="42" t="s">
        <v>5</v>
      </c>
      <c r="H3" s="42" t="s">
        <v>6</v>
      </c>
      <c r="I3" s="42" t="s">
        <v>7</v>
      </c>
    </row>
    <row r="4" spans="1:9" s="43" customFormat="1" ht="15.75" x14ac:dyDescent="0.25">
      <c r="B4" s="13">
        <v>1</v>
      </c>
      <c r="C4" s="14" t="s">
        <v>33</v>
      </c>
      <c r="D4" s="13" t="s">
        <v>9</v>
      </c>
      <c r="E4" s="6">
        <v>-1</v>
      </c>
      <c r="F4" s="25">
        <f>+G5</f>
        <v>23133.26943</v>
      </c>
      <c r="G4" s="16">
        <f>E4*F4</f>
        <v>-23133.26943</v>
      </c>
      <c r="H4" s="16">
        <f>G4*0.2</f>
        <v>-4626.6538860000001</v>
      </c>
      <c r="I4" s="16">
        <f>G4+H4</f>
        <v>-27759.923316</v>
      </c>
    </row>
    <row r="5" spans="1:9" s="43" customFormat="1" ht="45" x14ac:dyDescent="0.25">
      <c r="B5" s="49">
        <v>1</v>
      </c>
      <c r="C5" s="50" t="s">
        <v>75</v>
      </c>
      <c r="D5" s="49" t="s">
        <v>10</v>
      </c>
      <c r="E5" s="51">
        <v>422.21700000000004</v>
      </c>
      <c r="F5" s="46">
        <v>54.79</v>
      </c>
      <c r="G5" s="52">
        <f>E5*F5</f>
        <v>23133.26943</v>
      </c>
      <c r="H5" s="52">
        <f>G5*0.2</f>
        <v>4626.6538860000001</v>
      </c>
      <c r="I5" s="52">
        <f t="shared" ref="I5" si="0">G5+H5</f>
        <v>27759.923316</v>
      </c>
    </row>
    <row r="6" spans="1:9" s="43" customFormat="1" x14ac:dyDescent="0.25">
      <c r="B6" s="44">
        <v>2</v>
      </c>
      <c r="C6" s="60" t="s">
        <v>11</v>
      </c>
      <c r="D6" s="72" t="s">
        <v>10</v>
      </c>
      <c r="E6" s="61">
        <f>E5</f>
        <v>422.21700000000004</v>
      </c>
      <c r="F6" s="65">
        <v>0.52290000000000003</v>
      </c>
      <c r="G6" s="66">
        <f t="shared" ref="G6" si="1">E6*F6</f>
        <v>220.77726930000003</v>
      </c>
      <c r="H6" s="66">
        <f t="shared" ref="H6" si="2">G6*0.2</f>
        <v>44.155453860000009</v>
      </c>
      <c r="I6" s="66">
        <f t="shared" ref="I6" si="3">G6+H6</f>
        <v>264.93272316000002</v>
      </c>
    </row>
    <row r="7" spans="1:9" s="43" customFormat="1" x14ac:dyDescent="0.25">
      <c r="B7" s="49">
        <v>3</v>
      </c>
      <c r="C7" s="50" t="s">
        <v>12</v>
      </c>
      <c r="D7" s="72" t="s">
        <v>10</v>
      </c>
      <c r="E7" s="61">
        <v>0.80699999999999861</v>
      </c>
      <c r="F7" s="106">
        <v>3.3016999999999999</v>
      </c>
      <c r="G7" s="66">
        <f t="shared" ref="G7" si="4">E7*F7</f>
        <v>2.6644718999999952</v>
      </c>
      <c r="H7" s="66">
        <f t="shared" ref="H7" si="5">G7*0.2</f>
        <v>0.53289437999999911</v>
      </c>
      <c r="I7" s="66">
        <f t="shared" ref="I7" si="6">G7+H7</f>
        <v>3.1973662799999945</v>
      </c>
    </row>
    <row r="8" spans="1:9" x14ac:dyDescent="0.25">
      <c r="B8" s="44">
        <v>4</v>
      </c>
      <c r="C8" s="62" t="s">
        <v>13</v>
      </c>
      <c r="D8" s="44" t="s">
        <v>14</v>
      </c>
      <c r="E8" s="45"/>
      <c r="F8" s="73"/>
      <c r="G8" s="52">
        <f t="shared" ref="G8" si="7">E8*F8</f>
        <v>0</v>
      </c>
      <c r="H8" s="52">
        <f t="shared" ref="H8" si="8">G8*0.2</f>
        <v>0</v>
      </c>
      <c r="I8" s="52">
        <f t="shared" ref="I8" si="9">G8+H8</f>
        <v>0</v>
      </c>
    </row>
    <row r="9" spans="1:9" x14ac:dyDescent="0.25">
      <c r="F9" s="56" t="s">
        <v>15</v>
      </c>
      <c r="G9" s="57">
        <f t="shared" ref="G9:I9" si="10">SUM(G4:G8)</f>
        <v>223.44174120000002</v>
      </c>
      <c r="H9" s="57">
        <f t="shared" si="10"/>
        <v>44.68834824000001</v>
      </c>
      <c r="I9" s="57">
        <f t="shared" si="10"/>
        <v>268.13008944000001</v>
      </c>
    </row>
    <row r="10" spans="1:9" x14ac:dyDescent="0.25">
      <c r="C10" s="71"/>
      <c r="E10" s="74"/>
    </row>
    <row r="11" spans="1:9" x14ac:dyDescent="0.25">
      <c r="A11" s="43"/>
      <c r="B11" s="43"/>
      <c r="C11" s="43"/>
      <c r="D11" s="43"/>
      <c r="E11" s="57"/>
      <c r="F11" s="67"/>
    </row>
    <row r="12" spans="1:9" x14ac:dyDescent="0.25">
      <c r="C12" s="71"/>
      <c r="E12" s="74"/>
    </row>
    <row r="14" spans="1:9" s="43" customFormat="1" x14ac:dyDescent="0.25"/>
    <row r="16" spans="1:9" x14ac:dyDescent="0.25">
      <c r="B16" s="43"/>
      <c r="C16" s="43"/>
      <c r="D16" s="43"/>
      <c r="E16" s="68"/>
      <c r="F16" s="67"/>
    </row>
    <row r="18" spans="2:6" ht="15.75" x14ac:dyDescent="0.25">
      <c r="B18" s="43" t="s">
        <v>61</v>
      </c>
      <c r="C18" s="89"/>
      <c r="D18" s="89"/>
      <c r="E18" s="109">
        <v>16251.611999999999</v>
      </c>
      <c r="F18" s="113" t="s">
        <v>16</v>
      </c>
    </row>
    <row r="19" spans="2:6" ht="15.75" x14ac:dyDescent="0.25">
      <c r="B19" s="43" t="s">
        <v>62</v>
      </c>
      <c r="C19" s="43"/>
      <c r="D19" s="43"/>
      <c r="E19" s="109">
        <v>16251.611999999999</v>
      </c>
      <c r="F19" s="113" t="s">
        <v>16</v>
      </c>
    </row>
    <row r="20" spans="2:6" ht="15.75" x14ac:dyDescent="0.25">
      <c r="B20" s="43"/>
      <c r="C20" s="43"/>
      <c r="D20" s="43"/>
      <c r="E20" s="112"/>
      <c r="F20" s="113"/>
    </row>
    <row r="21" spans="2:6" x14ac:dyDescent="0.25">
      <c r="B21" s="43"/>
      <c r="C21" s="43" t="s">
        <v>17</v>
      </c>
      <c r="D21" s="43"/>
      <c r="E21" s="68">
        <f>E19+I4+E18</f>
        <v>4743.300683999998</v>
      </c>
      <c r="F21" s="113" t="s">
        <v>16</v>
      </c>
    </row>
    <row r="22" spans="2:6" x14ac:dyDescent="0.25">
      <c r="B22" s="43"/>
      <c r="C22" s="43" t="s">
        <v>17</v>
      </c>
      <c r="D22" s="43"/>
      <c r="E22" s="68">
        <f>+E21/1.2</f>
        <v>3952.7505699999983</v>
      </c>
      <c r="F22" s="113" t="s">
        <v>19</v>
      </c>
    </row>
    <row r="23" spans="2:6" x14ac:dyDescent="0.25">
      <c r="B23" s="43"/>
      <c r="C23" s="43"/>
      <c r="D23" s="43"/>
      <c r="E23" s="110"/>
      <c r="F23" s="6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2A9F-B950-444A-8426-38789F57CEB4}">
  <dimension ref="B2:I33"/>
  <sheetViews>
    <sheetView tabSelected="1" topLeftCell="B7" workbookViewId="0">
      <selection activeCell="C33" sqref="C33"/>
    </sheetView>
  </sheetViews>
  <sheetFormatPr defaultRowHeight="15" x14ac:dyDescent="0.25"/>
  <cols>
    <col min="3" max="3" width="38.42578125" customWidth="1"/>
    <col min="4" max="4" width="11.28515625" customWidth="1"/>
    <col min="5" max="5" width="15" customWidth="1"/>
    <col min="6" max="6" width="12.42578125" customWidth="1"/>
    <col min="7" max="7" width="14.5703125" customWidth="1"/>
    <col min="8" max="8" width="12.7109375" customWidth="1"/>
    <col min="9" max="9" width="14.42578125" customWidth="1"/>
    <col min="12" max="12" width="9.28515625" bestFit="1" customWidth="1"/>
  </cols>
  <sheetData>
    <row r="2" spans="2:9" x14ac:dyDescent="0.25">
      <c r="C2" t="s">
        <v>46</v>
      </c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17" customFormat="1" ht="15.75" x14ac:dyDescent="0.25">
      <c r="B4" s="13">
        <v>1</v>
      </c>
      <c r="C4" s="14" t="s">
        <v>20</v>
      </c>
      <c r="D4" s="13" t="s">
        <v>9</v>
      </c>
      <c r="E4" s="6">
        <v>-1</v>
      </c>
      <c r="F4" s="25">
        <f>+G5</f>
        <v>30867.791120000002</v>
      </c>
      <c r="G4" s="16">
        <f>E4*F4</f>
        <v>-30867.791120000002</v>
      </c>
      <c r="H4" s="16">
        <f>G4*0.2</f>
        <v>-6173.5582240000003</v>
      </c>
      <c r="I4" s="16">
        <f>G4+H4</f>
        <v>-37041.349344000002</v>
      </c>
    </row>
    <row r="5" spans="2:9" s="17" customFormat="1" ht="31.5" x14ac:dyDescent="0.25">
      <c r="B5" s="13">
        <f>+B4+1</f>
        <v>2</v>
      </c>
      <c r="C5" s="14" t="s">
        <v>76</v>
      </c>
      <c r="D5" s="13" t="s">
        <v>10</v>
      </c>
      <c r="E5" s="15">
        <v>584.72800000000007</v>
      </c>
      <c r="F5" s="76">
        <v>52.79</v>
      </c>
      <c r="G5" s="16">
        <f>E5*F5</f>
        <v>30867.791120000002</v>
      </c>
      <c r="H5" s="16">
        <f>G5*0.2</f>
        <v>6173.5582240000003</v>
      </c>
      <c r="I5" s="16">
        <f>G5+H5</f>
        <v>37041.349344000002</v>
      </c>
    </row>
    <row r="6" spans="2:9" s="17" customFormat="1" ht="15.75" x14ac:dyDescent="0.25">
      <c r="B6" s="13">
        <v>1</v>
      </c>
      <c r="C6" s="14" t="s">
        <v>20</v>
      </c>
      <c r="D6" s="13" t="s">
        <v>9</v>
      </c>
      <c r="E6" s="15">
        <v>-1</v>
      </c>
      <c r="F6" s="104">
        <f>+G7</f>
        <v>292.36400000000003</v>
      </c>
      <c r="G6" s="16">
        <f t="shared" ref="G6:G11" si="0">E6*F6</f>
        <v>-292.36400000000003</v>
      </c>
      <c r="H6" s="16">
        <f t="shared" ref="H6:H11" si="1">G6*0.2</f>
        <v>-58.472800000000007</v>
      </c>
      <c r="I6" s="16">
        <f t="shared" ref="I6:I11" si="2">G6+H6</f>
        <v>-350.83680000000004</v>
      </c>
    </row>
    <row r="7" spans="2:9" s="17" customFormat="1" ht="31.5" x14ac:dyDescent="0.25">
      <c r="B7" s="13">
        <v>2</v>
      </c>
      <c r="C7" s="14" t="s">
        <v>77</v>
      </c>
      <c r="D7" s="13" t="s">
        <v>10</v>
      </c>
      <c r="E7" s="15">
        <f>E5</f>
        <v>584.72800000000007</v>
      </c>
      <c r="F7" s="81">
        <v>0.5</v>
      </c>
      <c r="G7" s="16">
        <f>E7*F7</f>
        <v>292.36400000000003</v>
      </c>
      <c r="H7" s="16">
        <f t="shared" si="1"/>
        <v>58.472800000000007</v>
      </c>
      <c r="I7" s="16">
        <f t="shared" si="2"/>
        <v>350.83680000000004</v>
      </c>
    </row>
    <row r="8" spans="2:9" s="17" customFormat="1" ht="15.75" x14ac:dyDescent="0.25">
      <c r="B8" s="13">
        <v>3</v>
      </c>
      <c r="C8" s="14" t="s">
        <v>20</v>
      </c>
      <c r="D8" s="13" t="s">
        <v>9</v>
      </c>
      <c r="E8" s="15">
        <v>-1</v>
      </c>
      <c r="F8" s="16">
        <f>+G9</f>
        <v>305.75427120000006</v>
      </c>
      <c r="G8" s="16">
        <f t="shared" si="0"/>
        <v>-305.75427120000006</v>
      </c>
      <c r="H8" s="16">
        <f t="shared" si="1"/>
        <v>-61.150854240000015</v>
      </c>
      <c r="I8" s="16">
        <f t="shared" si="2"/>
        <v>-366.90512544000006</v>
      </c>
    </row>
    <row r="9" spans="2:9" s="17" customFormat="1" ht="15.75" x14ac:dyDescent="0.25">
      <c r="B9" s="13">
        <v>4</v>
      </c>
      <c r="C9" s="14" t="s">
        <v>21</v>
      </c>
      <c r="D9" s="13" t="s">
        <v>10</v>
      </c>
      <c r="E9" s="15">
        <f>E7</f>
        <v>584.72800000000007</v>
      </c>
      <c r="F9" s="18">
        <v>0.52290000000000003</v>
      </c>
      <c r="G9" s="16">
        <f>E9*F9</f>
        <v>305.75427120000006</v>
      </c>
      <c r="H9" s="16">
        <f t="shared" si="1"/>
        <v>61.150854240000015</v>
      </c>
      <c r="I9" s="16">
        <f>G9+H9</f>
        <v>366.90512544000006</v>
      </c>
    </row>
    <row r="10" spans="2:9" s="17" customFormat="1" x14ac:dyDescent="0.25">
      <c r="B10" s="49">
        <v>3</v>
      </c>
      <c r="C10" s="50" t="s">
        <v>12</v>
      </c>
      <c r="D10" s="72" t="s">
        <v>10</v>
      </c>
      <c r="E10" s="61">
        <v>5.1329999999999991</v>
      </c>
      <c r="F10" s="106">
        <v>3.3016999999999999</v>
      </c>
      <c r="G10" s="66">
        <f t="shared" ref="G10" si="3">E10*F10</f>
        <v>16.947626099999997</v>
      </c>
      <c r="H10" s="66">
        <f t="shared" si="1"/>
        <v>3.3895252199999995</v>
      </c>
      <c r="I10" s="66">
        <f t="shared" ref="I10" si="4">G10+H10</f>
        <v>20.337151319999997</v>
      </c>
    </row>
    <row r="11" spans="2:9" s="17" customFormat="1" ht="15.75" x14ac:dyDescent="0.25">
      <c r="B11" s="13">
        <v>8</v>
      </c>
      <c r="C11" s="14" t="s">
        <v>13</v>
      </c>
      <c r="D11" s="13" t="s">
        <v>14</v>
      </c>
      <c r="E11" s="15"/>
      <c r="F11" s="18"/>
      <c r="G11" s="16">
        <f t="shared" si="0"/>
        <v>0</v>
      </c>
      <c r="H11" s="16">
        <f t="shared" si="1"/>
        <v>0</v>
      </c>
      <c r="I11" s="16">
        <f t="shared" si="2"/>
        <v>0</v>
      </c>
    </row>
    <row r="12" spans="2:9" ht="15.75" x14ac:dyDescent="0.25">
      <c r="B12" s="3"/>
      <c r="C12" s="3"/>
      <c r="D12" s="3"/>
      <c r="E12" s="3"/>
      <c r="F12" s="8" t="s">
        <v>15</v>
      </c>
      <c r="G12" s="9">
        <f>SUM(G4:G11)</f>
        <v>16.947626099999997</v>
      </c>
      <c r="H12" s="9">
        <f>SUM(H4:H11)</f>
        <v>3.3895252199999995</v>
      </c>
      <c r="I12" s="9">
        <f>SUM(I4:I11)</f>
        <v>20.337151319999997</v>
      </c>
    </row>
    <row r="14" spans="2:9" x14ac:dyDescent="0.25">
      <c r="E14" s="21"/>
      <c r="F14" s="21"/>
    </row>
    <row r="15" spans="2:9" x14ac:dyDescent="0.25">
      <c r="H15" s="19"/>
    </row>
    <row r="18" spans="2:9" s="17" customFormat="1" ht="15.75" x14ac:dyDescent="0.25">
      <c r="B18" s="12" t="s">
        <v>63</v>
      </c>
      <c r="C18" s="12"/>
      <c r="D18" s="12"/>
      <c r="E18" s="82">
        <v>20064.84</v>
      </c>
      <c r="F18" s="83" t="s">
        <v>16</v>
      </c>
      <c r="G18" s="84"/>
    </row>
    <row r="19" spans="2:9" s="17" customFormat="1" ht="15.75" x14ac:dyDescent="0.25">
      <c r="B19" s="12" t="s">
        <v>63</v>
      </c>
      <c r="C19" s="12"/>
      <c r="D19" s="12"/>
      <c r="E19" s="82">
        <v>189.9</v>
      </c>
      <c r="F19" s="83" t="s">
        <v>16</v>
      </c>
      <c r="G19" s="84"/>
    </row>
    <row r="20" spans="2:9" s="17" customFormat="1" ht="15.75" x14ac:dyDescent="0.25">
      <c r="B20" s="12" t="s">
        <v>63</v>
      </c>
      <c r="C20" s="12"/>
      <c r="D20" s="12"/>
      <c r="E20" s="82">
        <v>198.6</v>
      </c>
      <c r="F20" s="83" t="s">
        <v>16</v>
      </c>
      <c r="G20" s="84"/>
    </row>
    <row r="21" spans="2:9" s="17" customFormat="1" ht="15.75" x14ac:dyDescent="0.25">
      <c r="B21" s="12"/>
      <c r="C21" s="12"/>
      <c r="D21" s="12"/>
      <c r="E21" s="82"/>
      <c r="F21" s="83"/>
    </row>
    <row r="22" spans="2:9" s="17" customFormat="1" ht="15.75" x14ac:dyDescent="0.25">
      <c r="B22" s="12" t="s">
        <v>64</v>
      </c>
      <c r="C22" s="12"/>
      <c r="D22" s="12"/>
      <c r="E22" s="82">
        <v>20064.84</v>
      </c>
      <c r="F22" s="83" t="s">
        <v>16</v>
      </c>
      <c r="G22" s="84"/>
    </row>
    <row r="23" spans="2:9" s="17" customFormat="1" ht="15.75" x14ac:dyDescent="0.25">
      <c r="B23" s="12" t="s">
        <v>64</v>
      </c>
      <c r="C23" s="12"/>
      <c r="D23" s="12"/>
      <c r="E23" s="82">
        <v>189.9</v>
      </c>
      <c r="F23" s="83" t="s">
        <v>16</v>
      </c>
      <c r="G23" s="84"/>
    </row>
    <row r="24" spans="2:9" s="17" customFormat="1" ht="15.75" x14ac:dyDescent="0.25">
      <c r="B24" s="12" t="s">
        <v>64</v>
      </c>
      <c r="C24" s="12"/>
      <c r="D24" s="12"/>
      <c r="E24" s="82">
        <v>198.6</v>
      </c>
      <c r="F24" s="83" t="s">
        <v>16</v>
      </c>
      <c r="G24" s="84"/>
      <c r="H24" s="84"/>
    </row>
    <row r="25" spans="2:9" s="17" customFormat="1" ht="15.75" x14ac:dyDescent="0.25">
      <c r="B25" s="12"/>
      <c r="C25" s="12"/>
      <c r="D25" s="12"/>
      <c r="E25" s="82"/>
      <c r="F25" s="83"/>
      <c r="H25" s="84"/>
    </row>
    <row r="26" spans="2:9" s="17" customFormat="1" ht="15.75" x14ac:dyDescent="0.25">
      <c r="B26" s="12" t="s">
        <v>84</v>
      </c>
      <c r="C26" s="12"/>
      <c r="D26" s="12"/>
      <c r="E26" s="82">
        <f>375.89*1.2</f>
        <v>451.06799999999998</v>
      </c>
      <c r="F26" s="83" t="s">
        <v>16</v>
      </c>
      <c r="H26" s="84"/>
    </row>
    <row r="27" spans="2:9" s="17" customFormat="1" ht="15.75" x14ac:dyDescent="0.25">
      <c r="B27" s="12" t="s">
        <v>85</v>
      </c>
      <c r="C27" s="12"/>
      <c r="D27" s="12"/>
      <c r="E27" s="82">
        <f>4663.3*1.2</f>
        <v>5595.96</v>
      </c>
      <c r="F27" s="83" t="s">
        <v>16</v>
      </c>
      <c r="H27" s="84"/>
    </row>
    <row r="28" spans="2:9" s="17" customFormat="1" ht="15.75" x14ac:dyDescent="0.25">
      <c r="B28" s="12"/>
      <c r="C28" s="12"/>
      <c r="D28" s="12"/>
      <c r="E28" s="82"/>
      <c r="F28" s="83"/>
      <c r="H28" s="84"/>
    </row>
    <row r="29" spans="2:9" s="17" customFormat="1" ht="15.75" x14ac:dyDescent="0.25">
      <c r="B29" s="12"/>
      <c r="C29" s="12" t="s">
        <v>22</v>
      </c>
      <c r="D29" s="12"/>
      <c r="E29" s="82">
        <f>E30+E31</f>
        <v>9194.6167305599993</v>
      </c>
      <c r="F29" s="83" t="s">
        <v>23</v>
      </c>
    </row>
    <row r="30" spans="2:9" s="17" customFormat="1" ht="15.75" x14ac:dyDescent="0.25">
      <c r="B30" s="12"/>
      <c r="C30" s="17" t="s">
        <v>24</v>
      </c>
      <c r="D30" s="12"/>
      <c r="E30" s="82">
        <f>E22+E18+I4+E26+E27</f>
        <v>9135.3586559999985</v>
      </c>
      <c r="F30" s="83" t="s">
        <v>16</v>
      </c>
    </row>
    <row r="31" spans="2:9" ht="15.75" x14ac:dyDescent="0.25">
      <c r="B31" s="17"/>
      <c r="C31" s="17" t="s">
        <v>25</v>
      </c>
      <c r="D31" s="17"/>
      <c r="E31" s="107">
        <f>E24+E23+E20+E19+I6+I8</f>
        <v>59.258074559999898</v>
      </c>
      <c r="F31" s="83" t="s">
        <v>16</v>
      </c>
      <c r="I31" s="23"/>
    </row>
    <row r="32" spans="2:9" ht="15.75" x14ac:dyDescent="0.25">
      <c r="E32" s="86"/>
      <c r="F32" s="83"/>
      <c r="I32" s="23"/>
    </row>
    <row r="33" spans="5:5" x14ac:dyDescent="0.25">
      <c r="E33" s="85"/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4122-EA05-45FA-908B-61F26C29C64E}">
  <dimension ref="B2:I22"/>
  <sheetViews>
    <sheetView zoomScale="85" zoomScaleNormal="85" workbookViewId="0">
      <selection activeCell="D25" sqref="D25"/>
    </sheetView>
  </sheetViews>
  <sheetFormatPr defaultRowHeight="15" x14ac:dyDescent="0.25"/>
  <cols>
    <col min="3" max="3" width="38.42578125" customWidth="1"/>
    <col min="4" max="4" width="25.42578125" bestFit="1" customWidth="1"/>
    <col min="5" max="5" width="15" customWidth="1"/>
    <col min="6" max="7" width="15.7109375" customWidth="1"/>
    <col min="8" max="8" width="13.5703125" bestFit="1" customWidth="1"/>
    <col min="9" max="9" width="12.42578125" bestFit="1" customWidth="1"/>
  </cols>
  <sheetData>
    <row r="2" spans="2:9" s="17" customFormat="1" ht="15.75" x14ac:dyDescent="0.25">
      <c r="B2" s="30"/>
      <c r="C2" s="31" t="s">
        <v>47</v>
      </c>
      <c r="D2" s="30"/>
      <c r="E2" s="32"/>
      <c r="F2" s="33"/>
      <c r="G2" s="34"/>
      <c r="H2" s="34"/>
      <c r="I2" s="34"/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43" customFormat="1" ht="15.75" x14ac:dyDescent="0.25">
      <c r="B4" s="13">
        <v>1</v>
      </c>
      <c r="C4" s="14" t="s">
        <v>35</v>
      </c>
      <c r="D4" s="13" t="s">
        <v>9</v>
      </c>
      <c r="E4" s="6">
        <v>-1</v>
      </c>
      <c r="F4" s="25">
        <f>+G5</f>
        <v>47112.332090000004</v>
      </c>
      <c r="G4" s="16">
        <f>E4*F4</f>
        <v>-47112.332090000004</v>
      </c>
      <c r="H4" s="16">
        <f>G4*0.2</f>
        <v>-9422.4664180000018</v>
      </c>
      <c r="I4" s="16">
        <f>G4+H4</f>
        <v>-56534.798508000007</v>
      </c>
    </row>
    <row r="5" spans="2:9" s="17" customFormat="1" ht="31.5" x14ac:dyDescent="0.25">
      <c r="B5" s="13">
        <v>2</v>
      </c>
      <c r="C5" s="14" t="s">
        <v>78</v>
      </c>
      <c r="D5" s="13" t="s">
        <v>10</v>
      </c>
      <c r="E5" s="15">
        <v>859.87100000000009</v>
      </c>
      <c r="F5" s="87">
        <v>54.79</v>
      </c>
      <c r="G5" s="16">
        <f>E5*F5</f>
        <v>47112.332090000004</v>
      </c>
      <c r="H5" s="16">
        <f>G5*0.2</f>
        <v>9422.4664180000018</v>
      </c>
      <c r="I5" s="16">
        <f t="shared" ref="I5" si="0">G5+H5</f>
        <v>56534.798508000007</v>
      </c>
    </row>
    <row r="6" spans="2:9" s="17" customFormat="1" ht="15.75" x14ac:dyDescent="0.25">
      <c r="B6" s="26">
        <v>3</v>
      </c>
      <c r="C6" s="27" t="s">
        <v>21</v>
      </c>
      <c r="D6" s="26" t="s">
        <v>10</v>
      </c>
      <c r="E6" s="28">
        <f>E5</f>
        <v>859.87100000000009</v>
      </c>
      <c r="F6" s="77">
        <v>1.0194000000000001</v>
      </c>
      <c r="G6" s="29">
        <f>E6*F6</f>
        <v>876.55249740000022</v>
      </c>
      <c r="H6" s="29">
        <f t="shared" ref="H6:H7" si="1">G6*0.2</f>
        <v>175.31049948000006</v>
      </c>
      <c r="I6" s="29">
        <f t="shared" ref="I6:I7" si="2">G6+H6</f>
        <v>1051.8629968800003</v>
      </c>
    </row>
    <row r="7" spans="2:9" s="17" customFormat="1" ht="15.75" x14ac:dyDescent="0.25">
      <c r="B7" s="13">
        <v>4</v>
      </c>
      <c r="C7" s="14" t="s">
        <v>13</v>
      </c>
      <c r="D7" s="13" t="s">
        <v>14</v>
      </c>
      <c r="E7" s="15"/>
      <c r="F7" s="18"/>
      <c r="G7" s="16">
        <f t="shared" ref="G7" si="3">E7*F7</f>
        <v>0</v>
      </c>
      <c r="H7" s="16">
        <f t="shared" si="1"/>
        <v>0</v>
      </c>
      <c r="I7" s="16">
        <f t="shared" si="2"/>
        <v>0</v>
      </c>
    </row>
    <row r="8" spans="2:9" s="17" customFormat="1" ht="15.75" x14ac:dyDescent="0.25">
      <c r="B8" s="30"/>
      <c r="C8" s="31"/>
      <c r="D8" s="30"/>
      <c r="E8" s="32"/>
      <c r="F8" s="18"/>
      <c r="G8" s="16"/>
      <c r="H8" s="16"/>
      <c r="I8" s="16"/>
    </row>
    <row r="9" spans="2:9" ht="15.75" x14ac:dyDescent="0.25">
      <c r="B9" s="3"/>
      <c r="C9" s="3"/>
      <c r="D9" s="3"/>
      <c r="E9" s="3"/>
      <c r="F9" s="8" t="s">
        <v>15</v>
      </c>
      <c r="G9" s="9">
        <f>SUM(G4:G7)</f>
        <v>876.55249740000022</v>
      </c>
      <c r="H9" s="9">
        <f>SUM(H4:H7)</f>
        <v>175.31049948000006</v>
      </c>
      <c r="I9" s="9">
        <f>SUM(I4:I7)</f>
        <v>1051.8629968800003</v>
      </c>
    </row>
    <row r="11" spans="2:9" x14ac:dyDescent="0.25">
      <c r="E11" s="21"/>
    </row>
    <row r="12" spans="2:9" ht="15.75" x14ac:dyDescent="0.25">
      <c r="C12" s="12" t="s">
        <v>26</v>
      </c>
      <c r="H12" s="19"/>
    </row>
    <row r="13" spans="2:9" x14ac:dyDescent="0.25">
      <c r="G13" s="23"/>
    </row>
    <row r="18" spans="2:6" s="47" customFormat="1" ht="15.75" x14ac:dyDescent="0.25">
      <c r="B18" s="43" t="s">
        <v>39</v>
      </c>
      <c r="C18" s="89"/>
      <c r="D18" s="89"/>
      <c r="E18" s="109">
        <v>39609.851999999999</v>
      </c>
      <c r="F18" s="113" t="s">
        <v>16</v>
      </c>
    </row>
    <row r="19" spans="2:6" s="47" customFormat="1" ht="15.75" x14ac:dyDescent="0.25">
      <c r="B19" s="43" t="s">
        <v>40</v>
      </c>
      <c r="C19" s="43"/>
      <c r="D19" s="43"/>
      <c r="E19" s="109">
        <v>23028.6</v>
      </c>
      <c r="F19" s="113" t="s">
        <v>16</v>
      </c>
    </row>
    <row r="20" spans="2:6" s="47" customFormat="1" ht="15.75" x14ac:dyDescent="0.25">
      <c r="B20" s="43"/>
      <c r="C20" s="43"/>
      <c r="D20" s="43"/>
      <c r="E20" s="112"/>
      <c r="F20" s="113"/>
    </row>
    <row r="21" spans="2:6" s="47" customFormat="1" x14ac:dyDescent="0.25">
      <c r="B21" s="43"/>
      <c r="C21" s="43" t="s">
        <v>17</v>
      </c>
      <c r="D21" s="43"/>
      <c r="E21" s="68">
        <f>E19+I4+E18-5049.55*1.2</f>
        <v>44.193491999990329</v>
      </c>
      <c r="F21" s="113" t="s">
        <v>16</v>
      </c>
    </row>
    <row r="22" spans="2:6" s="47" customFormat="1" x14ac:dyDescent="0.25">
      <c r="B22" s="43"/>
      <c r="C22" s="43" t="s">
        <v>17</v>
      </c>
      <c r="D22" s="43"/>
      <c r="E22" s="68">
        <f>+E21/1.2</f>
        <v>36.827909999991945</v>
      </c>
      <c r="F22" s="113" t="s">
        <v>19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8F32-51E8-4A32-91B9-641F266CCE61}">
  <dimension ref="B2:I21"/>
  <sheetViews>
    <sheetView topLeftCell="B1" workbookViewId="0">
      <selection activeCell="G10" sqref="G10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2.140625" style="3" bestFit="1" customWidth="1"/>
    <col min="10" max="16384" width="8.85546875" style="3"/>
  </cols>
  <sheetData>
    <row r="2" spans="2:9" x14ac:dyDescent="0.25">
      <c r="C2" s="3" t="s">
        <v>48</v>
      </c>
    </row>
    <row r="3" spans="2:9" s="12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43" customFormat="1" x14ac:dyDescent="0.25">
      <c r="B4" s="13">
        <v>1</v>
      </c>
      <c r="C4" s="14" t="s">
        <v>36</v>
      </c>
      <c r="D4" s="13" t="s">
        <v>9</v>
      </c>
      <c r="E4" s="6">
        <v>-1</v>
      </c>
      <c r="F4" s="25">
        <f>+G5</f>
        <v>38100.359439999993</v>
      </c>
      <c r="G4" s="16">
        <f>E4*F4</f>
        <v>-38100.359439999993</v>
      </c>
      <c r="H4" s="16">
        <f>G4*0.2</f>
        <v>-7620.0718879999986</v>
      </c>
      <c r="I4" s="16">
        <f>G4+H4</f>
        <v>-45720.431327999991</v>
      </c>
    </row>
    <row r="5" spans="2:9" s="12" customFormat="1" ht="47.25" x14ac:dyDescent="0.25">
      <c r="B5" s="13">
        <v>1</v>
      </c>
      <c r="C5" s="14" t="s">
        <v>79</v>
      </c>
      <c r="D5" s="13" t="s">
        <v>10</v>
      </c>
      <c r="E5" s="15">
        <v>801.94399999999996</v>
      </c>
      <c r="F5" s="52">
        <v>47.51</v>
      </c>
      <c r="G5" s="16">
        <f t="shared" ref="G5" si="0">E5*F5</f>
        <v>38100.359439999993</v>
      </c>
      <c r="H5" s="16">
        <f>G5*0.2</f>
        <v>7620.0718879999986</v>
      </c>
      <c r="I5" s="16">
        <f t="shared" ref="I5" si="1">G5+H5</f>
        <v>45720.431327999991</v>
      </c>
    </row>
    <row r="6" spans="2:9" s="12" customFormat="1" x14ac:dyDescent="0.25">
      <c r="B6" s="26">
        <v>2</v>
      </c>
      <c r="C6" s="27" t="s">
        <v>11</v>
      </c>
      <c r="D6" s="26" t="s">
        <v>10</v>
      </c>
      <c r="E6" s="28">
        <f>E5</f>
        <v>801.94399999999996</v>
      </c>
      <c r="F6" s="77">
        <v>1.0194000000000001</v>
      </c>
      <c r="G6" s="29">
        <f>E6*F6</f>
        <v>817.50171360000002</v>
      </c>
      <c r="H6" s="29">
        <f t="shared" ref="H6:H7" si="2">G6*0.2</f>
        <v>163.50034272000002</v>
      </c>
      <c r="I6" s="29">
        <f t="shared" ref="I6:I7" si="3">G6+H6</f>
        <v>981.00205632000007</v>
      </c>
    </row>
    <row r="7" spans="2:9" s="12" customFormat="1" x14ac:dyDescent="0.25">
      <c r="B7" s="26">
        <v>3</v>
      </c>
      <c r="C7" s="27" t="s">
        <v>27</v>
      </c>
      <c r="D7" s="26" t="s">
        <v>10</v>
      </c>
      <c r="E7" s="28">
        <v>848.30000000000007</v>
      </c>
      <c r="F7" s="77">
        <v>4.5969999999999995</v>
      </c>
      <c r="G7" s="29">
        <f t="shared" ref="G7" si="4">E7*F7</f>
        <v>3899.6351</v>
      </c>
      <c r="H7" s="29">
        <f t="shared" si="2"/>
        <v>779.92702000000008</v>
      </c>
      <c r="I7" s="29">
        <f t="shared" si="3"/>
        <v>4679.5621200000005</v>
      </c>
    </row>
    <row r="8" spans="2:9" s="12" customFormat="1" x14ac:dyDescent="0.25">
      <c r="B8" s="26">
        <v>3</v>
      </c>
      <c r="C8" s="27" t="s">
        <v>28</v>
      </c>
      <c r="D8" s="26" t="s">
        <v>10</v>
      </c>
      <c r="E8" s="28">
        <v>19.305</v>
      </c>
      <c r="F8" s="77">
        <v>5.7462999999999997</v>
      </c>
      <c r="G8" s="29">
        <f t="shared" ref="G8:G9" si="5">E8*F8</f>
        <v>110.9323215</v>
      </c>
      <c r="H8" s="29">
        <f t="shared" ref="H8:H9" si="6">G8*0.2</f>
        <v>22.186464300000001</v>
      </c>
      <c r="I8" s="29">
        <f t="shared" ref="I8:I9" si="7">G8+H8</f>
        <v>133.11878580000001</v>
      </c>
    </row>
    <row r="9" spans="2:9" s="12" customFormat="1" x14ac:dyDescent="0.25">
      <c r="B9" s="26">
        <v>4</v>
      </c>
      <c r="C9" s="27" t="s">
        <v>12</v>
      </c>
      <c r="D9" s="26" t="s">
        <v>10</v>
      </c>
      <c r="E9" s="28">
        <v>13.75</v>
      </c>
      <c r="F9" s="77">
        <v>8.3582999999999998</v>
      </c>
      <c r="G9" s="29">
        <f t="shared" si="5"/>
        <v>114.926625</v>
      </c>
      <c r="H9" s="29">
        <f t="shared" si="6"/>
        <v>22.985325000000003</v>
      </c>
      <c r="I9" s="29">
        <f t="shared" si="7"/>
        <v>137.91194999999999</v>
      </c>
    </row>
    <row r="10" spans="2:9" x14ac:dyDescent="0.25">
      <c r="F10" s="8" t="s">
        <v>15</v>
      </c>
      <c r="G10" s="9">
        <f>SUM(G4:G9)</f>
        <v>4942.9957601000006</v>
      </c>
      <c r="H10" s="9">
        <f>SUM(H4:H9)</f>
        <v>988.59915202000013</v>
      </c>
      <c r="I10" s="9">
        <f>SUM(I4:I9)</f>
        <v>5931.5949121200001</v>
      </c>
    </row>
    <row r="15" spans="2:9" x14ac:dyDescent="0.25">
      <c r="C15" s="20" t="s">
        <v>29</v>
      </c>
    </row>
    <row r="17" spans="2:6" s="47" customFormat="1" x14ac:dyDescent="0.25">
      <c r="B17" s="43" t="s">
        <v>65</v>
      </c>
      <c r="C17" s="89"/>
      <c r="D17" s="89"/>
      <c r="E17" s="109">
        <v>52381.08</v>
      </c>
      <c r="F17" s="113" t="s">
        <v>16</v>
      </c>
    </row>
    <row r="18" spans="2:6" s="47" customFormat="1" x14ac:dyDescent="0.25">
      <c r="B18" s="43" t="s">
        <v>66</v>
      </c>
      <c r="C18" s="43"/>
      <c r="D18" s="43"/>
      <c r="E18" s="109">
        <v>52381.08</v>
      </c>
      <c r="F18" s="113" t="s">
        <v>16</v>
      </c>
    </row>
    <row r="19" spans="2:6" s="47" customFormat="1" x14ac:dyDescent="0.25">
      <c r="B19" s="43"/>
      <c r="C19" s="43"/>
      <c r="D19" s="43"/>
      <c r="E19" s="112"/>
      <c r="F19" s="113"/>
    </row>
    <row r="20" spans="2:6" s="47" customFormat="1" ht="15" x14ac:dyDescent="0.25">
      <c r="B20" s="43"/>
      <c r="C20" s="43" t="s">
        <v>17</v>
      </c>
      <c r="D20" s="43"/>
      <c r="E20" s="68">
        <f>E18+I4+E17</f>
        <v>59041.728672000012</v>
      </c>
      <c r="F20" s="113" t="s">
        <v>16</v>
      </c>
    </row>
    <row r="21" spans="2:6" s="47" customFormat="1" ht="15" x14ac:dyDescent="0.25">
      <c r="B21" s="43"/>
      <c r="C21" s="43" t="s">
        <v>17</v>
      </c>
      <c r="D21" s="43"/>
      <c r="E21" s="68">
        <f>+E20/1.2</f>
        <v>49201.44056000001</v>
      </c>
      <c r="F21" s="113" t="s">
        <v>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4C501-6E2D-4646-99CB-FA00E71F68C0}">
  <dimension ref="B2:I11"/>
  <sheetViews>
    <sheetView workbookViewId="0">
      <selection activeCell="E15" sqref="E15"/>
    </sheetView>
  </sheetViews>
  <sheetFormatPr defaultRowHeight="15" x14ac:dyDescent="0.25"/>
  <cols>
    <col min="3" max="3" width="32.85546875" customWidth="1"/>
    <col min="4" max="4" width="17.28515625" customWidth="1"/>
    <col min="5" max="5" width="15" customWidth="1"/>
    <col min="6" max="6" width="12.42578125" customWidth="1"/>
    <col min="7" max="7" width="15.7109375" customWidth="1"/>
    <col min="8" max="8" width="13.5703125" bestFit="1" customWidth="1"/>
    <col min="9" max="9" width="12.42578125" bestFit="1" customWidth="1"/>
  </cols>
  <sheetData>
    <row r="2" spans="2:9" s="17" customFormat="1" ht="15.75" x14ac:dyDescent="0.25">
      <c r="B2" s="30"/>
      <c r="C2" s="31" t="s">
        <v>49</v>
      </c>
      <c r="D2" s="30"/>
      <c r="E2" s="32"/>
      <c r="F2" s="33"/>
      <c r="G2" s="34"/>
      <c r="H2" s="34"/>
      <c r="I2" s="34"/>
    </row>
    <row r="3" spans="2:9" s="17" customFormat="1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42" t="s">
        <v>6</v>
      </c>
      <c r="I3" s="2" t="s">
        <v>7</v>
      </c>
    </row>
    <row r="4" spans="2:9" s="17" customFormat="1" ht="47.25" x14ac:dyDescent="0.25">
      <c r="B4" s="13">
        <v>1</v>
      </c>
      <c r="C4" s="14" t="s">
        <v>80</v>
      </c>
      <c r="D4" s="13" t="s">
        <v>10</v>
      </c>
      <c r="E4" s="15">
        <v>3406.5899999999992</v>
      </c>
      <c r="F4" s="87">
        <v>56.081947999999997</v>
      </c>
      <c r="G4" s="16">
        <f>E4*F4</f>
        <v>191048.20323731995</v>
      </c>
      <c r="H4" s="16">
        <f>G4*0.2</f>
        <v>38209.640647463988</v>
      </c>
      <c r="I4" s="16">
        <f t="shared" ref="I4:I6" si="0">G4+H4</f>
        <v>229257.84388478394</v>
      </c>
    </row>
    <row r="5" spans="2:9" s="17" customFormat="1" ht="15.75" x14ac:dyDescent="0.25">
      <c r="B5" s="26">
        <v>2</v>
      </c>
      <c r="C5" s="27" t="s">
        <v>21</v>
      </c>
      <c r="D5" s="26" t="s">
        <v>10</v>
      </c>
      <c r="E5" s="15">
        <f>+E4</f>
        <v>3406.5899999999992</v>
      </c>
      <c r="F5" s="77">
        <v>1.0194000000000001</v>
      </c>
      <c r="G5" s="29">
        <f>E5*F5</f>
        <v>3472.6778459999996</v>
      </c>
      <c r="H5" s="29">
        <f t="shared" ref="H5:H6" si="1">G5*0.2</f>
        <v>694.53556919999994</v>
      </c>
      <c r="I5" s="29">
        <f t="shared" si="0"/>
        <v>4167.2134151999999</v>
      </c>
    </row>
    <row r="6" spans="2:9" s="17" customFormat="1" ht="15.75" x14ac:dyDescent="0.25">
      <c r="B6" s="13">
        <v>5</v>
      </c>
      <c r="C6" s="14" t="s">
        <v>13</v>
      </c>
      <c r="D6" s="13" t="s">
        <v>14</v>
      </c>
      <c r="E6" s="15"/>
      <c r="F6" s="18"/>
      <c r="G6" s="16">
        <f t="shared" ref="G6" si="2">E6*F6</f>
        <v>0</v>
      </c>
      <c r="H6" s="16">
        <f t="shared" si="1"/>
        <v>0</v>
      </c>
      <c r="I6" s="16">
        <f t="shared" si="0"/>
        <v>0</v>
      </c>
    </row>
    <row r="7" spans="2:9" ht="15.75" x14ac:dyDescent="0.25">
      <c r="B7" s="3"/>
      <c r="C7" s="3"/>
      <c r="D7" s="3"/>
      <c r="E7" s="3"/>
      <c r="F7" s="8" t="s">
        <v>15</v>
      </c>
      <c r="G7" s="9">
        <f>SUM(G4:G6)</f>
        <v>194520.88108331995</v>
      </c>
      <c r="H7" s="9">
        <f t="shared" ref="H7:I7" si="3">SUM(H4:H6)</f>
        <v>38904.176216663989</v>
      </c>
      <c r="I7" s="9">
        <f t="shared" si="3"/>
        <v>233425.05729998395</v>
      </c>
    </row>
    <row r="9" spans="2:9" x14ac:dyDescent="0.25">
      <c r="E9" s="21"/>
    </row>
    <row r="10" spans="2:9" ht="15.75" x14ac:dyDescent="0.25">
      <c r="C10" s="12"/>
      <c r="H10" s="19"/>
    </row>
    <row r="11" spans="2:9" x14ac:dyDescent="0.25">
      <c r="G11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8F0FB79-D99B-4C06-98F7-309E5B14E117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2.xml><?xml version="1.0" encoding="utf-8"?>
<ds:datastoreItem xmlns:ds="http://schemas.openxmlformats.org/officeDocument/2006/customXml" ds:itemID="{964903AB-72E5-4BCC-ABCC-CD519F41F0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E4A5D5-D1E1-420A-B3FA-B76BCC3FB3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Оконч.плащане Русе Кемикълс</vt:lpstr>
      <vt:lpstr>Оконч.плащане Труд </vt:lpstr>
      <vt:lpstr>Оконч.плащане Берус</vt:lpstr>
      <vt:lpstr>Оконч.плащане Бултекс 1</vt:lpstr>
      <vt:lpstr>Оконч.плащане Доминекс</vt:lpstr>
      <vt:lpstr>оконч. плащане РВД </vt:lpstr>
      <vt:lpstr>Оконч. плащане Тенекс С</vt:lpstr>
      <vt:lpstr>Оконч.плащане Декотекс</vt:lpstr>
      <vt:lpstr>Оконч.плащане ЕМИ</vt:lpstr>
      <vt:lpstr>Оконч.плащане Алуком</vt:lpstr>
      <vt:lpstr>Оконч.плащане Илинден</vt:lpstr>
      <vt:lpstr>Оконч.плащане Ваптех АМ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Aneta Ivanova</cp:lastModifiedBy>
  <cp:revision/>
  <dcterms:created xsi:type="dcterms:W3CDTF">2020-04-03T06:22:14Z</dcterms:created>
  <dcterms:modified xsi:type="dcterms:W3CDTF">2024-04-09T07:41:37Z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