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Топлофикации/DRUGI_KLIENTI/Окончателни фактури/"/>
    </mc:Choice>
  </mc:AlternateContent>
  <xr:revisionPtr revIDLastSave="3361" documentId="8_{290B685A-61D3-4331-9FB5-CD31459AB3D8}" xr6:coauthVersionLast="47" xr6:coauthVersionMax="47" xr10:uidLastSave="{8BB4B36F-841B-4063-A254-9F6CDF76E86A}"/>
  <bookViews>
    <workbookView xWindow="-120" yWindow="-120" windowWidth="29040" windowHeight="15840" tabRatio="895" xr2:uid="{D93E4178-CC31-4D87-86F4-CC1B2ECB3685}"/>
  </bookViews>
  <sheets>
    <sheet name="Оконч.плащане Труд " sheetId="36" r:id="rId1"/>
    <sheet name="Оконч.плащане Бултекс 1" sheetId="33" r:id="rId2"/>
    <sheet name="Оконч.плащане Доминекс" sheetId="5" r:id="rId3"/>
    <sheet name="оконч. плащане РВД " sheetId="31" r:id="rId4"/>
    <sheet name="Оконч.плащане Алуком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6" l="1"/>
  <c r="B5" i="36"/>
  <c r="B6" i="36"/>
  <c r="B7" i="36" s="1"/>
  <c r="B8" i="36" s="1"/>
  <c r="B9" i="36" s="1"/>
  <c r="B4" i="36"/>
  <c r="G7" i="36"/>
  <c r="H7" i="36" l="1"/>
  <c r="I7" i="36" s="1"/>
  <c r="G18" i="5"/>
  <c r="G19" i="5" s="1"/>
  <c r="G6" i="36"/>
  <c r="E5" i="36"/>
  <c r="H6" i="36" l="1"/>
  <c r="I6" i="36"/>
  <c r="G7" i="33" l="1"/>
  <c r="H7" i="33" l="1"/>
  <c r="I7" i="33" s="1"/>
  <c r="G8" i="36" l="1"/>
  <c r="H8" i="36" l="1"/>
  <c r="I8" i="36" l="1"/>
  <c r="G9" i="36"/>
  <c r="G5" i="36"/>
  <c r="G4" i="36"/>
  <c r="G3" i="36" l="1"/>
  <c r="H3" i="36" s="1"/>
  <c r="I3" i="36" s="1"/>
  <c r="E20" i="36" s="1"/>
  <c r="G10" i="36"/>
  <c r="H4" i="36"/>
  <c r="H5" i="36"/>
  <c r="H9" i="36"/>
  <c r="I9" i="36" s="1"/>
  <c r="I4" i="36" l="1"/>
  <c r="H10" i="36"/>
  <c r="I5" i="36"/>
  <c r="E21" i="36" l="1"/>
  <c r="I10" i="36"/>
  <c r="G5" i="33"/>
  <c r="E6" i="33"/>
  <c r="G6" i="33" s="1"/>
  <c r="H5" i="33" l="1"/>
  <c r="I5" i="33" s="1"/>
  <c r="F4" i="33"/>
  <c r="G4" i="33" s="1"/>
  <c r="H6" i="33"/>
  <c r="H4" i="33" l="1"/>
  <c r="H8" i="33" s="1"/>
  <c r="G8" i="33"/>
  <c r="I6" i="33"/>
  <c r="I4" i="33" l="1"/>
  <c r="I8" i="33" s="1"/>
  <c r="G7" i="5"/>
  <c r="H7" i="5" s="1"/>
  <c r="E19" i="33" l="1"/>
  <c r="E20" i="33" s="1"/>
  <c r="I7" i="5"/>
  <c r="G10" i="31" l="1"/>
  <c r="H10" i="31" s="1"/>
  <c r="I10" i="31" s="1"/>
  <c r="E7" i="31"/>
  <c r="E9" i="31" s="1"/>
  <c r="G9" i="31" s="1"/>
  <c r="F8" i="31" s="1"/>
  <c r="G5" i="31"/>
  <c r="F4" i="31" s="1"/>
  <c r="B5" i="31"/>
  <c r="G4" i="31" l="1"/>
  <c r="G8" i="3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E27" i="31" s="1"/>
  <c r="H6" i="31"/>
  <c r="H11" i="31" s="1"/>
  <c r="G11" i="31"/>
  <c r="I6" i="31" l="1"/>
  <c r="E28" i="31" s="1"/>
  <c r="E26" i="31" s="1"/>
  <c r="I11" i="31" l="1"/>
  <c r="G5" i="5" l="1"/>
  <c r="F4" i="5" l="1"/>
  <c r="G4" i="5" s="1"/>
  <c r="H4" i="5" s="1"/>
  <c r="H5" i="5"/>
  <c r="I4" i="5" l="1"/>
  <c r="E21" i="5" s="1"/>
  <c r="E22" i="5" s="1"/>
  <c r="I5" i="5"/>
  <c r="E6" i="19" l="1"/>
  <c r="E6" i="5"/>
  <c r="G5" i="19" l="1"/>
  <c r="F4" i="19" l="1"/>
  <c r="G4" i="19" s="1"/>
  <c r="H4" i="19" s="1"/>
  <c r="H5" i="19"/>
  <c r="I4" i="19" l="1"/>
  <c r="I5" i="19"/>
  <c r="E19" i="19" l="1"/>
  <c r="E20" i="19" s="1"/>
  <c r="G6" i="5" l="1"/>
  <c r="H6" i="5" l="1"/>
  <c r="I6" i="5" l="1"/>
  <c r="G7" i="19" l="1"/>
  <c r="G6" i="19"/>
  <c r="G8" i="19" s="1"/>
  <c r="B7" i="19"/>
  <c r="H7" i="19" l="1"/>
  <c r="I7" i="19" s="1"/>
  <c r="H6" i="19"/>
  <c r="H8" i="19" s="1"/>
  <c r="I6" i="19" l="1"/>
  <c r="I8" i="19" s="1"/>
  <c r="G8" i="5" l="1"/>
  <c r="G9" i="5" s="1"/>
  <c r="H8" i="5" l="1"/>
  <c r="H9" i="5" s="1"/>
  <c r="I8" i="5" l="1"/>
  <c r="I9" i="5" s="1"/>
</calcChain>
</file>

<file path=xl/sharedStrings.xml><?xml version="1.0" encoding="utf-8"?>
<sst xmlns="http://schemas.openxmlformats.org/spreadsheetml/2006/main" count="156" uniqueCount="54">
  <si>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</si>
  <si>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</si>
  <si>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</si>
  <si>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</si>
  <si>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</si>
  <si>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</si>
  <si>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</si>
  <si>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</si>
  <si>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</si>
  <si>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</si>
  <si>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</si>
  <si>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</si>
  <si>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</si>
  <si>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</si>
  <si>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</si>
  <si>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</si>
  <si>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</si>
  <si>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</si>
  <si>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</si>
  <si>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</si>
  <si>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</si>
  <si>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</si>
  <si>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</si>
  <si>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</si>
  <si>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</si>
  <si>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</si>
  <si>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</si>
  <si>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</si>
  <si>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 Доминекс</t>
  </si>
  <si>
    <t>Клиенти по аванси Алуком</t>
  </si>
  <si>
    <t>Труд АД</t>
  </si>
  <si>
    <t>БУЛТЕКС 1</t>
  </si>
  <si>
    <t>Доминекс про ЕООД</t>
  </si>
  <si>
    <t>ДП РВД</t>
  </si>
  <si>
    <t xml:space="preserve"> АЛУКОМ АД</t>
  </si>
  <si>
    <t>Дневен капацитет</t>
  </si>
  <si>
    <t>Доставен природен газ на Труд АД по линия C025P01 м.август 2024</t>
  </si>
  <si>
    <t>Доставен природен газ на БУЛТЕКС 1 по линия С025P01  м.август 2024</t>
  </si>
  <si>
    <t>Доставен природен газ на Доминекс про ЕООД по линия C025P01 м.август 2024</t>
  </si>
  <si>
    <t>Доставка на природен газ по линия C050P01 м.август 2024</t>
  </si>
  <si>
    <t>Търговска надбавка за доставка на природен газ м.август 2024</t>
  </si>
  <si>
    <t>Доставен природен газ на АЛУКОМ АД по линия C041P03  м.август 2024</t>
  </si>
  <si>
    <t>Клиенти по аванси ф-ра 3000002936/22.08.2024</t>
  </si>
  <si>
    <t>Клиенти по аванси ф-ра 3000002925/09.08.2024</t>
  </si>
  <si>
    <t>Клиенти по аванси ф-ра 3000002939/22.08.2024</t>
  </si>
  <si>
    <t>Клиенти по аванси ф-ра 3000002928/09.08.2024</t>
  </si>
  <si>
    <t>Клиенти по аванси ф-ра 3000002937/22.08.2024</t>
  </si>
  <si>
    <t>Клиенти по аванси ф-ра 3000002926/09.08.2024</t>
  </si>
  <si>
    <t>Клиенти по аванси ф-ра 3000002938/22.08.2024</t>
  </si>
  <si>
    <t>Клиенти по аванси ф-ра 3000002927/09.08.2024</t>
  </si>
  <si>
    <t>Клиенти по аванси ф-ра 3000002940/22.08.2024</t>
  </si>
  <si>
    <t>Клиенти по аванси ф-ра 3000002929/09.08.2024</t>
  </si>
  <si>
    <t>Капацитет в рамките на деня</t>
  </si>
  <si>
    <t>Клиенти по аванси-Труд 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</si>
</sst>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7" fillId="0" borderId="0" xfId="0" applyNumberFormat="1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  <xf numFmtId="164" fontId="7" fillId="3" borderId="0" xfId="0" applyNumberFormat="1" applyFont="1" applyFill="1" applyAlignment="1">
      <alignment horizontal="center" vertical="center"/>
    </xf>
    <xf numFmtId="0" fontId="6" fillId="0" borderId="1" xfId="0" applyFont="1" applyBorder="1"/>
    <xf numFmtId="4" fontId="6" fillId="0" borderId="1" xfId="0" applyNumberFormat="1" applyFont="1" applyBorder="1"/>
    <xf numFmtId="2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6" fillId="3" borderId="0" xfId="0" applyFont="1" applyFill="1"/>
    <xf numFmtId="4" fontId="6" fillId="3" borderId="0" xfId="0" applyNumberFormat="1" applyFont="1" applyFill="1"/>
    <xf numFmtId="4" fontId="7" fillId="3" borderId="0" xfId="0" applyNumberFormat="1" applyFont="1" applyFill="1"/>
    <xf numFmtId="2" fontId="7" fillId="0" borderId="0" xfId="0" applyNumberFormat="1" applyFont="1"/>
    <xf numFmtId="0" fontId="6" fillId="0" borderId="0" xfId="0" applyFont="1"/>
    <xf numFmtId="0" fontId="7" fillId="3" borderId="3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0" xfId="0" applyNumberFormat="1" applyFont="1"/>
    <xf numFmtId="0" fontId="7" fillId="3" borderId="2" xfId="0" applyFont="1" applyFill="1" applyBorder="1" applyAlignment="1">
      <alignment horizontal="left" wrapText="1"/>
    </xf>
    <xf numFmtId="165" fontId="2" fillId="3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0" fontId="8" fillId="0" borderId="0" xfId="0" applyFont="1"/>
    <xf numFmtId="0" fontId="8" fillId="3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1" xfId="0" applyFont="1" applyBorder="1"/>
    <xf numFmtId="4" fontId="9" fillId="0" borderId="1" xfId="0" applyNumberFormat="1" applyFont="1" applyBorder="1"/>
    <xf numFmtId="0" fontId="10" fillId="4" borderId="0" xfId="0" applyFont="1" applyFill="1"/>
    <xf numFmtId="4" fontId="8" fillId="3" borderId="1" xfId="0" applyNumberFormat="1" applyFont="1" applyFill="1" applyBorder="1" applyAlignment="1" applyProtection="1">
      <alignment horizontal="center"/>
      <protection locked="0"/>
    </xf>
    <xf numFmtId="165" fontId="8" fillId="3" borderId="3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4" fontId="8" fillId="0" borderId="0" xfId="0" applyNumberFormat="1" applyFont="1"/>
    <xf numFmtId="4" fontId="9" fillId="3" borderId="1" xfId="0" applyNumberFormat="1" applyFont="1" applyFill="1" applyBorder="1"/>
    <xf numFmtId="2" fontId="6" fillId="3" borderId="0" xfId="0" applyNumberFormat="1" applyFont="1" applyFill="1"/>
    <xf numFmtId="4" fontId="9" fillId="3" borderId="0" xfId="0" applyNumberFormat="1" applyFont="1" applyFill="1"/>
    <xf numFmtId="0" fontId="12" fillId="3" borderId="0" xfId="0" applyFont="1" applyFill="1"/>
    <xf numFmtId="2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1:I22"/>
  <sheetViews>
    <sheetView tabSelected="1" topLeftCell="B1" zoomScaleNormal="100" workbookViewId="0">
      <selection activeCell="C31" sqref="C31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30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53</v>
      </c>
      <c r="D3" s="37" t="s">
        <v>8</v>
      </c>
      <c r="E3" s="39">
        <v>-1</v>
      </c>
      <c r="F3" s="34">
        <v>18312</v>
      </c>
      <c r="G3" s="40">
        <f>E3*F3</f>
        <v>-18312</v>
      </c>
      <c r="H3" s="40">
        <f>G3*0.2</f>
        <v>-3662.4</v>
      </c>
      <c r="I3" s="40">
        <f>G3+H3</f>
        <v>-21974.400000000001</v>
      </c>
    </row>
    <row r="4" spans="2:9" s="31" customFormat="1" ht="30" x14ac:dyDescent="0.25">
      <c r="B4" s="37">
        <f>+B3+1</f>
        <v>2</v>
      </c>
      <c r="C4" s="38" t="s">
        <v>36</v>
      </c>
      <c r="D4" s="37" t="s">
        <v>9</v>
      </c>
      <c r="E4" s="39">
        <v>412.44199999999995</v>
      </c>
      <c r="F4" s="96">
        <v>61.29</v>
      </c>
      <c r="G4" s="40">
        <f>E4*F4</f>
        <v>25278.570179999995</v>
      </c>
      <c r="H4" s="40">
        <f>G4*0.2</f>
        <v>5055.7140359999994</v>
      </c>
      <c r="I4" s="40">
        <f>G4+H4</f>
        <v>30334.284215999993</v>
      </c>
    </row>
    <row r="5" spans="2:9" s="31" customFormat="1" ht="15.75" x14ac:dyDescent="0.25">
      <c r="B5" s="37">
        <f t="shared" ref="B5:B9" si="0">+B4+1</f>
        <v>3</v>
      </c>
      <c r="C5" s="38" t="s">
        <v>10</v>
      </c>
      <c r="D5" s="37" t="s">
        <v>9</v>
      </c>
      <c r="E5" s="39">
        <f>+E4</f>
        <v>412.44199999999995</v>
      </c>
      <c r="F5" s="64">
        <v>0.52290000000000003</v>
      </c>
      <c r="G5" s="40">
        <f>E5*F5</f>
        <v>215.66592179999998</v>
      </c>
      <c r="H5" s="40">
        <f t="shared" ref="H5:H9" si="1">G5*0.2</f>
        <v>43.133184360000001</v>
      </c>
      <c r="I5" s="40">
        <f t="shared" ref="I5:I9" si="2">G5+H5</f>
        <v>258.79910615999995</v>
      </c>
    </row>
    <row r="6" spans="2:9" s="31" customFormat="1" ht="15.75" x14ac:dyDescent="0.25">
      <c r="B6" s="37">
        <f t="shared" si="0"/>
        <v>4</v>
      </c>
      <c r="C6" s="48" t="s">
        <v>35</v>
      </c>
      <c r="D6" s="37" t="s">
        <v>9</v>
      </c>
      <c r="E6" s="49">
        <v>85</v>
      </c>
      <c r="F6" s="64">
        <v>0.90800000000000003</v>
      </c>
      <c r="G6" s="83">
        <f t="shared" ref="G6" si="3">E6*F6</f>
        <v>77.180000000000007</v>
      </c>
      <c r="H6" s="83">
        <f t="shared" si="1"/>
        <v>15.436000000000002</v>
      </c>
      <c r="I6" s="83">
        <f t="shared" si="2"/>
        <v>92.616000000000014</v>
      </c>
    </row>
    <row r="7" spans="2:9" s="31" customFormat="1" ht="15.75" x14ac:dyDescent="0.25">
      <c r="B7" s="37">
        <f t="shared" si="0"/>
        <v>5</v>
      </c>
      <c r="C7" s="48" t="s">
        <v>52</v>
      </c>
      <c r="D7" s="37" t="s">
        <v>9</v>
      </c>
      <c r="E7" s="49">
        <v>7</v>
      </c>
      <c r="F7" s="64">
        <v>1.135</v>
      </c>
      <c r="G7" s="83">
        <f t="shared" ref="G7" si="4">E7*F7</f>
        <v>7.9450000000000003</v>
      </c>
      <c r="H7" s="83">
        <f t="shared" ref="H7" si="5">G7*0.2</f>
        <v>1.5890000000000002</v>
      </c>
      <c r="I7" s="83">
        <f t="shared" ref="I7" si="6">G7+H7</f>
        <v>9.5340000000000007</v>
      </c>
    </row>
    <row r="8" spans="2:9" s="31" customFormat="1" ht="15.75" x14ac:dyDescent="0.25">
      <c r="B8" s="37">
        <f t="shared" si="0"/>
        <v>6</v>
      </c>
      <c r="C8" s="81" t="s">
        <v>11</v>
      </c>
      <c r="D8" s="80" t="s">
        <v>9</v>
      </c>
      <c r="E8" s="84">
        <v>28.315000000000001</v>
      </c>
      <c r="F8" s="89">
        <v>3.3016999999999999</v>
      </c>
      <c r="G8" s="83">
        <f>E8*F8</f>
        <v>93.487635499999996</v>
      </c>
      <c r="H8" s="83">
        <f>G8*0.2</f>
        <v>18.697527099999999</v>
      </c>
      <c r="I8" s="83">
        <f>G8+H8</f>
        <v>112.1851626</v>
      </c>
    </row>
    <row r="9" spans="2:9" x14ac:dyDescent="0.25">
      <c r="B9" s="37">
        <f t="shared" si="0"/>
        <v>7</v>
      </c>
      <c r="C9" s="50" t="s">
        <v>12</v>
      </c>
      <c r="D9" s="51" t="s">
        <v>13</v>
      </c>
      <c r="E9" s="52"/>
      <c r="F9" s="53"/>
      <c r="G9" s="54">
        <f t="shared" ref="G9" si="7">E9*F9</f>
        <v>0</v>
      </c>
      <c r="H9" s="54">
        <f t="shared" si="1"/>
        <v>0</v>
      </c>
      <c r="I9" s="54">
        <f t="shared" si="2"/>
        <v>0</v>
      </c>
    </row>
    <row r="10" spans="2:9" x14ac:dyDescent="0.25">
      <c r="F10" s="44" t="s">
        <v>14</v>
      </c>
      <c r="G10" s="45">
        <f t="shared" ref="G10:H10" si="8">SUM(G3:G9)</f>
        <v>7360.8487372999953</v>
      </c>
      <c r="H10" s="45">
        <f t="shared" si="8"/>
        <v>1472.1697474599991</v>
      </c>
      <c r="I10" s="45">
        <f>SUM(I3:I9)</f>
        <v>8833.0184847599921</v>
      </c>
    </row>
    <row r="15" spans="2:9" ht="13.9" x14ac:dyDescent="0.25">
      <c r="F15" s="36"/>
    </row>
    <row r="17" spans="2:8" s="31" customFormat="1" ht="15.75" x14ac:dyDescent="0.25">
      <c r="B17" s="31" t="s">
        <v>42</v>
      </c>
      <c r="E17" s="92">
        <v>10987.199999999999</v>
      </c>
      <c r="F17" s="55" t="s">
        <v>15</v>
      </c>
      <c r="G17" s="57">
        <f>+E17+E18</f>
        <v>21974.399999999998</v>
      </c>
    </row>
    <row r="18" spans="2:8" s="31" customFormat="1" ht="15.75" x14ac:dyDescent="0.25">
      <c r="B18" s="31" t="s">
        <v>43</v>
      </c>
      <c r="E18" s="92">
        <v>10987.199999999999</v>
      </c>
      <c r="F18" s="55" t="s">
        <v>15</v>
      </c>
    </row>
    <row r="19" spans="2:8" s="31" customFormat="1" ht="15.6" x14ac:dyDescent="0.3">
      <c r="E19" s="67"/>
      <c r="F19" s="55"/>
    </row>
    <row r="20" spans="2:8" s="31" customFormat="1" x14ac:dyDescent="0.25">
      <c r="C20" s="31" t="s">
        <v>16</v>
      </c>
      <c r="E20" s="56">
        <f>E18+I3+E17</f>
        <v>0</v>
      </c>
      <c r="F20" s="55" t="s">
        <v>15</v>
      </c>
      <c r="H20" s="57"/>
    </row>
    <row r="21" spans="2:8" s="31" customFormat="1" x14ac:dyDescent="0.25">
      <c r="C21" s="31" t="s">
        <v>17</v>
      </c>
      <c r="E21" s="93">
        <f>+E20/1.2</f>
        <v>0</v>
      </c>
      <c r="F21" s="55" t="s">
        <v>18</v>
      </c>
      <c r="G21" s="57"/>
    </row>
    <row r="22" spans="2:8" x14ac:dyDescent="0.25">
      <c r="E22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0"/>
  <sheetViews>
    <sheetView topLeftCell="B1" workbookViewId="0">
      <selection activeCell="F5" sqref="F5"/>
    </sheetView>
  </sheetViews>
  <sheetFormatPr defaultColWidth="8.85546875" defaultRowHeight="15.75" x14ac:dyDescent="0.25"/>
  <cols>
    <col min="1" max="1" width="8.85546875" style="72"/>
    <col min="2" max="2" width="9.140625" style="72" bestFit="1" customWidth="1"/>
    <col min="3" max="3" width="34.42578125" style="72" customWidth="1"/>
    <col min="4" max="4" width="7.140625" style="72" bestFit="1" customWidth="1"/>
    <col min="5" max="5" width="14.42578125" style="72" customWidth="1"/>
    <col min="6" max="6" width="15.7109375" style="72" customWidth="1"/>
    <col min="7" max="7" width="12.28515625" style="72" customWidth="1"/>
    <col min="8" max="8" width="10.7109375" style="72" customWidth="1"/>
    <col min="9" max="9" width="11.7109375" style="72" bestFit="1" customWidth="1"/>
    <col min="10" max="16384" width="8.85546875" style="72"/>
  </cols>
  <sheetData>
    <row r="2" spans="2:9" x14ac:dyDescent="0.25">
      <c r="C2" s="72" t="s">
        <v>31</v>
      </c>
    </row>
    <row r="3" spans="2:9" s="73" customFormat="1" ht="31.5" x14ac:dyDescent="0.25">
      <c r="B3" s="74" t="s">
        <v>0</v>
      </c>
      <c r="C3" s="74" t="s">
        <v>1</v>
      </c>
      <c r="D3" s="74" t="s">
        <v>2</v>
      </c>
      <c r="E3" s="75" t="s">
        <v>3</v>
      </c>
      <c r="F3" s="75" t="s">
        <v>4</v>
      </c>
      <c r="G3" s="75" t="s">
        <v>5</v>
      </c>
      <c r="H3" s="30" t="s">
        <v>6</v>
      </c>
      <c r="I3" s="75" t="s">
        <v>7</v>
      </c>
    </row>
    <row r="4" spans="2:9" s="73" customFormat="1" x14ac:dyDescent="0.25">
      <c r="B4" s="32">
        <v>1</v>
      </c>
      <c r="C4" s="63" t="s">
        <v>26</v>
      </c>
      <c r="D4" s="37" t="s">
        <v>8</v>
      </c>
      <c r="E4" s="39">
        <v>-1</v>
      </c>
      <c r="F4" s="34">
        <f>+G5</f>
        <v>2725.9953299999997</v>
      </c>
      <c r="G4" s="40">
        <f>E4*F4</f>
        <v>-2725.9953299999997</v>
      </c>
      <c r="H4" s="40">
        <f>G4*0.2</f>
        <v>-545.19906600000002</v>
      </c>
      <c r="I4" s="40">
        <f>G4+H4</f>
        <v>-3271.1943959999999</v>
      </c>
    </row>
    <row r="5" spans="2:9" s="73" customFormat="1" ht="47.25" x14ac:dyDescent="0.25">
      <c r="B5" s="76">
        <v>2</v>
      </c>
      <c r="C5" s="77" t="s">
        <v>37</v>
      </c>
      <c r="D5" s="76" t="s">
        <v>9</v>
      </c>
      <c r="E5" s="78">
        <v>44.476999999999997</v>
      </c>
      <c r="F5" s="40">
        <v>61.29</v>
      </c>
      <c r="G5" s="79">
        <f>E5*F5</f>
        <v>2725.9953299999997</v>
      </c>
      <c r="H5" s="79">
        <f>G5*0.2</f>
        <v>545.19906600000002</v>
      </c>
      <c r="I5" s="79">
        <f>G5+H5</f>
        <v>3271.1943959999999</v>
      </c>
    </row>
    <row r="6" spans="2:9" s="73" customFormat="1" x14ac:dyDescent="0.25">
      <c r="B6" s="80">
        <v>3</v>
      </c>
      <c r="C6" s="81" t="s">
        <v>10</v>
      </c>
      <c r="D6" s="80" t="s">
        <v>9</v>
      </c>
      <c r="E6" s="82">
        <f>E5</f>
        <v>44.476999999999997</v>
      </c>
      <c r="F6" s="89">
        <v>0.52290000000000003</v>
      </c>
      <c r="G6" s="83">
        <f>E6*F6</f>
        <v>23.2570233</v>
      </c>
      <c r="H6" s="83">
        <f>G6*0.2</f>
        <v>4.6514046599999999</v>
      </c>
      <c r="I6" s="83">
        <f>G6+H6</f>
        <v>27.908427960000001</v>
      </c>
    </row>
    <row r="7" spans="2:9" s="73" customFormat="1" x14ac:dyDescent="0.25">
      <c r="B7" s="76">
        <v>4</v>
      </c>
      <c r="C7" s="81" t="s">
        <v>11</v>
      </c>
      <c r="D7" s="80" t="s">
        <v>9</v>
      </c>
      <c r="E7" s="84">
        <v>1.8769999999999996</v>
      </c>
      <c r="F7" s="89">
        <v>3.3016999999999999</v>
      </c>
      <c r="G7" s="83">
        <f>E7*F7</f>
        <v>6.1972908999999987</v>
      </c>
      <c r="H7" s="83">
        <f>G7*0.2</f>
        <v>1.2394581799999997</v>
      </c>
      <c r="I7" s="83">
        <f>G7+H7</f>
        <v>7.4367490799999985</v>
      </c>
    </row>
    <row r="8" spans="2:9" x14ac:dyDescent="0.25">
      <c r="F8" s="85" t="s">
        <v>14</v>
      </c>
      <c r="G8" s="86">
        <f>SUM(G4:G7)</f>
        <v>29.454314199999999</v>
      </c>
      <c r="H8" s="86">
        <f>SUM(H4:H7)</f>
        <v>5.8908628399999996</v>
      </c>
      <c r="I8" s="86">
        <f>SUM(I4:I7)</f>
        <v>35.345177039999996</v>
      </c>
    </row>
    <row r="13" spans="2:9" x14ac:dyDescent="0.25">
      <c r="C13" s="87" t="s">
        <v>25</v>
      </c>
    </row>
    <row r="16" spans="2:9" x14ac:dyDescent="0.25">
      <c r="B16" s="31" t="s">
        <v>44</v>
      </c>
      <c r="C16" s="73"/>
      <c r="D16" s="73"/>
      <c r="E16" s="92">
        <v>1959.3839999999998</v>
      </c>
      <c r="F16" s="55" t="s">
        <v>15</v>
      </c>
      <c r="G16" s="91"/>
    </row>
    <row r="17" spans="2:7" x14ac:dyDescent="0.25">
      <c r="B17" s="31" t="s">
        <v>45</v>
      </c>
      <c r="C17" s="31"/>
      <c r="D17" s="31"/>
      <c r="E17" s="92">
        <v>1959.3839999999998</v>
      </c>
      <c r="F17" s="55" t="s">
        <v>15</v>
      </c>
      <c r="G17" s="91"/>
    </row>
    <row r="18" spans="2:7" x14ac:dyDescent="0.25">
      <c r="B18" s="31"/>
      <c r="C18" s="31"/>
      <c r="D18" s="31"/>
      <c r="E18" s="94"/>
      <c r="F18" s="55"/>
      <c r="G18" s="91"/>
    </row>
    <row r="19" spans="2:7" x14ac:dyDescent="0.25">
      <c r="B19" s="31"/>
      <c r="C19" s="31" t="s">
        <v>16</v>
      </c>
      <c r="D19" s="31"/>
      <c r="E19" s="56">
        <f>E17+I4+E16</f>
        <v>647.5736039999997</v>
      </c>
      <c r="F19" s="55" t="s">
        <v>15</v>
      </c>
    </row>
    <row r="20" spans="2:7" x14ac:dyDescent="0.25">
      <c r="B20" s="31"/>
      <c r="C20" s="31" t="s">
        <v>17</v>
      </c>
      <c r="D20" s="31"/>
      <c r="E20" s="93">
        <f>+E19/1.2</f>
        <v>539.64466999999979</v>
      </c>
      <c r="F20" s="55" t="s">
        <v>18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B3" workbookViewId="0">
      <selection activeCell="F5" sqref="F5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7109375" style="35" bestFit="1" customWidth="1"/>
    <col min="8" max="8" width="10.7109375" style="35" customWidth="1"/>
    <col min="9" max="9" width="11.7109375" style="35" bestFit="1" customWidth="1"/>
    <col min="10" max="16384" width="8.85546875" style="35"/>
  </cols>
  <sheetData>
    <row r="2" spans="1:9" s="31" customFormat="1" x14ac:dyDescent="0.25">
      <c r="B2" s="41"/>
      <c r="C2" s="42" t="s">
        <v>32</v>
      </c>
      <c r="D2" s="41"/>
      <c r="E2" s="43"/>
      <c r="F2" s="46"/>
      <c r="G2" s="47"/>
      <c r="H2" s="47"/>
      <c r="I2" s="47"/>
    </row>
    <row r="3" spans="1:9" s="31" customFormat="1" ht="28.5" x14ac:dyDescent="0.25">
      <c r="B3" s="29" t="s">
        <v>0</v>
      </c>
      <c r="C3" s="29" t="s">
        <v>1</v>
      </c>
      <c r="D3" s="29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</row>
    <row r="4" spans="1:9" s="31" customFormat="1" ht="15.75" x14ac:dyDescent="0.25">
      <c r="B4" s="13">
        <v>1</v>
      </c>
      <c r="C4" s="14" t="s">
        <v>28</v>
      </c>
      <c r="D4" s="13" t="s">
        <v>8</v>
      </c>
      <c r="E4" s="6">
        <v>-1</v>
      </c>
      <c r="F4" s="23">
        <f>+G5</f>
        <v>24353.091179999996</v>
      </c>
      <c r="G4" s="16">
        <f>E4*F4</f>
        <v>-24353.091179999996</v>
      </c>
      <c r="H4" s="16">
        <f>G4*0.2</f>
        <v>-4870.6182359999993</v>
      </c>
      <c r="I4" s="16">
        <f>G4+H4</f>
        <v>-29223.709415999994</v>
      </c>
    </row>
    <row r="5" spans="1:9" s="31" customFormat="1" ht="45" x14ac:dyDescent="0.25">
      <c r="B5" s="37">
        <v>1</v>
      </c>
      <c r="C5" s="38" t="s">
        <v>38</v>
      </c>
      <c r="D5" s="37" t="s">
        <v>9</v>
      </c>
      <c r="E5" s="39">
        <v>397.34199999999993</v>
      </c>
      <c r="F5" s="40">
        <v>61.29</v>
      </c>
      <c r="G5" s="40">
        <f>E5*F5</f>
        <v>24353.091179999996</v>
      </c>
      <c r="H5" s="40">
        <f>G5*0.2</f>
        <v>4870.6182359999993</v>
      </c>
      <c r="I5" s="40">
        <f t="shared" ref="I5" si="0">G5+H5</f>
        <v>29223.709415999994</v>
      </c>
    </row>
    <row r="6" spans="1:9" s="31" customFormat="1" x14ac:dyDescent="0.25">
      <c r="B6" s="32">
        <v>2</v>
      </c>
      <c r="C6" s="48" t="s">
        <v>10</v>
      </c>
      <c r="D6" s="60" t="s">
        <v>9</v>
      </c>
      <c r="E6" s="49">
        <f>E5</f>
        <v>397.34199999999993</v>
      </c>
      <c r="F6" s="53">
        <v>0.52290000000000003</v>
      </c>
      <c r="G6" s="54">
        <f t="shared" ref="G6" si="1">E6*F6</f>
        <v>207.77013179999997</v>
      </c>
      <c r="H6" s="54">
        <f t="shared" ref="H6" si="2">G6*0.2</f>
        <v>41.554026359999995</v>
      </c>
      <c r="I6" s="54">
        <f t="shared" ref="I6" si="3">G6+H6</f>
        <v>249.32415815999997</v>
      </c>
    </row>
    <row r="7" spans="1:9" s="31" customFormat="1" x14ac:dyDescent="0.25">
      <c r="B7" s="37">
        <v>3</v>
      </c>
      <c r="C7" s="38" t="s">
        <v>11</v>
      </c>
      <c r="D7" s="60" t="s">
        <v>9</v>
      </c>
      <c r="E7" s="49">
        <v>0.27299999999999969</v>
      </c>
      <c r="F7" s="90">
        <v>3.3016999999999999</v>
      </c>
      <c r="G7" s="54">
        <f t="shared" ref="G7" si="4">E7*F7</f>
        <v>0.90136409999999889</v>
      </c>
      <c r="H7" s="54">
        <f t="shared" ref="H7" si="5">G7*0.2</f>
        <v>0.18027281999999978</v>
      </c>
      <c r="I7" s="54">
        <f t="shared" ref="I7" si="6">G7+H7</f>
        <v>1.0816369199999987</v>
      </c>
    </row>
    <row r="8" spans="1:9" x14ac:dyDescent="0.25">
      <c r="B8" s="32">
        <v>4</v>
      </c>
      <c r="C8" s="50" t="s">
        <v>12</v>
      </c>
      <c r="D8" s="32" t="s">
        <v>13</v>
      </c>
      <c r="E8" s="33"/>
      <c r="F8" s="61"/>
      <c r="G8" s="40">
        <f t="shared" ref="G8" si="7">E8*F8</f>
        <v>0</v>
      </c>
      <c r="H8" s="40">
        <f t="shared" ref="H8" si="8">G8*0.2</f>
        <v>0</v>
      </c>
      <c r="I8" s="40">
        <f t="shared" ref="I8" si="9">G8+H8</f>
        <v>0</v>
      </c>
    </row>
    <row r="9" spans="1:9" x14ac:dyDescent="0.25">
      <c r="F9" s="44" t="s">
        <v>14</v>
      </c>
      <c r="G9" s="45">
        <f t="shared" ref="G9:I9" si="10">SUM(G4:G8)</f>
        <v>208.67149589999997</v>
      </c>
      <c r="H9" s="45">
        <f t="shared" si="10"/>
        <v>41.734299179999994</v>
      </c>
      <c r="I9" s="45">
        <f t="shared" si="10"/>
        <v>250.40579507999996</v>
      </c>
    </row>
    <row r="10" spans="1:9" x14ac:dyDescent="0.25">
      <c r="C10" s="59"/>
      <c r="E10" s="62"/>
    </row>
    <row r="11" spans="1:9" x14ac:dyDescent="0.25">
      <c r="A11" s="31"/>
      <c r="B11" s="31"/>
      <c r="C11" s="31"/>
      <c r="D11" s="31"/>
      <c r="E11" s="45"/>
      <c r="F11" s="55"/>
    </row>
    <row r="12" spans="1:9" x14ac:dyDescent="0.25">
      <c r="C12" s="59"/>
      <c r="E12" s="62"/>
    </row>
    <row r="14" spans="1:9" s="31" customFormat="1" x14ac:dyDescent="0.25"/>
    <row r="16" spans="1:9" x14ac:dyDescent="0.25">
      <c r="B16" s="31"/>
      <c r="C16" s="31"/>
      <c r="D16" s="31"/>
      <c r="E16" s="56"/>
      <c r="F16" s="55"/>
    </row>
    <row r="18" spans="2:7" ht="15.75" x14ac:dyDescent="0.25">
      <c r="B18" s="31" t="s">
        <v>46</v>
      </c>
      <c r="C18" s="73"/>
      <c r="D18" s="73"/>
      <c r="E18" s="92">
        <v>16407.552</v>
      </c>
      <c r="F18" s="95" t="s">
        <v>15</v>
      </c>
      <c r="G18" s="36">
        <f>+E18+E19</f>
        <v>32815.103999999999</v>
      </c>
    </row>
    <row r="19" spans="2:7" ht="15.75" x14ac:dyDescent="0.25">
      <c r="B19" s="31" t="s">
        <v>47</v>
      </c>
      <c r="C19" s="31"/>
      <c r="D19" s="31"/>
      <c r="E19" s="92">
        <v>16407.552</v>
      </c>
      <c r="F19" s="95" t="s">
        <v>15</v>
      </c>
      <c r="G19" s="35">
        <f>+G18/1.2</f>
        <v>27345.920000000002</v>
      </c>
    </row>
    <row r="20" spans="2:7" ht="15.75" x14ac:dyDescent="0.25">
      <c r="B20" s="31"/>
      <c r="C20" s="31"/>
      <c r="D20" s="31"/>
      <c r="E20" s="94"/>
      <c r="F20" s="95"/>
    </row>
    <row r="21" spans="2:7" x14ac:dyDescent="0.25">
      <c r="B21" s="31"/>
      <c r="C21" s="31" t="s">
        <v>16</v>
      </c>
      <c r="D21" s="31"/>
      <c r="E21" s="56">
        <f>E19+I4+E18</f>
        <v>3591.3945840000051</v>
      </c>
      <c r="F21" s="95" t="s">
        <v>15</v>
      </c>
    </row>
    <row r="22" spans="2:7" x14ac:dyDescent="0.25">
      <c r="B22" s="31"/>
      <c r="C22" s="31" t="s">
        <v>16</v>
      </c>
      <c r="D22" s="31"/>
      <c r="E22" s="93">
        <f>+E21/1.2</f>
        <v>2992.8288200000043</v>
      </c>
      <c r="F22" s="95" t="s">
        <v>18</v>
      </c>
    </row>
    <row r="23" spans="2:7" x14ac:dyDescent="0.25">
      <c r="B23" s="31"/>
      <c r="C23" s="31"/>
      <c r="D23" s="31"/>
      <c r="E23" s="93"/>
      <c r="F23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0"/>
  <sheetViews>
    <sheetView topLeftCell="B3" workbookViewId="0">
      <selection activeCell="F5" sqref="F5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33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19</v>
      </c>
      <c r="D4" s="13" t="s">
        <v>8</v>
      </c>
      <c r="E4" s="6">
        <v>-1</v>
      </c>
      <c r="F4" s="23">
        <f>+G5</f>
        <v>2971.5555100000001</v>
      </c>
      <c r="G4" s="16">
        <f>E4*F4</f>
        <v>-2971.5555100000001</v>
      </c>
      <c r="H4" s="16">
        <f>G4*0.2</f>
        <v>-594.31110200000001</v>
      </c>
      <c r="I4" s="16">
        <f>G4+H4</f>
        <v>-3565.8666120000003</v>
      </c>
    </row>
    <row r="5" spans="2:9" s="17" customFormat="1" ht="31.5" x14ac:dyDescent="0.25">
      <c r="B5" s="13">
        <f>+B4+1</f>
        <v>2</v>
      </c>
      <c r="C5" s="14" t="s">
        <v>39</v>
      </c>
      <c r="D5" s="13" t="s">
        <v>9</v>
      </c>
      <c r="E5" s="15">
        <v>50.119000000000007</v>
      </c>
      <c r="F5" s="66">
        <v>59.29</v>
      </c>
      <c r="G5" s="16">
        <f>E5*F5</f>
        <v>2971.5555100000001</v>
      </c>
      <c r="H5" s="16">
        <f>G5*0.2</f>
        <v>594.31110200000001</v>
      </c>
      <c r="I5" s="16">
        <f>G5+H5</f>
        <v>3565.8666120000003</v>
      </c>
    </row>
    <row r="6" spans="2:9" s="17" customFormat="1" ht="15.75" x14ac:dyDescent="0.25">
      <c r="B6" s="13">
        <v>3</v>
      </c>
      <c r="C6" s="14" t="s">
        <v>19</v>
      </c>
      <c r="D6" s="13" t="s">
        <v>8</v>
      </c>
      <c r="E6" s="15">
        <v>-1</v>
      </c>
      <c r="F6" s="88">
        <f>+G7</f>
        <v>25.059500000000003</v>
      </c>
      <c r="G6" s="16">
        <f t="shared" ref="G6:G10" si="0">E6*F6</f>
        <v>-25.059500000000003</v>
      </c>
      <c r="H6" s="16">
        <f t="shared" ref="H6:H10" si="1">G6*0.2</f>
        <v>-5.0119000000000007</v>
      </c>
      <c r="I6" s="16">
        <f t="shared" ref="I6:I10" si="2">G6+H6</f>
        <v>-30.071400000000004</v>
      </c>
    </row>
    <row r="7" spans="2:9" s="17" customFormat="1" ht="31.5" x14ac:dyDescent="0.25">
      <c r="B7" s="13">
        <v>4</v>
      </c>
      <c r="C7" s="14" t="s">
        <v>40</v>
      </c>
      <c r="D7" s="13" t="s">
        <v>9</v>
      </c>
      <c r="E7" s="15">
        <f>E5</f>
        <v>50.119000000000007</v>
      </c>
      <c r="F7" s="66">
        <v>0.5</v>
      </c>
      <c r="G7" s="16">
        <f>E7*F7</f>
        <v>25.059500000000003</v>
      </c>
      <c r="H7" s="16">
        <f t="shared" si="1"/>
        <v>5.0119000000000007</v>
      </c>
      <c r="I7" s="16">
        <f t="shared" si="2"/>
        <v>30.071400000000004</v>
      </c>
    </row>
    <row r="8" spans="2:9" s="17" customFormat="1" ht="15.75" x14ac:dyDescent="0.25">
      <c r="B8" s="13">
        <v>5</v>
      </c>
      <c r="C8" s="14" t="s">
        <v>19</v>
      </c>
      <c r="D8" s="13" t="s">
        <v>8</v>
      </c>
      <c r="E8" s="15">
        <v>-1</v>
      </c>
      <c r="F8" s="16">
        <f>+G9</f>
        <v>26.207225100000006</v>
      </c>
      <c r="G8" s="16">
        <f t="shared" si="0"/>
        <v>-26.207225100000006</v>
      </c>
      <c r="H8" s="16">
        <f t="shared" si="1"/>
        <v>-5.2414450200000013</v>
      </c>
      <c r="I8" s="16">
        <f t="shared" si="2"/>
        <v>-31.448670120000006</v>
      </c>
    </row>
    <row r="9" spans="2:9" s="17" customFormat="1" ht="15.75" x14ac:dyDescent="0.25">
      <c r="B9" s="13">
        <v>6</v>
      </c>
      <c r="C9" s="14" t="s">
        <v>20</v>
      </c>
      <c r="D9" s="13" t="s">
        <v>9</v>
      </c>
      <c r="E9" s="15">
        <f>E7</f>
        <v>50.119000000000007</v>
      </c>
      <c r="F9" s="18">
        <v>0.52290000000000003</v>
      </c>
      <c r="G9" s="16">
        <f>E9*F9</f>
        <v>26.207225100000006</v>
      </c>
      <c r="H9" s="16">
        <f t="shared" si="1"/>
        <v>5.2414450200000013</v>
      </c>
      <c r="I9" s="16">
        <f>G9+H9</f>
        <v>31.448670120000006</v>
      </c>
    </row>
    <row r="10" spans="2:9" s="17" customFormat="1" ht="15.75" x14ac:dyDescent="0.25">
      <c r="B10" s="13">
        <v>7</v>
      </c>
      <c r="C10" s="14" t="s">
        <v>12</v>
      </c>
      <c r="D10" s="13" t="s">
        <v>13</v>
      </c>
      <c r="E10" s="15"/>
      <c r="F10" s="18"/>
      <c r="G10" s="16">
        <f t="shared" si="0"/>
        <v>0</v>
      </c>
      <c r="H10" s="16">
        <f t="shared" si="1"/>
        <v>0</v>
      </c>
      <c r="I10" s="16">
        <f t="shared" si="2"/>
        <v>0</v>
      </c>
    </row>
    <row r="11" spans="2:9" ht="15.75" x14ac:dyDescent="0.25">
      <c r="B11" s="3"/>
      <c r="C11" s="3"/>
      <c r="D11" s="3"/>
      <c r="E11" s="3"/>
      <c r="F11" s="8" t="s">
        <v>14</v>
      </c>
      <c r="G11" s="9">
        <f>SUM(G4:G10)</f>
        <v>0</v>
      </c>
      <c r="H11" s="9">
        <f>SUM(H4:H10)</f>
        <v>0</v>
      </c>
      <c r="I11" s="9">
        <f>SUM(I4:I10)</f>
        <v>0</v>
      </c>
    </row>
    <row r="13" spans="2:9" x14ac:dyDescent="0.25">
      <c r="E13" s="20"/>
      <c r="F13" s="20"/>
    </row>
    <row r="14" spans="2:9" x14ac:dyDescent="0.25">
      <c r="H14" s="19"/>
    </row>
    <row r="17" spans="2:9" s="17" customFormat="1" ht="15.75" x14ac:dyDescent="0.25">
      <c r="B17" s="12" t="s">
        <v>48</v>
      </c>
      <c r="C17" s="12"/>
      <c r="D17" s="12"/>
      <c r="E17" s="67">
        <v>2576.9760000000001</v>
      </c>
      <c r="F17" s="68" t="s">
        <v>15</v>
      </c>
      <c r="G17" s="69"/>
      <c r="H17" s="69"/>
    </row>
    <row r="18" spans="2:9" s="17" customFormat="1" ht="15.75" x14ac:dyDescent="0.25">
      <c r="B18" s="12" t="s">
        <v>48</v>
      </c>
      <c r="C18" s="12"/>
      <c r="D18" s="12"/>
      <c r="E18" s="67">
        <v>22.2</v>
      </c>
      <c r="F18" s="68" t="s">
        <v>15</v>
      </c>
      <c r="G18" s="69"/>
    </row>
    <row r="19" spans="2:9" s="17" customFormat="1" ht="15.75" x14ac:dyDescent="0.25">
      <c r="B19" s="12" t="s">
        <v>48</v>
      </c>
      <c r="C19" s="12"/>
      <c r="D19" s="12"/>
      <c r="E19" s="67">
        <v>23.220000000000002</v>
      </c>
      <c r="F19" s="68" t="s">
        <v>15</v>
      </c>
      <c r="G19" s="69"/>
    </row>
    <row r="20" spans="2:9" s="17" customFormat="1" ht="15.75" x14ac:dyDescent="0.25">
      <c r="B20" s="12"/>
      <c r="C20" s="12"/>
      <c r="D20" s="12"/>
      <c r="E20" s="67"/>
      <c r="F20" s="68"/>
    </row>
    <row r="21" spans="2:9" s="17" customFormat="1" ht="15.75" x14ac:dyDescent="0.25">
      <c r="B21" s="12" t="s">
        <v>49</v>
      </c>
      <c r="C21" s="12"/>
      <c r="D21" s="12"/>
      <c r="E21" s="67">
        <v>2576.9760000000001</v>
      </c>
      <c r="F21" s="68" t="s">
        <v>15</v>
      </c>
      <c r="G21" s="69"/>
    </row>
    <row r="22" spans="2:9" s="17" customFormat="1" ht="15.75" x14ac:dyDescent="0.25">
      <c r="B22" s="12" t="s">
        <v>49</v>
      </c>
      <c r="C22" s="12"/>
      <c r="D22" s="12"/>
      <c r="E22" s="67">
        <v>22.2</v>
      </c>
      <c r="F22" s="68" t="s">
        <v>15</v>
      </c>
      <c r="G22" s="69"/>
    </row>
    <row r="23" spans="2:9" s="17" customFormat="1" ht="15.75" x14ac:dyDescent="0.25">
      <c r="B23" s="12" t="s">
        <v>49</v>
      </c>
      <c r="C23" s="12"/>
      <c r="D23" s="12"/>
      <c r="E23" s="67">
        <v>23.220000000000002</v>
      </c>
      <c r="F23" s="68" t="s">
        <v>15</v>
      </c>
      <c r="G23" s="69"/>
      <c r="H23" s="69"/>
    </row>
    <row r="24" spans="2:9" s="17" customFormat="1" ht="15.75" x14ac:dyDescent="0.25">
      <c r="B24" s="12"/>
      <c r="C24" s="12"/>
      <c r="D24" s="12"/>
      <c r="E24" s="67"/>
      <c r="F24" s="68"/>
      <c r="H24" s="69"/>
    </row>
    <row r="25" spans="2:9" s="17" customFormat="1" ht="15.75" x14ac:dyDescent="0.25">
      <c r="B25" s="12"/>
      <c r="C25" s="12"/>
      <c r="D25" s="12"/>
      <c r="E25" s="67"/>
      <c r="F25" s="68"/>
      <c r="H25" s="69"/>
    </row>
    <row r="26" spans="2:9" s="17" customFormat="1" ht="15.75" x14ac:dyDescent="0.25">
      <c r="B26" s="12"/>
      <c r="C26" s="12" t="s">
        <v>21</v>
      </c>
      <c r="D26" s="12"/>
      <c r="E26" s="67">
        <f>E27+E28</f>
        <v>1617.39531788</v>
      </c>
      <c r="F26" s="68" t="s">
        <v>22</v>
      </c>
      <c r="G26" s="69"/>
    </row>
    <row r="27" spans="2:9" s="17" customFormat="1" ht="15.75" x14ac:dyDescent="0.25">
      <c r="B27" s="12"/>
      <c r="C27" s="17" t="s">
        <v>23</v>
      </c>
      <c r="D27" s="12"/>
      <c r="E27" s="67">
        <f>E21+E17+I4-0.01</f>
        <v>1588.075388</v>
      </c>
      <c r="F27" s="68" t="s">
        <v>15</v>
      </c>
    </row>
    <row r="28" spans="2:9" ht="15.75" x14ac:dyDescent="0.25">
      <c r="B28" s="17"/>
      <c r="C28" s="17" t="s">
        <v>24</v>
      </c>
      <c r="D28" s="17"/>
      <c r="E28" s="67">
        <f>E23+E22+E19+E18+I6+I8</f>
        <v>29.319929879999993</v>
      </c>
      <c r="F28" s="68" t="s">
        <v>15</v>
      </c>
      <c r="I28" s="21"/>
    </row>
    <row r="29" spans="2:9" ht="15.75" x14ac:dyDescent="0.25">
      <c r="E29" s="71"/>
      <c r="F29" s="68"/>
      <c r="I29" s="21"/>
    </row>
    <row r="30" spans="2:9" x14ac:dyDescent="0.25">
      <c r="E30" s="7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N21"/>
  <sheetViews>
    <sheetView workbookViewId="0">
      <selection activeCell="F25" sqref="F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34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31" customFormat="1" x14ac:dyDescent="0.25">
      <c r="B4" s="13">
        <v>1</v>
      </c>
      <c r="C4" s="14" t="s">
        <v>29</v>
      </c>
      <c r="D4" s="13" t="s">
        <v>8</v>
      </c>
      <c r="E4" s="6">
        <v>-1</v>
      </c>
      <c r="F4" s="23">
        <f>+G5</f>
        <v>790.70228999999995</v>
      </c>
      <c r="G4" s="16">
        <f>E4*F4</f>
        <v>-790.70228999999995</v>
      </c>
      <c r="H4" s="16">
        <f>G4*0.2</f>
        <v>-158.140458</v>
      </c>
      <c r="I4" s="16">
        <f>G4+H4</f>
        <v>-948.84274799999992</v>
      </c>
    </row>
    <row r="5" spans="2:9" s="12" customFormat="1" ht="47.25" x14ac:dyDescent="0.25">
      <c r="B5" s="4">
        <v>1</v>
      </c>
      <c r="C5" s="22" t="s">
        <v>41</v>
      </c>
      <c r="D5" s="4" t="s">
        <v>9</v>
      </c>
      <c r="E5" s="6">
        <v>12.901</v>
      </c>
      <c r="F5" s="66">
        <v>61.29</v>
      </c>
      <c r="G5" s="23">
        <f t="shared" ref="G5" si="0">E5*F5</f>
        <v>790.70228999999995</v>
      </c>
      <c r="H5" s="23">
        <f>G5*0.2</f>
        <v>158.140458</v>
      </c>
      <c r="I5" s="23">
        <f>G5+H5</f>
        <v>948.84274799999992</v>
      </c>
    </row>
    <row r="6" spans="2:9" s="12" customFormat="1" x14ac:dyDescent="0.25">
      <c r="B6" s="4">
        <v>1</v>
      </c>
      <c r="C6" s="5" t="s">
        <v>10</v>
      </c>
      <c r="D6" s="4" t="s">
        <v>9</v>
      </c>
      <c r="E6" s="6">
        <f>E5</f>
        <v>12.901</v>
      </c>
      <c r="F6" s="18">
        <v>1.0194000000000001</v>
      </c>
      <c r="G6" s="23">
        <f t="shared" ref="G6:G7" si="1">E6*F6</f>
        <v>13.151279400000002</v>
      </c>
      <c r="H6" s="23">
        <f t="shared" ref="H6:H7" si="2">G6*0.2</f>
        <v>2.6302558800000004</v>
      </c>
      <c r="I6" s="23">
        <f t="shared" ref="I6:I7" si="3">G6+H6</f>
        <v>15.781535280000002</v>
      </c>
    </row>
    <row r="7" spans="2:9" x14ac:dyDescent="0.25">
      <c r="B7" s="4">
        <f t="shared" ref="B7" si="4">+B6+1</f>
        <v>2</v>
      </c>
      <c r="C7" s="5" t="s">
        <v>12</v>
      </c>
      <c r="D7" s="4" t="s">
        <v>13</v>
      </c>
      <c r="E7" s="6"/>
      <c r="F7" s="11"/>
      <c r="G7" s="23">
        <f t="shared" si="1"/>
        <v>0</v>
      </c>
      <c r="H7" s="23">
        <f t="shared" si="2"/>
        <v>0</v>
      </c>
      <c r="I7" s="23">
        <f t="shared" si="3"/>
        <v>0</v>
      </c>
    </row>
    <row r="8" spans="2:9" x14ac:dyDescent="0.25">
      <c r="F8" s="8" t="s">
        <v>14</v>
      </c>
      <c r="G8" s="65">
        <f>SUM(G4:G7)</f>
        <v>13.151279400000002</v>
      </c>
      <c r="H8" s="65">
        <f t="shared" ref="H8:I8" si="5">SUM(H4:H7)</f>
        <v>2.6302558800000004</v>
      </c>
      <c r="I8" s="65">
        <f t="shared" si="5"/>
        <v>15.781535280000002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27</v>
      </c>
    </row>
    <row r="16" spans="2:9" s="35" customFormat="1" x14ac:dyDescent="0.25">
      <c r="B16" s="31" t="s">
        <v>50</v>
      </c>
      <c r="C16" s="73"/>
      <c r="D16" s="73"/>
      <c r="E16" s="92">
        <v>988.84799999999996</v>
      </c>
      <c r="F16" s="95" t="s">
        <v>15</v>
      </c>
      <c r="G16" s="36"/>
    </row>
    <row r="17" spans="2:14" s="35" customFormat="1" x14ac:dyDescent="0.25">
      <c r="B17" s="31" t="s">
        <v>51</v>
      </c>
      <c r="C17" s="31"/>
      <c r="D17" s="31"/>
      <c r="E17" s="92">
        <v>988.84799999999996</v>
      </c>
      <c r="F17" s="95" t="s">
        <v>15</v>
      </c>
    </row>
    <row r="18" spans="2:14" s="35" customFormat="1" x14ac:dyDescent="0.25">
      <c r="B18" s="31"/>
      <c r="C18" s="31"/>
      <c r="D18" s="31"/>
      <c r="E18" s="94"/>
      <c r="F18" s="95"/>
    </row>
    <row r="19" spans="2:14" s="35" customFormat="1" ht="15" x14ac:dyDescent="0.25">
      <c r="B19" s="31"/>
      <c r="C19" s="31" t="s">
        <v>16</v>
      </c>
      <c r="D19" s="31"/>
      <c r="E19" s="56">
        <f>E17+I4+E16</f>
        <v>1028.8532519999999</v>
      </c>
      <c r="F19" s="95" t="s">
        <v>15</v>
      </c>
    </row>
    <row r="20" spans="2:14" s="35" customFormat="1" ht="15" x14ac:dyDescent="0.25">
      <c r="B20" s="31"/>
      <c r="C20" s="31" t="s">
        <v>16</v>
      </c>
      <c r="D20" s="31"/>
      <c r="E20" s="56">
        <f>+E19/1.2</f>
        <v>857.37770999999998</v>
      </c>
      <c r="F20" s="95" t="s">
        <v>18</v>
      </c>
    </row>
    <row r="21" spans="2:14" x14ac:dyDescent="0.25">
      <c r="L21" s="35"/>
      <c r="M21" s="35"/>
      <c r="N21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Оконч.плащане Труд </vt:lpstr>
      <vt:lpstr>Оконч.плащане Бултекс 1</vt:lpstr>
      <vt:lpstr>Оконч.плащане Доминекс</vt:lpstr>
      <vt:lpstr>оконч. плащане РВД </vt:lpstr>
      <vt:lpstr>Оконч.плащане Алуком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2024-09-05T06:49:38Z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