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OKTOMVRI_2024/Razchet_otchet_OKTOMVRI_2024/"/>
    </mc:Choice>
  </mc:AlternateContent>
  <xr:revisionPtr revIDLastSave="2303" documentId="13_ncr:1_{37CC04BE-08BF-4010-B15B-BB8E28E58964}" xr6:coauthVersionLast="47" xr6:coauthVersionMax="47" xr10:uidLastSave="{3B024AD7-C00F-4278-8241-69312CE73308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изх паричен поток" sheetId="5" r:id="rId2"/>
    <sheet name=" вх. и изх. паричен поток " sheetId="6" r:id="rId3"/>
    <sheet name="График плащания" sheetId="8" r:id="rId4"/>
    <sheet name="доставки на природен газ" sheetId="10" r:id="rId5"/>
    <sheet name="Топлофикации задължения" sheetId="7" r:id="rId6"/>
    <sheet name="Sheet1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8" l="1"/>
  <c r="G46" i="8"/>
  <c r="F46" i="8"/>
  <c r="G15" i="8"/>
  <c r="G16" i="8"/>
  <c r="G31" i="8"/>
  <c r="G30" i="8"/>
  <c r="G29" i="8"/>
  <c r="G28" i="8"/>
  <c r="A5" i="8"/>
  <c r="A6" i="8" s="1"/>
  <c r="A7" i="8" s="1"/>
  <c r="C10" i="7"/>
  <c r="D10" i="7"/>
  <c r="E10" i="7"/>
  <c r="F10" i="7"/>
  <c r="G10" i="7"/>
  <c r="H10" i="7"/>
  <c r="B10" i="7"/>
  <c r="E15" i="6" l="1"/>
  <c r="G15" i="6"/>
  <c r="F15" i="6"/>
  <c r="D15" i="6"/>
  <c r="F7" i="5"/>
  <c r="E7" i="5"/>
  <c r="A8" i="5"/>
  <c r="A7" i="5"/>
  <c r="G7" i="5" l="1"/>
  <c r="H7" i="5" s="1"/>
  <c r="I7" i="5" s="1"/>
  <c r="B27" i="2" l="1"/>
  <c r="G20" i="5"/>
  <c r="J7" i="10"/>
  <c r="H7" i="10"/>
  <c r="F10" i="10"/>
  <c r="D7" i="10"/>
  <c r="D8" i="10"/>
  <c r="E22" i="5"/>
  <c r="G21" i="5" l="1"/>
  <c r="E19" i="5"/>
  <c r="B32" i="9"/>
  <c r="I21" i="5" l="1"/>
  <c r="G19" i="8"/>
  <c r="A16" i="8"/>
  <c r="A19" i="8" s="1"/>
  <c r="A20" i="8" s="1"/>
  <c r="A21" i="8" s="1"/>
  <c r="B46" i="8"/>
  <c r="E16" i="6"/>
  <c r="D16" i="6" l="1"/>
  <c r="G32" i="8" l="1"/>
  <c r="G22" i="5" l="1"/>
  <c r="H22" i="5" s="1"/>
  <c r="I22" i="5" l="1"/>
  <c r="G16" i="6" s="1"/>
  <c r="F16" i="6"/>
  <c r="F9" i="5"/>
  <c r="C53" i="2"/>
  <c r="F8" i="10" l="1"/>
  <c r="H8" i="10" l="1"/>
  <c r="I8" i="10" s="1"/>
  <c r="K5" i="7"/>
  <c r="G25" i="8" l="1"/>
  <c r="G24" i="8"/>
  <c r="G14" i="8"/>
  <c r="B47" i="8" l="1"/>
  <c r="J9" i="10" l="1"/>
  <c r="J10" i="10" s="1"/>
  <c r="F7" i="10"/>
  <c r="I7" i="10" s="1"/>
  <c r="G47" i="8" l="1"/>
  <c r="F26" i="8" s="1"/>
  <c r="G26" i="8" s="1"/>
  <c r="F47" i="8"/>
  <c r="H9" i="10"/>
  <c r="H10" i="10" s="1"/>
  <c r="I9" i="10" l="1"/>
  <c r="I10" i="10" s="1"/>
  <c r="H20" i="5" l="1"/>
  <c r="I20" i="5" s="1"/>
  <c r="I13" i="10"/>
  <c r="F6" i="7"/>
  <c r="I10" i="7"/>
  <c r="J10" i="7" s="1"/>
  <c r="A14" i="8" l="1"/>
  <c r="F6" i="5" l="1"/>
  <c r="B3" i="9" l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I23" i="5" l="1"/>
  <c r="G6" i="5" l="1"/>
  <c r="H6" i="5" l="1"/>
  <c r="I6" i="5" s="1"/>
  <c r="G13" i="8" l="1"/>
  <c r="B17" i="6" l="1"/>
  <c r="G17" i="6"/>
  <c r="F17" i="6"/>
  <c r="E17" i="6"/>
  <c r="D17" i="6"/>
  <c r="B48" i="8"/>
  <c r="G48" i="8"/>
  <c r="F22" i="8" s="1"/>
  <c r="G22" i="8" s="1"/>
  <c r="F48" i="8"/>
  <c r="D14" i="6" l="1"/>
  <c r="B45" i="8" l="1"/>
  <c r="I7" i="7" l="1"/>
  <c r="G12" i="8"/>
  <c r="K4" i="7" l="1"/>
  <c r="J4" i="7" l="1"/>
  <c r="B6" i="7"/>
  <c r="G6" i="7"/>
  <c r="C6" i="7"/>
  <c r="H6" i="7"/>
  <c r="H7" i="7" s="1"/>
  <c r="E6" i="7"/>
  <c r="D6" i="7"/>
  <c r="E4" i="5"/>
  <c r="J6" i="7" l="1"/>
  <c r="K6" i="7" s="1"/>
  <c r="G21" i="8"/>
  <c r="G20" i="8"/>
  <c r="G7" i="8"/>
  <c r="G6" i="8"/>
  <c r="G5" i="8"/>
  <c r="G4" i="8"/>
  <c r="A6" i="5" l="1"/>
  <c r="J7" i="7"/>
  <c r="C7" i="7"/>
  <c r="D7" i="7"/>
  <c r="E7" i="7"/>
  <c r="F7" i="7"/>
  <c r="G7" i="7"/>
  <c r="A10" i="5" l="1"/>
  <c r="A11" i="5" s="1"/>
  <c r="A12" i="5" s="1"/>
  <c r="A13" i="5" s="1"/>
  <c r="A14" i="5" s="1"/>
  <c r="A15" i="5" s="1"/>
  <c r="A16" i="5" s="1"/>
  <c r="A17" i="5" s="1"/>
  <c r="A18" i="5" s="1"/>
  <c r="A19" i="5" s="1"/>
  <c r="A9" i="5"/>
  <c r="B7" i="7"/>
  <c r="A20" i="5" l="1"/>
  <c r="A21" i="5" s="1"/>
  <c r="A22" i="5" s="1"/>
  <c r="A23" i="5" s="1"/>
  <c r="F8" i="6"/>
  <c r="G8" i="6" s="1"/>
  <c r="F7" i="6"/>
  <c r="G7" i="6" s="1"/>
  <c r="F6" i="6"/>
  <c r="G6" i="6" s="1"/>
  <c r="F5" i="6"/>
  <c r="G4" i="6"/>
  <c r="F3" i="6" l="1"/>
  <c r="G5" i="6"/>
  <c r="G3" i="6" s="1"/>
  <c r="G19" i="5" l="1"/>
  <c r="H19" i="5" l="1"/>
  <c r="I19" i="5" s="1"/>
  <c r="F14" i="6"/>
  <c r="F45" i="8"/>
  <c r="G14" i="6" l="1"/>
  <c r="G45" i="8"/>
  <c r="E14" i="6"/>
  <c r="E14" i="2" l="1"/>
  <c r="E15" i="2"/>
  <c r="D15" i="2"/>
  <c r="D24" i="2"/>
  <c r="D25" i="2"/>
  <c r="D26" i="2"/>
  <c r="D27" i="2"/>
  <c r="D28" i="2"/>
  <c r="D29" i="2"/>
  <c r="D23" i="2"/>
  <c r="F15" i="2" l="1"/>
  <c r="B62" i="2" l="1"/>
  <c r="B17" i="2" l="1"/>
  <c r="D34" i="2" l="1"/>
  <c r="D35" i="2"/>
  <c r="D36" i="2"/>
  <c r="D37" i="2"/>
  <c r="D38" i="2"/>
  <c r="D39" i="2"/>
  <c r="D40" i="2"/>
  <c r="D41" i="2"/>
  <c r="D42" i="2"/>
  <c r="D43" i="2"/>
  <c r="D48" i="2" l="1"/>
  <c r="E13" i="2" l="1"/>
  <c r="G18" i="5" l="1"/>
  <c r="I18" i="5" l="1"/>
  <c r="E10" i="5" l="1"/>
  <c r="G17" i="5" l="1"/>
  <c r="I17" i="5" s="1"/>
  <c r="G16" i="5"/>
  <c r="H16" i="5" s="1"/>
  <c r="I16" i="5" s="1"/>
  <c r="G14" i="5"/>
  <c r="H14" i="5" s="1"/>
  <c r="G13" i="5"/>
  <c r="G12" i="5"/>
  <c r="G11" i="5"/>
  <c r="H11" i="5" s="1"/>
  <c r="F10" i="5"/>
  <c r="F8" i="5"/>
  <c r="E8" i="5"/>
  <c r="F5" i="5"/>
  <c r="G10" i="5" l="1"/>
  <c r="H10" i="5" s="1"/>
  <c r="I10" i="5" s="1"/>
  <c r="I12" i="5"/>
  <c r="I13" i="5"/>
  <c r="I11" i="5"/>
  <c r="G8" i="5"/>
  <c r="H8" i="5" s="1"/>
  <c r="I8" i="5" s="1"/>
  <c r="I14" i="5"/>
  <c r="E53" i="2" l="1"/>
  <c r="E5" i="5"/>
  <c r="G5" i="5" s="1"/>
  <c r="H5" i="5" l="1"/>
  <c r="I5" i="5" s="1"/>
  <c r="B44" i="2"/>
  <c r="E9" i="5" s="1"/>
  <c r="G9" i="5" s="1"/>
  <c r="H9" i="5" s="1"/>
  <c r="I9" i="5" s="1"/>
  <c r="B16" i="2"/>
  <c r="B30" i="2" l="1"/>
  <c r="B65" i="2" l="1"/>
  <c r="E15" i="5" s="1"/>
  <c r="G63" i="2"/>
  <c r="E12" i="2" l="1"/>
  <c r="D30" i="2" l="1"/>
  <c r="E7" i="2"/>
  <c r="E8" i="2"/>
  <c r="E9" i="2"/>
  <c r="E10" i="2"/>
  <c r="E11" i="2"/>
  <c r="D33" i="2" l="1"/>
  <c r="D44" i="2" s="1"/>
  <c r="D64" i="2" l="1"/>
  <c r="D62" i="2"/>
  <c r="D57" i="2"/>
  <c r="D53" i="2"/>
  <c r="D49" i="2"/>
  <c r="D20" i="2"/>
  <c r="E6" i="2"/>
  <c r="E5" i="2"/>
  <c r="E4" i="2"/>
  <c r="E3" i="2"/>
  <c r="G4" i="5" l="1"/>
  <c r="E16" i="2"/>
  <c r="D65" i="2"/>
  <c r="C65" i="2" s="1"/>
  <c r="F15" i="5" s="1"/>
  <c r="G15" i="5" s="1"/>
  <c r="G24" i="5" l="1"/>
  <c r="F13" i="6"/>
  <c r="F12" i="6" s="1"/>
  <c r="F16" i="2"/>
  <c r="H15" i="5"/>
  <c r="F44" i="8" l="1"/>
  <c r="F43" i="8" s="1"/>
  <c r="F4" i="5"/>
  <c r="H4" i="5"/>
  <c r="I15" i="5"/>
  <c r="C27" i="5"/>
  <c r="I4" i="5" l="1"/>
  <c r="I24" i="5" s="1"/>
  <c r="D27" i="5" s="1"/>
  <c r="H24" i="5"/>
  <c r="G13" i="6" l="1"/>
  <c r="G12" i="6" s="1"/>
  <c r="G20" i="6" s="1"/>
  <c r="G44" i="8" l="1"/>
  <c r="F10" i="8" l="1"/>
  <c r="G10" i="8" s="1"/>
  <c r="F8" i="8"/>
  <c r="G8" i="8" s="1"/>
  <c r="G43" i="8"/>
  <c r="G33" i="8" l="1"/>
  <c r="F33" i="8"/>
  <c r="K7" i="7"/>
</calcChain>
</file>

<file path=xl/sharedStrings.xml><?xml version="1.0" encoding="utf-8"?>
<sst xmlns="http://schemas.openxmlformats.org/spreadsheetml/2006/main" count="389" uniqueCount="169">
  <si>
    <t>№ по ред</t>
  </si>
  <si>
    <t>Доставчик</t>
  </si>
  <si>
    <t>сума без ДДС</t>
  </si>
  <si>
    <t>ДДС</t>
  </si>
  <si>
    <t>сума с ДДС</t>
  </si>
  <si>
    <t>Артикул/услуга</t>
  </si>
  <si>
    <t>Булгартрансгаз</t>
  </si>
  <si>
    <t>Услуга по извършване на пренос по НГПМ за Топлофикациите</t>
  </si>
  <si>
    <t>FGSZ Natural Gas Transmission</t>
  </si>
  <si>
    <t>KELER</t>
  </si>
  <si>
    <t>Газов хъб Балкан</t>
  </si>
  <si>
    <t>Месечна такса за участие в мрeжата</t>
  </si>
  <si>
    <t>Месечна такса РЕМИТ</t>
  </si>
  <si>
    <t>Месечна такса+допълнителен екран</t>
  </si>
  <si>
    <t>ОБЩО</t>
  </si>
  <si>
    <t>капацитет/ден/година, МВтч</t>
  </si>
  <si>
    <t xml:space="preserve">цена на вход, Странджа/Малкочлар, лв/година </t>
  </si>
  <si>
    <t>цена на изход, изходна зона “България”, лв/година</t>
  </si>
  <si>
    <t>разходи за месец, лева</t>
  </si>
  <si>
    <t xml:space="preserve">количество </t>
  </si>
  <si>
    <t xml:space="preserve">цена </t>
  </si>
  <si>
    <t>разходи</t>
  </si>
  <si>
    <t>Капацитет дневен</t>
  </si>
  <si>
    <t>дата на падеж</t>
  </si>
  <si>
    <t>до 10-то число</t>
  </si>
  <si>
    <t>до 15-то число</t>
  </si>
  <si>
    <t>до 27-мо число</t>
  </si>
  <si>
    <t>Сума без ДДС</t>
  </si>
  <si>
    <t>Сума с ДДС</t>
  </si>
  <si>
    <t xml:space="preserve">съхранение, лв/1000 куб.м/месец </t>
  </si>
  <si>
    <t>до10-то число</t>
  </si>
  <si>
    <t>Чирен ТИБИЕЛ</t>
  </si>
  <si>
    <t>Съхранение на природен газ в газохранилище Чирен</t>
  </si>
  <si>
    <t>до 25-то число</t>
  </si>
  <si>
    <t>Месечен капацитет</t>
  </si>
  <si>
    <t>Велико Търново</t>
  </si>
  <si>
    <t xml:space="preserve">ПЛЕВЕН </t>
  </si>
  <si>
    <t>БУРГАС</t>
  </si>
  <si>
    <t>ВРАЦА</t>
  </si>
  <si>
    <t>Русе Кемикълс</t>
  </si>
  <si>
    <t>Доминекс</t>
  </si>
  <si>
    <t>Труд</t>
  </si>
  <si>
    <t>Тримесечен капацитет</t>
  </si>
  <si>
    <t>цена</t>
  </si>
  <si>
    <t>РВД</t>
  </si>
  <si>
    <t>Природен газ на баланасиращия пазар</t>
  </si>
  <si>
    <t>количество</t>
  </si>
  <si>
    <t>изходящ паричен поток</t>
  </si>
  <si>
    <t>Съхранение, брой единици</t>
  </si>
  <si>
    <t>Перник, Русе, Враца, Плевен</t>
  </si>
  <si>
    <t>Дългосрочен сегмент</t>
  </si>
  <si>
    <t xml:space="preserve">ГИС Чирен (нагнетяване) </t>
  </si>
  <si>
    <t>Чирен  капацитет</t>
  </si>
  <si>
    <t>Консултантски</t>
  </si>
  <si>
    <t>Разходи за консултантски услуги /лиценз Румъния и Гърция/</t>
  </si>
  <si>
    <t>други</t>
  </si>
  <si>
    <t>Бургас</t>
  </si>
  <si>
    <t>Враца</t>
  </si>
  <si>
    <t>еми</t>
  </si>
  <si>
    <t>Такса краткосрочен сегмент м.</t>
  </si>
  <si>
    <t xml:space="preserve">Такса сегмент </t>
  </si>
  <si>
    <t xml:space="preserve">Услуга по извършване на пренос по НГПМ за Топлофикациите </t>
  </si>
  <si>
    <t>Перник</t>
  </si>
  <si>
    <t>Тенекс</t>
  </si>
  <si>
    <t>Декотекс</t>
  </si>
  <si>
    <t>Нова пауър</t>
  </si>
  <si>
    <t>IGB</t>
  </si>
  <si>
    <t>Други</t>
  </si>
  <si>
    <t>Доставчици на природен газ</t>
  </si>
  <si>
    <t>количество, МВтч</t>
  </si>
  <si>
    <t>цена, лв/МВтч</t>
  </si>
  <si>
    <t>общо без ДДС</t>
  </si>
  <si>
    <t>общо с ДДС</t>
  </si>
  <si>
    <t>Входящ паричен поток</t>
  </si>
  <si>
    <t>лева</t>
  </si>
  <si>
    <t>Други клиенти (без Топлофикации)</t>
  </si>
  <si>
    <t>Продажби борса</t>
  </si>
  <si>
    <t>Продажби природен газ БГК</t>
  </si>
  <si>
    <t xml:space="preserve">Продажби борса Румъния </t>
  </si>
  <si>
    <t>Природeн газ за балансиране НГПМ (Булгартрансгаз)</t>
  </si>
  <si>
    <t>Изходящ паричен поток</t>
  </si>
  <si>
    <t>текущи плащания ТИБИЕЛ</t>
  </si>
  <si>
    <t>разлика изх. - вх.</t>
  </si>
  <si>
    <t>Плевен</t>
  </si>
  <si>
    <t>Враца 1</t>
  </si>
  <si>
    <t>Враца 2</t>
  </si>
  <si>
    <t>Топлофикация Велико Търново</t>
  </si>
  <si>
    <t>Плащания към Булгаргаз за природен газ, лева</t>
  </si>
  <si>
    <t>ОБЩО без ДДС</t>
  </si>
  <si>
    <t>дата</t>
  </si>
  <si>
    <t>ден</t>
  </si>
  <si>
    <t>задължение към:</t>
  </si>
  <si>
    <t>Забележка</t>
  </si>
  <si>
    <t>Дружество</t>
  </si>
  <si>
    <t>сума, лева</t>
  </si>
  <si>
    <t>Общо</t>
  </si>
  <si>
    <t>вторник</t>
  </si>
  <si>
    <t>плащания за природен газ</t>
  </si>
  <si>
    <t>сряда</t>
  </si>
  <si>
    <t>петък</t>
  </si>
  <si>
    <t>понеделник</t>
  </si>
  <si>
    <t>доставчици на услуги</t>
  </si>
  <si>
    <t>текущи плащания</t>
  </si>
  <si>
    <t xml:space="preserve">ТИБИЕЛ </t>
  </si>
  <si>
    <t>Гърция</t>
  </si>
  <si>
    <t>Наем+ консумативи</t>
  </si>
  <si>
    <t>ОБЩО с ДДС</t>
  </si>
  <si>
    <t xml:space="preserve"> </t>
  </si>
  <si>
    <t>Доставчици борса</t>
  </si>
  <si>
    <t>период</t>
  </si>
  <si>
    <t>Предоставяне на твърд дългосрочен продукт (годишен) за топлофикации и клиенти</t>
  </si>
  <si>
    <t xml:space="preserve">Предоставяне на дневен капацитет за топлофикации и клиенти </t>
  </si>
  <si>
    <t>Русе</t>
  </si>
  <si>
    <t>Докладване данни м.февруари+Такса ACER</t>
  </si>
  <si>
    <t>Бългериан газ къмпани</t>
  </si>
  <si>
    <t>Разходи за персонал</t>
  </si>
  <si>
    <t>Неустойки</t>
  </si>
  <si>
    <t>персонал</t>
  </si>
  <si>
    <t>работни заплати</t>
  </si>
  <si>
    <t>Допълнителен капацитет за нагнетяване  в газохранилище Чирен</t>
  </si>
  <si>
    <t>събота</t>
  </si>
  <si>
    <t>неделя</t>
  </si>
  <si>
    <t>четвъртък</t>
  </si>
  <si>
    <t>продавач</t>
  </si>
  <si>
    <t>период на доставка</t>
  </si>
  <si>
    <t>MWh/ден</t>
  </si>
  <si>
    <t>МВтч/мес.</t>
  </si>
  <si>
    <t>цена EUR/MWh</t>
  </si>
  <si>
    <t>падеж</t>
  </si>
  <si>
    <t>ОБЩО, евро</t>
  </si>
  <si>
    <t>ОБЩО, лева</t>
  </si>
  <si>
    <t>01.08.-31.08.2024</t>
  </si>
  <si>
    <t>Socar</t>
  </si>
  <si>
    <t>Доставчици на природен газ МЕТ ЕНЕРДЖИ</t>
  </si>
  <si>
    <t>до 21-во число</t>
  </si>
  <si>
    <t>МЕТ ЕНЕРДЖИ</t>
  </si>
  <si>
    <t>01.08.-15.08.2024</t>
  </si>
  <si>
    <t>септември</t>
  </si>
  <si>
    <t xml:space="preserve">Предоставяне на месечен капацитет за топлофикации и клиенти </t>
  </si>
  <si>
    <t>октомври</t>
  </si>
  <si>
    <t>количест Б-газ септември</t>
  </si>
  <si>
    <t>стойност Б-газ септември</t>
  </si>
  <si>
    <t>покупка на природен газ за месец септември 2024 г.</t>
  </si>
  <si>
    <t>Прогноза за плащанията през м.Октомври 2024 г.</t>
  </si>
  <si>
    <t>Октомври 2024 г.</t>
  </si>
  <si>
    <t>Цената  за разпределените количества природен газ при нагнетяване през м.септември и цена за пренос</t>
  </si>
  <si>
    <t>ноември</t>
  </si>
  <si>
    <t>Доставчици на природен газ СОКАР</t>
  </si>
  <si>
    <t>окончателни плащания за природен газ за месец октомври 2024 г.</t>
  </si>
  <si>
    <t xml:space="preserve">авансови плащания за природен газ за месец номври 2024 г. </t>
  </si>
  <si>
    <t>падеж  26.102024</t>
  </si>
  <si>
    <t>ОКТОМВРИ</t>
  </si>
  <si>
    <t>50% 3 работни дни преди доставка; 50% в месеца на доставка 16.10.2024</t>
  </si>
  <si>
    <t>за плащане в ОКТОМВРИ</t>
  </si>
  <si>
    <t>ДДС октомври</t>
  </si>
  <si>
    <t>за плащане в септември (3 дни преди доставка)</t>
  </si>
  <si>
    <t>стойност  евро</t>
  </si>
  <si>
    <t>текущо през месец октомври</t>
  </si>
  <si>
    <t>Димитровград</t>
  </si>
  <si>
    <t xml:space="preserve">Предоставяне на тримесечен капацитет за топлофикации и клиенти </t>
  </si>
  <si>
    <t>Окончателно плащане доставки октомври 2024</t>
  </si>
  <si>
    <t>Авансово плащане доставки ноември 2024</t>
  </si>
  <si>
    <r>
      <t>Авансови плащания за септември при цена на газа</t>
    </r>
    <r>
      <rPr>
        <b/>
        <sz val="11"/>
        <color theme="1"/>
        <rFont val="Times New Roman"/>
        <family val="1"/>
        <charset val="204"/>
      </rPr>
      <t xml:space="preserve"> 63,87 лв/МВтч</t>
    </r>
    <r>
      <rPr>
        <sz val="11"/>
        <color theme="1"/>
        <rFont val="Times New Roman"/>
        <family val="1"/>
      </rPr>
      <t xml:space="preserve"> </t>
    </r>
  </si>
  <si>
    <t>Стари задължения, към 24.09.2024</t>
  </si>
  <si>
    <t>За плащане  октомври</t>
  </si>
  <si>
    <t>авансови плащания 50% за природен газ за месец ноември 2024 г.</t>
  </si>
  <si>
    <t>падеж  15.10.2024</t>
  </si>
  <si>
    <t>МЕТ СОКАР</t>
  </si>
  <si>
    <t>график на плащанията за Октомври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</si>
</sst>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#,##0.00000"/>
    <numFmt numFmtId="168" formatCode="[$-F800]dddd\,\ mmmm\ dd\,\ yyyy"/>
    <numFmt numFmtId="169" formatCode="#,##0\ &quot;лв.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4"/>
      <name val="Calibri"/>
      <family val="2"/>
      <scheme val="minor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2"/>
      <color theme="1"/>
      <name val="Times New Roman"/>
      <family val="1"/>
      <charset val="204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  <charset val="204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1"/>
      <color rgb="FFFF0000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b/>
      <u/>
      <sz val="12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/>
  </cellStyleXfs>
  <cellXfs count="17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wrapText="1"/>
    </xf>
    <xf numFmtId="4" fontId="1" fillId="0" borderId="0" xfId="0" applyNumberFormat="1" applyFont="1"/>
    <xf numFmtId="4" fontId="1" fillId="0" borderId="1" xfId="0" applyNumberFormat="1" applyFont="1" applyBorder="1"/>
    <xf numFmtId="0" fontId="2" fillId="0" borderId="1" xfId="0" applyFont="1" applyBorder="1"/>
    <xf numFmtId="4" fontId="2" fillId="0" borderId="1" xfId="0" applyNumberFormat="1" applyFont="1" applyBorder="1"/>
    <xf numFmtId="2" fontId="1" fillId="0" borderId="1" xfId="0" applyNumberFormat="1" applyFont="1" applyBorder="1"/>
    <xf numFmtId="4" fontId="2" fillId="0" borderId="0" xfId="0" applyNumberFormat="1" applyFont="1"/>
    <xf numFmtId="0" fontId="1" fillId="3" borderId="1" xfId="0" applyFont="1" applyFill="1" applyBorder="1"/>
    <xf numFmtId="0" fontId="2" fillId="4" borderId="1" xfId="0" applyFont="1" applyFill="1" applyBorder="1" applyAlignment="1">
      <alignment wrapText="1"/>
    </xf>
    <xf numFmtId="4" fontId="2" fillId="4" borderId="1" xfId="0" applyNumberFormat="1" applyFont="1" applyFill="1" applyBorder="1"/>
    <xf numFmtId="4" fontId="2" fillId="4" borderId="1" xfId="0" applyNumberFormat="1" applyFont="1" applyFill="1" applyBorder="1" applyAlignment="1">
      <alignment horizontal="center"/>
    </xf>
    <xf numFmtId="4" fontId="1" fillId="5" borderId="0" xfId="0" applyNumberFormat="1" applyFont="1" applyFill="1"/>
    <xf numFmtId="164" fontId="1" fillId="0" borderId="1" xfId="0" applyNumberFormat="1" applyFont="1" applyBorder="1"/>
    <xf numFmtId="0" fontId="2" fillId="0" borderId="0" xfId="0" applyFont="1"/>
    <xf numFmtId="3" fontId="2" fillId="4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4" fontId="0" fillId="0" borderId="0" xfId="0" applyNumberFormat="1"/>
    <xf numFmtId="164" fontId="0" fillId="0" borderId="0" xfId="0" applyNumberFormat="1"/>
    <xf numFmtId="0" fontId="2" fillId="5" borderId="0" xfId="0" applyFont="1" applyFill="1"/>
    <xf numFmtId="0" fontId="4" fillId="3" borderId="1" xfId="0" applyFont="1" applyFill="1" applyBorder="1"/>
    <xf numFmtId="0" fontId="4" fillId="0" borderId="1" xfId="0" applyFont="1" applyBorder="1"/>
    <xf numFmtId="0" fontId="6" fillId="0" borderId="0" xfId="0" applyFont="1"/>
    <xf numFmtId="4" fontId="1" fillId="3" borderId="1" xfId="0" applyNumberFormat="1" applyFont="1" applyFill="1" applyBorder="1"/>
    <xf numFmtId="0" fontId="1" fillId="0" borderId="0" xfId="0" applyFont="1" applyAlignment="1">
      <alignment horizontal="center" wrapText="1"/>
    </xf>
    <xf numFmtId="0" fontId="2" fillId="3" borderId="1" xfId="0" applyFont="1" applyFill="1" applyBorder="1" applyAlignment="1">
      <alignment wrapText="1"/>
    </xf>
    <xf numFmtId="3" fontId="2" fillId="3" borderId="1" xfId="0" applyNumberFormat="1" applyFont="1" applyFill="1" applyBorder="1"/>
    <xf numFmtId="0" fontId="1" fillId="3" borderId="0" xfId="0" applyFont="1" applyFill="1"/>
    <xf numFmtId="164" fontId="4" fillId="3" borderId="1" xfId="0" applyNumberFormat="1" applyFont="1" applyFill="1" applyBorder="1"/>
    <xf numFmtId="3" fontId="2" fillId="0" borderId="0" xfId="0" applyNumberFormat="1" applyFont="1"/>
    <xf numFmtId="3" fontId="1" fillId="3" borderId="0" xfId="0" applyNumberFormat="1" applyFont="1" applyFill="1"/>
    <xf numFmtId="4" fontId="1" fillId="3" borderId="0" xfId="0" applyNumberFormat="1" applyFont="1" applyFill="1"/>
    <xf numFmtId="0" fontId="2" fillId="3" borderId="1" xfId="0" applyFont="1" applyFill="1" applyBorder="1" applyAlignment="1">
      <alignment horizontal="center" wrapText="1"/>
    </xf>
    <xf numFmtId="4" fontId="2" fillId="3" borderId="1" xfId="0" applyNumberFormat="1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3" borderId="0" xfId="0" applyFill="1"/>
    <xf numFmtId="0" fontId="9" fillId="0" borderId="0" xfId="0" applyFont="1"/>
    <xf numFmtId="0" fontId="12" fillId="3" borderId="1" xfId="1" applyFont="1" applyFill="1" applyBorder="1" applyAlignment="1">
      <alignment wrapText="1"/>
    </xf>
    <xf numFmtId="0" fontId="12" fillId="3" borderId="1" xfId="1" applyFont="1" applyFill="1" applyBorder="1" applyAlignment="1">
      <alignment horizontal="center"/>
    </xf>
    <xf numFmtId="4" fontId="12" fillId="3" borderId="1" xfId="1" applyNumberFormat="1" applyFont="1" applyFill="1" applyBorder="1"/>
    <xf numFmtId="3" fontId="12" fillId="3" borderId="1" xfId="1" applyNumberFormat="1" applyFont="1" applyFill="1" applyBorder="1"/>
    <xf numFmtId="0" fontId="9" fillId="3" borderId="0" xfId="0" applyFont="1" applyFill="1"/>
    <xf numFmtId="164" fontId="12" fillId="3" borderId="1" xfId="1" applyNumberFormat="1" applyFont="1" applyFill="1" applyBorder="1"/>
    <xf numFmtId="1" fontId="9" fillId="0" borderId="0" xfId="0" applyNumberFormat="1" applyFont="1"/>
    <xf numFmtId="4" fontId="9" fillId="0" borderId="0" xfId="0" applyNumberFormat="1" applyFont="1"/>
    <xf numFmtId="1" fontId="12" fillId="3" borderId="1" xfId="1" applyNumberFormat="1" applyFont="1" applyFill="1" applyBorder="1" applyAlignment="1">
      <alignment horizontal="center"/>
    </xf>
    <xf numFmtId="4" fontId="9" fillId="3" borderId="0" xfId="0" applyNumberFormat="1" applyFont="1" applyFill="1"/>
    <xf numFmtId="0" fontId="14" fillId="3" borderId="0" xfId="0" applyFont="1" applyFill="1"/>
    <xf numFmtId="3" fontId="9" fillId="0" borderId="0" xfId="0" applyNumberFormat="1" applyFont="1"/>
    <xf numFmtId="0" fontId="15" fillId="6" borderId="1" xfId="1" applyFont="1" applyFill="1" applyBorder="1" applyAlignment="1">
      <alignment horizontal="center" wrapText="1"/>
    </xf>
    <xf numFmtId="0" fontId="13" fillId="7" borderId="5" xfId="1" applyFont="1" applyFill="1" applyBorder="1" applyAlignment="1">
      <alignment wrapText="1"/>
    </xf>
    <xf numFmtId="0" fontId="13" fillId="7" borderId="5" xfId="1" applyFont="1" applyFill="1" applyBorder="1" applyAlignment="1">
      <alignment horizontal="center"/>
    </xf>
    <xf numFmtId="4" fontId="13" fillId="7" borderId="5" xfId="1" applyNumberFormat="1" applyFont="1" applyFill="1" applyBorder="1"/>
    <xf numFmtId="0" fontId="13" fillId="8" borderId="1" xfId="1" applyFont="1" applyFill="1" applyBorder="1" applyAlignment="1">
      <alignment wrapText="1"/>
    </xf>
    <xf numFmtId="0" fontId="12" fillId="8" borderId="1" xfId="1" applyFont="1" applyFill="1" applyBorder="1" applyAlignment="1">
      <alignment horizontal="center"/>
    </xf>
    <xf numFmtId="1" fontId="13" fillId="8" borderId="1" xfId="1" applyNumberFormat="1" applyFont="1" applyFill="1" applyBorder="1" applyAlignment="1">
      <alignment horizontal="center"/>
    </xf>
    <xf numFmtId="0" fontId="13" fillId="8" borderId="1" xfId="1" applyFont="1" applyFill="1" applyBorder="1" applyAlignment="1">
      <alignment horizontal="center"/>
    </xf>
    <xf numFmtId="4" fontId="13" fillId="8" borderId="1" xfId="1" applyNumberFormat="1" applyFont="1" applyFill="1" applyBorder="1"/>
    <xf numFmtId="0" fontId="10" fillId="0" borderId="0" xfId="0" applyFont="1"/>
    <xf numFmtId="4" fontId="15" fillId="3" borderId="1" xfId="1" applyNumberFormat="1" applyFont="1" applyFill="1" applyBorder="1"/>
    <xf numFmtId="0" fontId="18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/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3" fontId="18" fillId="0" borderId="1" xfId="0" applyNumberFormat="1" applyFont="1" applyBorder="1" applyAlignment="1">
      <alignment horizontal="center" vertical="center" wrapText="1"/>
    </xf>
    <xf numFmtId="0" fontId="19" fillId="0" borderId="0" xfId="0" applyFont="1"/>
    <xf numFmtId="0" fontId="8" fillId="0" borderId="0" xfId="0" applyFont="1"/>
    <xf numFmtId="0" fontId="8" fillId="3" borderId="0" xfId="0" applyFont="1" applyFill="1" applyAlignment="1">
      <alignment horizontal="center" wrapText="1"/>
    </xf>
    <xf numFmtId="0" fontId="8" fillId="3" borderId="0" xfId="0" applyFont="1" applyFill="1"/>
    <xf numFmtId="0" fontId="20" fillId="3" borderId="0" xfId="0" applyFont="1" applyFill="1"/>
    <xf numFmtId="0" fontId="21" fillId="3" borderId="0" xfId="0" applyFont="1" applyFill="1" applyAlignment="1">
      <alignment horizontal="right"/>
    </xf>
    <xf numFmtId="0" fontId="22" fillId="6" borderId="1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169" fontId="8" fillId="3" borderId="0" xfId="0" applyNumberFormat="1" applyFont="1" applyFill="1"/>
    <xf numFmtId="0" fontId="8" fillId="3" borderId="0" xfId="0" applyFont="1" applyFill="1" applyAlignment="1">
      <alignment wrapText="1"/>
    </xf>
    <xf numFmtId="169" fontId="21" fillId="3" borderId="0" xfId="0" applyNumberFormat="1" applyFont="1" applyFill="1"/>
    <xf numFmtId="169" fontId="20" fillId="3" borderId="0" xfId="0" applyNumberFormat="1" applyFont="1" applyFill="1" applyAlignment="1">
      <alignment horizontal="center" vertical="center"/>
    </xf>
    <xf numFmtId="14" fontId="8" fillId="3" borderId="1" xfId="0" applyNumberFormat="1" applyFont="1" applyFill="1" applyBorder="1"/>
    <xf numFmtId="0" fontId="9" fillId="3" borderId="1" xfId="0" applyFont="1" applyFill="1" applyBorder="1"/>
    <xf numFmtId="0" fontId="12" fillId="3" borderId="1" xfId="1" applyFont="1" applyFill="1" applyBorder="1" applyAlignment="1">
      <alignment horizontal="center" wrapText="1"/>
    </xf>
    <xf numFmtId="0" fontId="24" fillId="3" borderId="1" xfId="1" applyFont="1" applyFill="1" applyBorder="1" applyAlignment="1">
      <alignment horizontal="center" wrapText="1"/>
    </xf>
    <xf numFmtId="4" fontId="14" fillId="3" borderId="0" xfId="0" applyNumberFormat="1" applyFont="1" applyFill="1"/>
    <xf numFmtId="4" fontId="8" fillId="0" borderId="0" xfId="0" applyNumberFormat="1" applyFont="1"/>
    <xf numFmtId="14" fontId="8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3" fontId="18" fillId="2" borderId="1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4" fontId="2" fillId="0" borderId="6" xfId="0" applyNumberFormat="1" applyFont="1" applyBorder="1"/>
    <xf numFmtId="0" fontId="0" fillId="0" borderId="1" xfId="0" applyBorder="1"/>
    <xf numFmtId="0" fontId="22" fillId="6" borderId="1" xfId="0" applyFont="1" applyFill="1" applyBorder="1" applyAlignment="1">
      <alignment horizontal="center" wrapText="1"/>
    </xf>
    <xf numFmtId="0" fontId="23" fillId="6" borderId="1" xfId="0" applyFont="1" applyFill="1" applyBorder="1" applyAlignment="1">
      <alignment horizontal="center" wrapText="1"/>
    </xf>
    <xf numFmtId="3" fontId="0" fillId="0" borderId="0" xfId="0" applyNumberFormat="1"/>
    <xf numFmtId="0" fontId="2" fillId="3" borderId="0" xfId="0" applyFont="1" applyFill="1"/>
    <xf numFmtId="0" fontId="18" fillId="2" borderId="7" xfId="0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 applyProtection="1">
      <alignment horizontal="center" vertical="center"/>
      <protection hidden="1"/>
    </xf>
    <xf numFmtId="14" fontId="8" fillId="3" borderId="1" xfId="0" applyNumberFormat="1" applyFont="1" applyFill="1" applyBorder="1" applyAlignment="1">
      <alignment horizontal="center"/>
    </xf>
    <xf numFmtId="168" fontId="8" fillId="3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wrapText="1"/>
    </xf>
    <xf numFmtId="3" fontId="1" fillId="0" borderId="7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3" borderId="1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wrapText="1"/>
    </xf>
    <xf numFmtId="3" fontId="25" fillId="3" borderId="1" xfId="0" applyNumberFormat="1" applyFont="1" applyFill="1" applyBorder="1" applyAlignment="1">
      <alignment horizontal="center" vertical="center" wrapText="1"/>
    </xf>
    <xf numFmtId="0" fontId="26" fillId="0" borderId="0" xfId="0" applyFont="1"/>
    <xf numFmtId="3" fontId="25" fillId="0" borderId="1" xfId="0" applyNumberFormat="1" applyFont="1" applyBorder="1" applyAlignment="1">
      <alignment horizontal="center" vertical="center" wrapText="1"/>
    </xf>
    <xf numFmtId="4" fontId="8" fillId="3" borderId="0" xfId="0" applyNumberFormat="1" applyFont="1" applyFill="1"/>
    <xf numFmtId="4" fontId="2" fillId="3" borderId="1" xfId="0" applyNumberFormat="1" applyFont="1" applyFill="1" applyBorder="1"/>
    <xf numFmtId="0" fontId="3" fillId="0" borderId="0" xfId="0" applyFont="1"/>
    <xf numFmtId="3" fontId="1" fillId="0" borderId="1" xfId="0" applyNumberFormat="1" applyFont="1" applyBorder="1"/>
    <xf numFmtId="0" fontId="2" fillId="0" borderId="1" xfId="0" applyFont="1" applyBorder="1" applyAlignment="1">
      <alignment horizontal="right"/>
    </xf>
    <xf numFmtId="3" fontId="2" fillId="0" borderId="1" xfId="0" applyNumberFormat="1" applyFont="1" applyBorder="1"/>
    <xf numFmtId="0" fontId="1" fillId="6" borderId="1" xfId="0" applyFont="1" applyFill="1" applyBorder="1" applyAlignment="1">
      <alignment horizontal="center" wrapText="1"/>
    </xf>
    <xf numFmtId="3" fontId="12" fillId="3" borderId="1" xfId="1" applyNumberFormat="1" applyFont="1" applyFill="1" applyBorder="1" applyAlignment="1">
      <alignment wrapText="1"/>
    </xf>
    <xf numFmtId="0" fontId="0" fillId="3" borderId="1" xfId="0" applyFill="1" applyBorder="1"/>
    <xf numFmtId="14" fontId="1" fillId="0" borderId="1" xfId="0" applyNumberFormat="1" applyFont="1" applyBorder="1"/>
    <xf numFmtId="3" fontId="1" fillId="9" borderId="1" xfId="0" applyNumberFormat="1" applyFont="1" applyFill="1" applyBorder="1"/>
    <xf numFmtId="3" fontId="2" fillId="9" borderId="1" xfId="0" applyNumberFormat="1" applyFont="1" applyFill="1" applyBorder="1"/>
    <xf numFmtId="168" fontId="8" fillId="3" borderId="5" xfId="0" applyNumberFormat="1" applyFont="1" applyFill="1" applyBorder="1" applyAlignment="1">
      <alignment horizontal="center"/>
    </xf>
    <xf numFmtId="14" fontId="8" fillId="3" borderId="5" xfId="0" applyNumberFormat="1" applyFont="1" applyFill="1" applyBorder="1" applyAlignment="1">
      <alignment horizontal="center"/>
    </xf>
    <xf numFmtId="169" fontId="21" fillId="3" borderId="1" xfId="0" applyNumberFormat="1" applyFont="1" applyFill="1" applyBorder="1" applyAlignment="1">
      <alignment horizontal="right"/>
    </xf>
    <xf numFmtId="169" fontId="21" fillId="3" borderId="5" xfId="0" applyNumberFormat="1" applyFont="1" applyFill="1" applyBorder="1" applyAlignment="1">
      <alignment horizontal="right"/>
    </xf>
    <xf numFmtId="169" fontId="21" fillId="3" borderId="6" xfId="0" applyNumberFormat="1" applyFont="1" applyFill="1" applyBorder="1" applyAlignment="1">
      <alignment horizontal="right"/>
    </xf>
    <xf numFmtId="169" fontId="21" fillId="3" borderId="0" xfId="0" applyNumberFormat="1" applyFont="1" applyFill="1" applyAlignment="1">
      <alignment horizontal="right"/>
    </xf>
    <xf numFmtId="0" fontId="24" fillId="3" borderId="1" xfId="1" applyFont="1" applyFill="1" applyBorder="1" applyAlignment="1">
      <alignment horizontal="right" wrapText="1"/>
    </xf>
    <xf numFmtId="4" fontId="13" fillId="8" borderId="1" xfId="1" applyNumberFormat="1" applyFont="1" applyFill="1" applyBorder="1" applyAlignment="1">
      <alignment horizontal="right"/>
    </xf>
    <xf numFmtId="4" fontId="12" fillId="3" borderId="1" xfId="1" applyNumberFormat="1" applyFont="1" applyFill="1" applyBorder="1" applyAlignment="1">
      <alignment horizontal="right"/>
    </xf>
    <xf numFmtId="168" fontId="8" fillId="3" borderId="6" xfId="0" applyNumberFormat="1" applyFont="1" applyFill="1" applyBorder="1" applyAlignment="1">
      <alignment horizontal="center"/>
    </xf>
    <xf numFmtId="14" fontId="8" fillId="3" borderId="6" xfId="0" applyNumberFormat="1" applyFont="1" applyFill="1" applyBorder="1" applyAlignment="1">
      <alignment horizontal="center"/>
    </xf>
    <xf numFmtId="169" fontId="21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164" fontId="5" fillId="3" borderId="1" xfId="0" applyNumberFormat="1" applyFont="1" applyFill="1" applyBorder="1" applyAlignment="1">
      <alignment wrapText="1"/>
    </xf>
    <xf numFmtId="3" fontId="5" fillId="3" borderId="1" xfId="0" applyNumberFormat="1" applyFont="1" applyFill="1" applyBorder="1"/>
    <xf numFmtId="3" fontId="4" fillId="3" borderId="0" xfId="0" applyNumberFormat="1" applyFont="1" applyFill="1"/>
    <xf numFmtId="0" fontId="4" fillId="3" borderId="0" xfId="0" applyFont="1" applyFill="1"/>
    <xf numFmtId="14" fontId="5" fillId="3" borderId="1" xfId="0" applyNumberFormat="1" applyFont="1" applyFill="1" applyBorder="1" applyAlignment="1">
      <alignment wrapText="1"/>
    </xf>
    <xf numFmtId="0" fontId="5" fillId="3" borderId="1" xfId="0" applyFont="1" applyFill="1" applyBorder="1"/>
    <xf numFmtId="167" fontId="5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4" fontId="5" fillId="3" borderId="1" xfId="0" applyNumberFormat="1" applyFont="1" applyFill="1" applyBorder="1"/>
    <xf numFmtId="4" fontId="4" fillId="3" borderId="1" xfId="0" applyNumberFormat="1" applyFont="1" applyFill="1" applyBorder="1" applyAlignment="1">
      <alignment wrapText="1"/>
    </xf>
    <xf numFmtId="2" fontId="4" fillId="3" borderId="1" xfId="0" applyNumberFormat="1" applyFont="1" applyFill="1" applyBorder="1" applyAlignment="1">
      <alignment wrapText="1"/>
    </xf>
    <xf numFmtId="166" fontId="4" fillId="3" borderId="1" xfId="0" applyNumberFormat="1" applyFont="1" applyFill="1" applyBorder="1" applyAlignment="1">
      <alignment wrapText="1"/>
    </xf>
    <xf numFmtId="165" fontId="4" fillId="3" borderId="1" xfId="0" applyNumberFormat="1" applyFont="1" applyFill="1" applyBorder="1" applyAlignment="1">
      <alignment wrapText="1"/>
    </xf>
    <xf numFmtId="4" fontId="5" fillId="3" borderId="1" xfId="0" applyNumberFormat="1" applyFont="1" applyFill="1" applyBorder="1" applyAlignment="1">
      <alignment wrapText="1"/>
    </xf>
    <xf numFmtId="2" fontId="5" fillId="3" borderId="1" xfId="0" applyNumberFormat="1" applyFont="1" applyFill="1" applyBorder="1" applyAlignment="1">
      <alignment wrapText="1"/>
    </xf>
    <xf numFmtId="3" fontId="4" fillId="3" borderId="1" xfId="0" applyNumberFormat="1" applyFont="1" applyFill="1" applyBorder="1"/>
    <xf numFmtId="168" fontId="8" fillId="6" borderId="1" xfId="0" applyNumberFormat="1" applyFont="1" applyFill="1" applyBorder="1" applyAlignment="1">
      <alignment horizontal="center"/>
    </xf>
    <xf numFmtId="0" fontId="0" fillId="6" borderId="1" xfId="0" applyFill="1" applyBorder="1"/>
    <xf numFmtId="168" fontId="8" fillId="3" borderId="5" xfId="0" applyNumberFormat="1" applyFont="1" applyFill="1" applyBorder="1"/>
    <xf numFmtId="14" fontId="8" fillId="3" borderId="5" xfId="0" applyNumberFormat="1" applyFont="1" applyFill="1" applyBorder="1"/>
    <xf numFmtId="0" fontId="3" fillId="0" borderId="0" xfId="0" applyFont="1" applyAlignment="1">
      <alignment horizontal="center"/>
    </xf>
    <xf numFmtId="0" fontId="27" fillId="0" borderId="0" xfId="0" applyFont="1" applyAlignment="1">
      <alignment horizontal="center" wrapText="1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8" fontId="8" fillId="3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169" fontId="21" fillId="3" borderId="1" xfId="0" applyNumberFormat="1" applyFont="1" applyFill="1" applyBorder="1" applyAlignment="1">
      <alignment horizontal="right"/>
    </xf>
    <xf numFmtId="168" fontId="8" fillId="3" borderId="5" xfId="0" applyNumberFormat="1" applyFont="1" applyFill="1" applyBorder="1" applyAlignment="1">
      <alignment horizontal="center"/>
    </xf>
    <xf numFmtId="168" fontId="8" fillId="3" borderId="6" xfId="0" applyNumberFormat="1" applyFont="1" applyFill="1" applyBorder="1" applyAlignment="1">
      <alignment horizontal="center"/>
    </xf>
    <xf numFmtId="14" fontId="8" fillId="3" borderId="5" xfId="0" applyNumberFormat="1" applyFont="1" applyFill="1" applyBorder="1" applyAlignment="1">
      <alignment horizontal="center"/>
    </xf>
    <xf numFmtId="14" fontId="8" fillId="3" borderId="6" xfId="0" applyNumberFormat="1" applyFont="1" applyFill="1" applyBorder="1" applyAlignment="1">
      <alignment horizontal="center"/>
    </xf>
    <xf numFmtId="169" fontId="21" fillId="3" borderId="5" xfId="0" applyNumberFormat="1" applyFont="1" applyFill="1" applyBorder="1" applyAlignment="1">
      <alignment horizontal="right"/>
    </xf>
    <xf numFmtId="169" fontId="21" fillId="3" borderId="6" xfId="0" applyNumberFormat="1" applyFont="1" applyFill="1" applyBorder="1" applyAlignment="1">
      <alignment horizontal="right"/>
    </xf>
    <xf numFmtId="168" fontId="8" fillId="3" borderId="8" xfId="0" applyNumberFormat="1" applyFont="1" applyFill="1" applyBorder="1" applyAlignment="1">
      <alignment horizontal="center"/>
    </xf>
    <xf numFmtId="14" fontId="8" fillId="3" borderId="8" xfId="0" applyNumberFormat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169" fontId="21" fillId="3" borderId="8" xfId="0" applyNumberFormat="1" applyFont="1" applyFill="1" applyBorder="1" applyAlignment="1">
      <alignment horizontal="right"/>
    </xf>
  </cellXfs>
  <cellStyles count="2">
    <cellStyle name="Normal" xfId="0" builtinId="0"/>
    <cellStyle name="Normal 11" xfId="1" xr:uid="{25B270FF-3A5F-4001-8292-37DF56CF3B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5"/>
  <sheetViews>
    <sheetView topLeftCell="A11" zoomScale="85" zoomScaleNormal="85" workbookViewId="0">
      <selection activeCell="C20" sqref="C20"/>
    </sheetView>
  </sheetViews>
  <sheetFormatPr defaultRowHeight="15" x14ac:dyDescent="0.25"/>
  <cols>
    <col min="1" max="1" width="28.140625" customWidth="1"/>
    <col min="2" max="2" width="14.140625" customWidth="1"/>
    <col min="3" max="3" width="13.28515625" customWidth="1"/>
    <col min="4" max="4" width="12.42578125" customWidth="1"/>
    <col min="5" max="5" width="11.28515625" bestFit="1" customWidth="1"/>
    <col min="6" max="6" width="9.85546875" bestFit="1" customWidth="1"/>
  </cols>
  <sheetData>
    <row r="2" spans="1:6" ht="90" x14ac:dyDescent="0.25">
      <c r="A2" s="5"/>
      <c r="B2" s="5" t="s">
        <v>15</v>
      </c>
      <c r="C2" s="5" t="s">
        <v>16</v>
      </c>
      <c r="D2" s="5" t="s">
        <v>17</v>
      </c>
      <c r="E2" s="5" t="s">
        <v>18</v>
      </c>
    </row>
    <row r="3" spans="1:6" x14ac:dyDescent="0.25">
      <c r="A3" s="2" t="s">
        <v>36</v>
      </c>
      <c r="B3" s="27">
        <v>440</v>
      </c>
      <c r="C3" s="2"/>
      <c r="D3" s="25">
        <v>309.27260000000001</v>
      </c>
      <c r="E3" s="7">
        <f>B3*C3/12+B3*D3/12</f>
        <v>11339.995333333334</v>
      </c>
    </row>
    <row r="4" spans="1:6" x14ac:dyDescent="0.25">
      <c r="A4" s="2" t="s">
        <v>37</v>
      </c>
      <c r="B4" s="27">
        <v>50</v>
      </c>
      <c r="C4" s="2"/>
      <c r="D4" s="25">
        <v>309.27260000000001</v>
      </c>
      <c r="E4" s="7">
        <f>B4*C4/12+B4*D4/12</f>
        <v>1288.6358333333335</v>
      </c>
    </row>
    <row r="5" spans="1:6" x14ac:dyDescent="0.25">
      <c r="A5" s="2" t="s">
        <v>38</v>
      </c>
      <c r="B5" s="27">
        <v>22</v>
      </c>
      <c r="C5" s="2"/>
      <c r="D5" s="25">
        <v>309.27260000000001</v>
      </c>
      <c r="E5" s="7">
        <f>B5*C5/12+B5*D5/12</f>
        <v>566.99976666666669</v>
      </c>
    </row>
    <row r="6" spans="1:6" x14ac:dyDescent="0.25">
      <c r="A6" s="2" t="s">
        <v>39</v>
      </c>
      <c r="B6" s="27"/>
      <c r="C6" s="2"/>
      <c r="D6" s="25">
        <v>309.27260000000001</v>
      </c>
      <c r="E6" s="7">
        <f>B6*C6/12+B6*D6/12</f>
        <v>0</v>
      </c>
    </row>
    <row r="7" spans="1:6" x14ac:dyDescent="0.25">
      <c r="A7" s="2" t="s">
        <v>62</v>
      </c>
      <c r="B7" s="27">
        <v>708</v>
      </c>
      <c r="C7" s="2"/>
      <c r="D7" s="25">
        <v>309.27260000000001</v>
      </c>
      <c r="E7" s="7">
        <f t="shared" ref="E7:E12" si="0">B7*C7/12+B7*D7/12</f>
        <v>18247.0834</v>
      </c>
    </row>
    <row r="8" spans="1:6" x14ac:dyDescent="0.25">
      <c r="A8" s="2" t="s">
        <v>63</v>
      </c>
      <c r="B8" s="27"/>
      <c r="C8" s="2"/>
      <c r="D8" s="25">
        <v>309.27260000000001</v>
      </c>
      <c r="E8" s="7">
        <f t="shared" si="0"/>
        <v>0</v>
      </c>
    </row>
    <row r="9" spans="1:6" x14ac:dyDescent="0.25">
      <c r="A9" s="2" t="s">
        <v>40</v>
      </c>
      <c r="B9" s="27"/>
      <c r="C9" s="2"/>
      <c r="D9" s="25">
        <v>309.27260000000001</v>
      </c>
      <c r="E9" s="7">
        <f t="shared" si="0"/>
        <v>0</v>
      </c>
    </row>
    <row r="10" spans="1:6" x14ac:dyDescent="0.25">
      <c r="A10" s="2" t="s">
        <v>41</v>
      </c>
      <c r="B10" s="27"/>
      <c r="C10" s="2"/>
      <c r="D10" s="25">
        <v>309.27260000000001</v>
      </c>
      <c r="E10" s="7">
        <f t="shared" si="0"/>
        <v>0</v>
      </c>
    </row>
    <row r="11" spans="1:6" x14ac:dyDescent="0.25">
      <c r="A11" s="2" t="s">
        <v>35</v>
      </c>
      <c r="B11" s="27">
        <v>2</v>
      </c>
      <c r="C11" s="2"/>
      <c r="D11" s="25">
        <v>309.27260000000001</v>
      </c>
      <c r="E11" s="7">
        <f t="shared" si="0"/>
        <v>51.545433333333335</v>
      </c>
    </row>
    <row r="12" spans="1:6" x14ac:dyDescent="0.25">
      <c r="A12" s="2" t="s">
        <v>44</v>
      </c>
      <c r="B12" s="27"/>
      <c r="C12" s="2"/>
      <c r="D12" s="25">
        <v>309.27260000000001</v>
      </c>
      <c r="E12" s="7">
        <f t="shared" si="0"/>
        <v>0</v>
      </c>
    </row>
    <row r="13" spans="1:6" x14ac:dyDescent="0.25">
      <c r="A13" s="2" t="s">
        <v>55</v>
      </c>
      <c r="B13" s="27"/>
      <c r="C13" s="2"/>
      <c r="D13" s="25">
        <v>309.27260000000001</v>
      </c>
      <c r="E13" s="7">
        <f t="shared" ref="E13:E14" si="1">B13*C13/12+B13*D13/12</f>
        <v>0</v>
      </c>
    </row>
    <row r="14" spans="1:6" x14ac:dyDescent="0.25">
      <c r="A14" s="2" t="s">
        <v>58</v>
      </c>
      <c r="B14" s="27"/>
      <c r="C14" s="2"/>
      <c r="D14" s="25">
        <v>309.27260000000001</v>
      </c>
      <c r="E14" s="7">
        <f t="shared" si="1"/>
        <v>0</v>
      </c>
    </row>
    <row r="15" spans="1:6" x14ac:dyDescent="0.25">
      <c r="A15" s="2" t="s">
        <v>66</v>
      </c>
      <c r="B15" s="27"/>
      <c r="C15" s="2"/>
      <c r="D15" s="93">
        <f>28.040925+20.67660833</f>
        <v>48.717533330000002</v>
      </c>
      <c r="E15" s="7">
        <f>+B15*D15</f>
        <v>0</v>
      </c>
      <c r="F15">
        <f>+E15/31</f>
        <v>0</v>
      </c>
    </row>
    <row r="16" spans="1:6" x14ac:dyDescent="0.25">
      <c r="A16" s="1"/>
      <c r="B16" s="35">
        <f>SUM(B3:B15)</f>
        <v>1222</v>
      </c>
      <c r="C16" s="1"/>
      <c r="D16" s="91" t="s">
        <v>14</v>
      </c>
      <c r="E16" s="92">
        <f>SUM(E3:E15)</f>
        <v>31494.259766666666</v>
      </c>
      <c r="F16" s="21">
        <f>+E16+D30+D44</f>
        <v>57644.397036666662</v>
      </c>
    </row>
    <row r="17" spans="1:7" x14ac:dyDescent="0.25">
      <c r="B17" s="21">
        <f>+B9+B10+B12+B13+B15</f>
        <v>0</v>
      </c>
    </row>
    <row r="19" spans="1:7" ht="30" x14ac:dyDescent="0.25">
      <c r="B19" s="5" t="s">
        <v>22</v>
      </c>
      <c r="C19" s="5" t="s">
        <v>20</v>
      </c>
      <c r="D19" s="5" t="s">
        <v>21</v>
      </c>
      <c r="E19" s="20"/>
      <c r="F19" s="5"/>
      <c r="G19" s="5"/>
    </row>
    <row r="20" spans="1:7" x14ac:dyDescent="0.25">
      <c r="A20" s="2" t="s">
        <v>49</v>
      </c>
      <c r="B20" s="12">
        <v>13200</v>
      </c>
      <c r="C20" s="25">
        <v>1.5269999999999999</v>
      </c>
      <c r="D20" s="9">
        <f>+C20*B20</f>
        <v>20156.399999999998</v>
      </c>
      <c r="F20" s="2"/>
      <c r="G20" s="9"/>
    </row>
    <row r="22" spans="1:7" ht="30" x14ac:dyDescent="0.25">
      <c r="B22" s="5" t="s">
        <v>42</v>
      </c>
      <c r="C22" s="5" t="s">
        <v>20</v>
      </c>
      <c r="D22" s="5" t="s">
        <v>21</v>
      </c>
    </row>
    <row r="23" spans="1:7" s="26" customFormat="1" x14ac:dyDescent="0.25">
      <c r="A23" s="25" t="s">
        <v>83</v>
      </c>
      <c r="B23" s="24">
        <v>400</v>
      </c>
      <c r="C23" s="24">
        <v>116.5407</v>
      </c>
      <c r="D23" s="25">
        <f>+B23*C23/3</f>
        <v>15538.76</v>
      </c>
    </row>
    <row r="24" spans="1:7" s="26" customFormat="1" x14ac:dyDescent="0.25">
      <c r="A24" s="25" t="s">
        <v>40</v>
      </c>
      <c r="B24" s="24">
        <v>18</v>
      </c>
      <c r="C24" s="24">
        <v>116.5407</v>
      </c>
      <c r="D24" s="25">
        <f t="shared" ref="D24:D29" si="2">+B24*C24/3</f>
        <v>699.24419999999998</v>
      </c>
    </row>
    <row r="25" spans="1:7" s="26" customFormat="1" x14ac:dyDescent="0.25">
      <c r="A25" s="25" t="s">
        <v>44</v>
      </c>
      <c r="B25" s="24">
        <v>11</v>
      </c>
      <c r="C25" s="24">
        <v>116.5407</v>
      </c>
      <c r="D25" s="25">
        <f t="shared" si="2"/>
        <v>427.3159</v>
      </c>
    </row>
    <row r="26" spans="1:7" s="26" customFormat="1" x14ac:dyDescent="0.25">
      <c r="A26" s="25" t="s">
        <v>112</v>
      </c>
      <c r="B26" s="24"/>
      <c r="C26" s="24">
        <v>116.5407</v>
      </c>
      <c r="D26" s="25">
        <f t="shared" si="2"/>
        <v>0</v>
      </c>
    </row>
    <row r="27" spans="1:7" s="26" customFormat="1" x14ac:dyDescent="0.25">
      <c r="A27" s="25" t="s">
        <v>57</v>
      </c>
      <c r="B27" s="24">
        <f>46+15</f>
        <v>61</v>
      </c>
      <c r="C27" s="24">
        <v>116.5407</v>
      </c>
      <c r="D27" s="25">
        <f t="shared" si="2"/>
        <v>2369.6609000000003</v>
      </c>
    </row>
    <row r="28" spans="1:7" s="26" customFormat="1" x14ac:dyDescent="0.25">
      <c r="A28" s="25" t="s">
        <v>35</v>
      </c>
      <c r="B28" s="24">
        <v>30</v>
      </c>
      <c r="C28" s="24">
        <v>116.5407</v>
      </c>
      <c r="D28" s="25">
        <f t="shared" si="2"/>
        <v>1165.4069999999999</v>
      </c>
    </row>
    <row r="29" spans="1:7" s="26" customFormat="1" x14ac:dyDescent="0.25">
      <c r="A29" s="25" t="s">
        <v>62</v>
      </c>
      <c r="B29" s="24">
        <v>150</v>
      </c>
      <c r="C29" s="24">
        <v>116.5407</v>
      </c>
      <c r="D29" s="25">
        <f t="shared" si="2"/>
        <v>5827.0349999999999</v>
      </c>
    </row>
    <row r="30" spans="1:7" x14ac:dyDescent="0.25">
      <c r="B30">
        <f>SUM(B23:B29)</f>
        <v>670</v>
      </c>
      <c r="C30" s="8" t="s">
        <v>14</v>
      </c>
      <c r="D30" s="9">
        <f>SUM(D23:D29)</f>
        <v>26027.422999999999</v>
      </c>
    </row>
    <row r="32" spans="1:7" ht="30" x14ac:dyDescent="0.25">
      <c r="B32" s="5" t="s">
        <v>34</v>
      </c>
      <c r="C32" s="5" t="s">
        <v>20</v>
      </c>
      <c r="D32" s="5" t="s">
        <v>21</v>
      </c>
    </row>
    <row r="33" spans="1:4" x14ac:dyDescent="0.25">
      <c r="A33" s="2" t="s">
        <v>36</v>
      </c>
      <c r="B33" s="32"/>
      <c r="C33" s="24">
        <v>34.567399999999999</v>
      </c>
      <c r="D33" s="2">
        <f>+B33*C33</f>
        <v>0</v>
      </c>
    </row>
    <row r="34" spans="1:4" x14ac:dyDescent="0.25">
      <c r="A34" s="2" t="s">
        <v>37</v>
      </c>
      <c r="B34" s="32"/>
      <c r="C34" s="24">
        <v>34.567399999999999</v>
      </c>
      <c r="D34" s="2">
        <f t="shared" ref="D34:D43" si="3">+B34*C34</f>
        <v>0</v>
      </c>
    </row>
    <row r="35" spans="1:4" x14ac:dyDescent="0.25">
      <c r="A35" s="2" t="s">
        <v>38</v>
      </c>
      <c r="B35" s="32"/>
      <c r="C35" s="24">
        <v>34.567399999999999</v>
      </c>
      <c r="D35" s="2">
        <f t="shared" si="3"/>
        <v>0</v>
      </c>
    </row>
    <row r="36" spans="1:4" x14ac:dyDescent="0.25">
      <c r="A36" s="2" t="s">
        <v>67</v>
      </c>
      <c r="B36" s="32">
        <v>1.55</v>
      </c>
      <c r="C36" s="24">
        <v>34.567399999999999</v>
      </c>
      <c r="D36" s="2">
        <f t="shared" si="3"/>
        <v>53.579470000000001</v>
      </c>
    </row>
    <row r="37" spans="1:4" x14ac:dyDescent="0.25">
      <c r="A37" s="2" t="s">
        <v>65</v>
      </c>
      <c r="B37" s="24"/>
      <c r="C37" s="24">
        <v>34.567399999999999</v>
      </c>
      <c r="D37" s="2">
        <f t="shared" si="3"/>
        <v>0</v>
      </c>
    </row>
    <row r="38" spans="1:4" x14ac:dyDescent="0.25">
      <c r="A38" s="2" t="s">
        <v>112</v>
      </c>
      <c r="B38" s="24"/>
      <c r="C38" s="24">
        <v>34.567399999999999</v>
      </c>
      <c r="D38" s="2">
        <f t="shared" si="3"/>
        <v>0</v>
      </c>
    </row>
    <row r="39" spans="1:4" x14ac:dyDescent="0.25">
      <c r="A39" s="2" t="s">
        <v>40</v>
      </c>
      <c r="B39" s="24">
        <v>1</v>
      </c>
      <c r="C39" s="24">
        <v>34.567399999999999</v>
      </c>
      <c r="D39" s="2">
        <f t="shared" si="3"/>
        <v>34.567399999999999</v>
      </c>
    </row>
    <row r="40" spans="1:4" x14ac:dyDescent="0.25">
      <c r="A40" s="2" t="s">
        <v>41</v>
      </c>
      <c r="B40" s="24"/>
      <c r="C40" s="24">
        <v>34.567399999999999</v>
      </c>
      <c r="D40" s="2">
        <f t="shared" si="3"/>
        <v>0</v>
      </c>
    </row>
    <row r="41" spans="1:4" x14ac:dyDescent="0.25">
      <c r="A41" s="2" t="s">
        <v>44</v>
      </c>
      <c r="B41" s="24"/>
      <c r="C41" s="24">
        <v>34.567399999999999</v>
      </c>
      <c r="D41" s="2">
        <f t="shared" si="3"/>
        <v>0</v>
      </c>
    </row>
    <row r="42" spans="1:4" x14ac:dyDescent="0.25">
      <c r="A42" s="2" t="s">
        <v>158</v>
      </c>
      <c r="B42" s="24">
        <v>1</v>
      </c>
      <c r="C42" s="24">
        <v>34.567399999999999</v>
      </c>
      <c r="D42" s="2">
        <f t="shared" si="3"/>
        <v>34.567399999999999</v>
      </c>
    </row>
    <row r="43" spans="1:4" x14ac:dyDescent="0.25">
      <c r="A43" s="2" t="s">
        <v>64</v>
      </c>
      <c r="B43" s="24"/>
      <c r="C43" s="24">
        <v>34.567399999999999</v>
      </c>
      <c r="D43" s="2">
        <f t="shared" si="3"/>
        <v>0</v>
      </c>
    </row>
    <row r="44" spans="1:4" x14ac:dyDescent="0.25">
      <c r="B44" s="22">
        <f>SUM(B33:B43)</f>
        <v>3.55</v>
      </c>
      <c r="C44" s="8" t="s">
        <v>14</v>
      </c>
      <c r="D44" s="9">
        <f>SUM(D33:D43)</f>
        <v>122.71427</v>
      </c>
    </row>
    <row r="45" spans="1:4" x14ac:dyDescent="0.25">
      <c r="C45">
        <v>0</v>
      </c>
    </row>
    <row r="47" spans="1:4" ht="45" x14ac:dyDescent="0.25">
      <c r="A47" s="5"/>
      <c r="B47" s="5" t="s">
        <v>15</v>
      </c>
      <c r="C47" s="5" t="s">
        <v>51</v>
      </c>
      <c r="D47" s="5" t="s">
        <v>18</v>
      </c>
    </row>
    <row r="48" spans="1:4" x14ac:dyDescent="0.25">
      <c r="A48" s="5" t="s">
        <v>52</v>
      </c>
      <c r="C48" s="28"/>
      <c r="D48" s="9">
        <f>+B48*C48</f>
        <v>0</v>
      </c>
    </row>
    <row r="49" spans="1:7" ht="45" x14ac:dyDescent="0.25">
      <c r="A49" s="3" t="s">
        <v>119</v>
      </c>
      <c r="B49" s="114"/>
      <c r="C49" s="114"/>
      <c r="D49" s="114">
        <f>+C49*B49</f>
        <v>0</v>
      </c>
      <c r="E49" s="39"/>
    </row>
    <row r="50" spans="1:7" x14ac:dyDescent="0.25">
      <c r="C50" s="2"/>
      <c r="D50" s="21"/>
    </row>
    <row r="52" spans="1:7" ht="45" x14ac:dyDescent="0.25">
      <c r="A52" s="5"/>
      <c r="B52" s="5" t="s">
        <v>48</v>
      </c>
      <c r="C52" s="5" t="s">
        <v>29</v>
      </c>
      <c r="D52" s="5" t="s">
        <v>18</v>
      </c>
    </row>
    <row r="53" spans="1:7" x14ac:dyDescent="0.25">
      <c r="A53" s="2" t="s">
        <v>31</v>
      </c>
      <c r="B53" s="17">
        <v>94</v>
      </c>
      <c r="C53" s="2">
        <f>48.0478*30</f>
        <v>1441.434</v>
      </c>
      <c r="D53" s="9">
        <f>+C53*B53</f>
        <v>135494.796</v>
      </c>
      <c r="E53">
        <f>10*C53</f>
        <v>14414.34</v>
      </c>
    </row>
    <row r="56" spans="1:7" x14ac:dyDescent="0.25">
      <c r="A56" s="5"/>
      <c r="B56" s="5" t="s">
        <v>19</v>
      </c>
      <c r="C56" s="5" t="s">
        <v>20</v>
      </c>
      <c r="D56" s="5" t="s">
        <v>21</v>
      </c>
    </row>
    <row r="57" spans="1:7" ht="45" x14ac:dyDescent="0.25">
      <c r="A57" s="3" t="s">
        <v>61</v>
      </c>
      <c r="B57" s="27">
        <v>36372.410000000003</v>
      </c>
      <c r="C57" s="2">
        <v>0.56140000000000001</v>
      </c>
      <c r="D57" s="9">
        <f>+C57*B57</f>
        <v>20419.470974000003</v>
      </c>
    </row>
    <row r="58" spans="1:7" x14ac:dyDescent="0.25">
      <c r="B58" s="1"/>
      <c r="C58" s="1"/>
    </row>
    <row r="59" spans="1:7" x14ac:dyDescent="0.25">
      <c r="B59" s="1"/>
      <c r="C59" s="1"/>
    </row>
    <row r="62" spans="1:7" x14ac:dyDescent="0.25">
      <c r="A62" s="3" t="s">
        <v>50</v>
      </c>
      <c r="B62" s="12">
        <f>+B57*2</f>
        <v>72744.820000000007</v>
      </c>
      <c r="C62" s="10">
        <v>0.04</v>
      </c>
      <c r="D62" s="9">
        <f>+C62*B62</f>
        <v>2909.7928000000002</v>
      </c>
    </row>
    <row r="63" spans="1:7" x14ac:dyDescent="0.25">
      <c r="B63" s="39"/>
      <c r="G63">
        <f>700*28</f>
        <v>19600</v>
      </c>
    </row>
    <row r="64" spans="1:7" ht="30" x14ac:dyDescent="0.25">
      <c r="A64" s="3" t="s">
        <v>59</v>
      </c>
      <c r="B64" s="12">
        <v>34504</v>
      </c>
      <c r="C64" s="10">
        <v>0.05</v>
      </c>
      <c r="D64" s="9">
        <f>+C64*B64</f>
        <v>1725.2</v>
      </c>
    </row>
    <row r="65" spans="2:4" x14ac:dyDescent="0.25">
      <c r="B65">
        <f>+B62+B64</f>
        <v>107248.82</v>
      </c>
      <c r="C65">
        <f>+D65/B65</f>
        <v>4.3217191573762768E-2</v>
      </c>
      <c r="D65" s="21">
        <f>+D64+D62</f>
        <v>4634.9928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42"/>
  <sheetViews>
    <sheetView tabSelected="1" zoomScale="85" zoomScaleNormal="85" workbookViewId="0">
      <selection activeCell="D22" sqref="D22"/>
    </sheetView>
  </sheetViews>
  <sheetFormatPr defaultColWidth="8.85546875" defaultRowHeight="15" x14ac:dyDescent="0.25"/>
  <cols>
    <col min="1" max="1" width="8.85546875" style="1" customWidth="1"/>
    <col min="2" max="2" width="28.85546875" style="1" customWidth="1"/>
    <col min="3" max="3" width="32.7109375" style="4" bestFit="1" customWidth="1"/>
    <col min="4" max="4" width="18.42578125" style="4" customWidth="1"/>
    <col min="5" max="5" width="18.5703125" style="6" customWidth="1"/>
    <col min="6" max="6" width="13.7109375" style="6" customWidth="1"/>
    <col min="7" max="7" width="14.85546875" style="11" customWidth="1"/>
    <col min="8" max="8" width="12.85546875" style="11" customWidth="1"/>
    <col min="9" max="9" width="15.85546875" style="18" customWidth="1"/>
    <col min="10" max="10" width="25.28515625" style="1" customWidth="1"/>
    <col min="11" max="11" width="10" style="1" bestFit="1" customWidth="1"/>
    <col min="12" max="12" width="11.85546875" style="1" bestFit="1" customWidth="1"/>
    <col min="13" max="13" width="10.28515625" style="1" bestFit="1" customWidth="1"/>
    <col min="14" max="16384" width="8.85546875" style="1"/>
  </cols>
  <sheetData>
    <row r="1" spans="1:11" ht="14.45" customHeight="1" x14ac:dyDescent="0.25">
      <c r="A1" s="159" t="s">
        <v>143</v>
      </c>
      <c r="B1" s="159"/>
      <c r="C1" s="159"/>
      <c r="D1" s="159"/>
      <c r="E1" s="159"/>
      <c r="F1" s="159"/>
      <c r="G1" s="159"/>
      <c r="H1" s="159"/>
      <c r="I1" s="159"/>
    </row>
    <row r="2" spans="1:11" x14ac:dyDescent="0.25">
      <c r="B2" s="97" t="s">
        <v>47</v>
      </c>
    </row>
    <row r="3" spans="1:11" s="38" customFormat="1" ht="26.45" customHeight="1" x14ac:dyDescent="0.2">
      <c r="A3" s="36" t="s">
        <v>0</v>
      </c>
      <c r="B3" s="36" t="s">
        <v>1</v>
      </c>
      <c r="C3" s="36" t="s">
        <v>5</v>
      </c>
      <c r="D3" s="36" t="s">
        <v>109</v>
      </c>
      <c r="E3" s="36" t="s">
        <v>46</v>
      </c>
      <c r="F3" s="36" t="s">
        <v>43</v>
      </c>
      <c r="G3" s="37" t="s">
        <v>2</v>
      </c>
      <c r="H3" s="37" t="s">
        <v>3</v>
      </c>
      <c r="I3" s="37" t="s">
        <v>4</v>
      </c>
      <c r="J3" s="36" t="s">
        <v>23</v>
      </c>
    </row>
    <row r="4" spans="1:11" s="142" customFormat="1" ht="45" x14ac:dyDescent="0.25">
      <c r="A4" s="24">
        <v>1</v>
      </c>
      <c r="B4" s="24" t="s">
        <v>6</v>
      </c>
      <c r="C4" s="146" t="s">
        <v>110</v>
      </c>
      <c r="D4" s="138" t="s">
        <v>139</v>
      </c>
      <c r="E4" s="148">
        <f>SUM(Sheet2!B3:B14)</f>
        <v>1222</v>
      </c>
      <c r="F4" s="149">
        <f>+G4/E4</f>
        <v>25.772716666666668</v>
      </c>
      <c r="G4" s="154">
        <f>SUM(Sheet2!E3:E14)</f>
        <v>31494.259766666666</v>
      </c>
      <c r="H4" s="154">
        <f t="shared" ref="H4:H11" si="0">+G4*0.2</f>
        <v>6298.8519533333338</v>
      </c>
      <c r="I4" s="154">
        <f t="shared" ref="I4:I11" si="1">+G4+H4</f>
        <v>37793.111720000001</v>
      </c>
      <c r="J4" s="24" t="s">
        <v>24</v>
      </c>
    </row>
    <row r="5" spans="1:11" s="142" customFormat="1" ht="30" x14ac:dyDescent="0.25">
      <c r="A5" s="144">
        <v>2</v>
      </c>
      <c r="B5" s="24" t="s">
        <v>6</v>
      </c>
      <c r="C5" s="146" t="s">
        <v>32</v>
      </c>
      <c r="D5" s="138" t="s">
        <v>139</v>
      </c>
      <c r="E5" s="148">
        <f>+Sheet2!B53</f>
        <v>94</v>
      </c>
      <c r="F5" s="149">
        <f>+Sheet2!C53</f>
        <v>1441.434</v>
      </c>
      <c r="G5" s="140">
        <f t="shared" ref="G5:G18" si="2">+E5*F5</f>
        <v>135494.796</v>
      </c>
      <c r="H5" s="140">
        <f t="shared" si="0"/>
        <v>27098.959200000001</v>
      </c>
      <c r="I5" s="140">
        <f t="shared" si="1"/>
        <v>162593.75520000001</v>
      </c>
      <c r="J5" s="24" t="s">
        <v>24</v>
      </c>
    </row>
    <row r="6" spans="1:11" s="142" customFormat="1" ht="57.75" x14ac:dyDescent="0.25">
      <c r="A6" s="144">
        <f t="shared" ref="A6:A23" si="3">+A5+1</f>
        <v>3</v>
      </c>
      <c r="B6" s="144" t="s">
        <v>6</v>
      </c>
      <c r="C6" s="137" t="s">
        <v>145</v>
      </c>
      <c r="D6" s="138" t="s">
        <v>137</v>
      </c>
      <c r="E6" s="152">
        <v>70345.907000000007</v>
      </c>
      <c r="F6" s="153">
        <f>0.6+0.496</f>
        <v>1.0960000000000001</v>
      </c>
      <c r="G6" s="140">
        <f t="shared" ref="G6:G7" si="4">+E6*F6</f>
        <v>77099.114072000011</v>
      </c>
      <c r="H6" s="140">
        <f t="shared" ref="H6:H7" si="5">+G6*0.2</f>
        <v>15419.822814400002</v>
      </c>
      <c r="I6" s="140">
        <f t="shared" ref="I6:I7" si="6">+G6+H6</f>
        <v>92518.936886400013</v>
      </c>
      <c r="J6" s="144" t="s">
        <v>24</v>
      </c>
    </row>
    <row r="7" spans="1:11" s="142" customFormat="1" ht="45" x14ac:dyDescent="0.25">
      <c r="A7" s="144">
        <f t="shared" si="3"/>
        <v>4</v>
      </c>
      <c r="B7" s="24" t="s">
        <v>6</v>
      </c>
      <c r="C7" s="146" t="s">
        <v>159</v>
      </c>
      <c r="D7" s="138" t="s">
        <v>139</v>
      </c>
      <c r="E7" s="148">
        <f>+Sheet2!B30</f>
        <v>670</v>
      </c>
      <c r="F7" s="149">
        <f>+Sheet2!C29/3</f>
        <v>38.846899999999998</v>
      </c>
      <c r="G7" s="140">
        <f t="shared" si="4"/>
        <v>26027.422999999999</v>
      </c>
      <c r="H7" s="140">
        <f t="shared" si="5"/>
        <v>5205.4845999999998</v>
      </c>
      <c r="I7" s="140">
        <f t="shared" si="6"/>
        <v>31232.907599999999</v>
      </c>
      <c r="J7" s="24" t="s">
        <v>30</v>
      </c>
    </row>
    <row r="8" spans="1:11" s="142" customFormat="1" ht="45" x14ac:dyDescent="0.25">
      <c r="A8" s="144">
        <f t="shared" si="3"/>
        <v>5</v>
      </c>
      <c r="B8" s="24" t="s">
        <v>6</v>
      </c>
      <c r="C8" s="146" t="s">
        <v>111</v>
      </c>
      <c r="D8" s="138" t="s">
        <v>137</v>
      </c>
      <c r="E8" s="148">
        <f>+Sheet2!B20</f>
        <v>13200</v>
      </c>
      <c r="F8" s="149">
        <f>+Sheet2!C20</f>
        <v>1.5269999999999999</v>
      </c>
      <c r="G8" s="140">
        <f t="shared" si="2"/>
        <v>20156.399999999998</v>
      </c>
      <c r="H8" s="140">
        <f t="shared" si="0"/>
        <v>4031.2799999999997</v>
      </c>
      <c r="I8" s="140">
        <f t="shared" si="1"/>
        <v>24187.679999999997</v>
      </c>
      <c r="J8" s="24" t="s">
        <v>30</v>
      </c>
    </row>
    <row r="9" spans="1:11" s="142" customFormat="1" ht="45" x14ac:dyDescent="0.25">
      <c r="A9" s="144">
        <f t="shared" si="3"/>
        <v>6</v>
      </c>
      <c r="B9" s="24" t="s">
        <v>6</v>
      </c>
      <c r="C9" s="146" t="s">
        <v>138</v>
      </c>
      <c r="D9" s="138" t="s">
        <v>139</v>
      </c>
      <c r="E9" s="148">
        <f>+Sheet2!B44</f>
        <v>3.55</v>
      </c>
      <c r="F9" s="149">
        <f>+Sheet2!C38</f>
        <v>34.567399999999999</v>
      </c>
      <c r="G9" s="140">
        <f>+E9*F9</f>
        <v>122.71426999999998</v>
      </c>
      <c r="H9" s="140">
        <f t="shared" ref="H9" si="7">+G9*0.2</f>
        <v>24.542853999999998</v>
      </c>
      <c r="I9" s="140">
        <f t="shared" ref="I9" si="8">+G9+H9</f>
        <v>147.25712399999998</v>
      </c>
      <c r="J9" s="24" t="s">
        <v>30</v>
      </c>
    </row>
    <row r="10" spans="1:11" s="142" customFormat="1" ht="30" x14ac:dyDescent="0.25">
      <c r="A10" s="24">
        <f>+A8+1</f>
        <v>6</v>
      </c>
      <c r="B10" s="24" t="s">
        <v>6</v>
      </c>
      <c r="C10" s="146" t="s">
        <v>7</v>
      </c>
      <c r="D10" s="138" t="s">
        <v>137</v>
      </c>
      <c r="E10" s="148">
        <f>+Sheet2!B57</f>
        <v>36372.410000000003</v>
      </c>
      <c r="F10" s="150">
        <f>+Sheet2!C57</f>
        <v>0.56140000000000001</v>
      </c>
      <c r="G10" s="140">
        <f t="shared" si="2"/>
        <v>20419.470974000003</v>
      </c>
      <c r="H10" s="140">
        <f t="shared" si="0"/>
        <v>4083.8941948000011</v>
      </c>
      <c r="I10" s="140">
        <f t="shared" si="1"/>
        <v>24503.365168800003</v>
      </c>
      <c r="J10" s="24" t="s">
        <v>24</v>
      </c>
    </row>
    <row r="11" spans="1:11" s="142" customFormat="1" ht="30" x14ac:dyDescent="0.25">
      <c r="A11" s="24">
        <f t="shared" si="3"/>
        <v>7</v>
      </c>
      <c r="B11" s="24" t="s">
        <v>6</v>
      </c>
      <c r="C11" s="146" t="s">
        <v>45</v>
      </c>
      <c r="D11" s="138" t="s">
        <v>137</v>
      </c>
      <c r="E11" s="148">
        <v>100</v>
      </c>
      <c r="F11" s="149">
        <v>65.680000000000007</v>
      </c>
      <c r="G11" s="140">
        <f t="shared" si="2"/>
        <v>6568.0000000000009</v>
      </c>
      <c r="H11" s="140">
        <f t="shared" si="0"/>
        <v>1313.6000000000004</v>
      </c>
      <c r="I11" s="140">
        <f t="shared" si="1"/>
        <v>7881.6000000000013</v>
      </c>
      <c r="J11" s="24" t="s">
        <v>24</v>
      </c>
      <c r="K11" s="141"/>
    </row>
    <row r="12" spans="1:11" s="142" customFormat="1" ht="30" x14ac:dyDescent="0.25">
      <c r="A12" s="24">
        <f t="shared" si="3"/>
        <v>8</v>
      </c>
      <c r="B12" s="146" t="s">
        <v>8</v>
      </c>
      <c r="C12" s="146" t="s">
        <v>11</v>
      </c>
      <c r="D12" s="138" t="s">
        <v>137</v>
      </c>
      <c r="E12" s="146">
        <v>1</v>
      </c>
      <c r="F12" s="146">
        <v>204</v>
      </c>
      <c r="G12" s="140">
        <f t="shared" si="2"/>
        <v>204</v>
      </c>
      <c r="H12" s="140"/>
      <c r="I12" s="147">
        <f>+G12</f>
        <v>204</v>
      </c>
      <c r="J12" s="24" t="s">
        <v>26</v>
      </c>
    </row>
    <row r="13" spans="1:11" s="142" customFormat="1" x14ac:dyDescent="0.25">
      <c r="A13" s="24">
        <f t="shared" si="3"/>
        <v>9</v>
      </c>
      <c r="B13" s="24" t="s">
        <v>9</v>
      </c>
      <c r="C13" s="24" t="s">
        <v>12</v>
      </c>
      <c r="D13" s="138" t="s">
        <v>137</v>
      </c>
      <c r="E13" s="24">
        <v>1</v>
      </c>
      <c r="F13" s="142">
        <v>591</v>
      </c>
      <c r="G13" s="140">
        <f t="shared" si="2"/>
        <v>591</v>
      </c>
      <c r="H13" s="140"/>
      <c r="I13" s="147">
        <f>+G13</f>
        <v>591</v>
      </c>
      <c r="J13" s="24" t="s">
        <v>25</v>
      </c>
    </row>
    <row r="14" spans="1:11" s="142" customFormat="1" ht="30" x14ac:dyDescent="0.25">
      <c r="A14" s="24">
        <f t="shared" si="3"/>
        <v>10</v>
      </c>
      <c r="B14" s="24" t="s">
        <v>10</v>
      </c>
      <c r="C14" s="146" t="s">
        <v>13</v>
      </c>
      <c r="D14" s="138" t="s">
        <v>139</v>
      </c>
      <c r="E14" s="146">
        <v>1</v>
      </c>
      <c r="F14" s="146">
        <v>3120</v>
      </c>
      <c r="G14" s="140">
        <f t="shared" si="2"/>
        <v>3120</v>
      </c>
      <c r="H14" s="140">
        <f t="shared" ref="H14:H16" si="9">+G14*0.2</f>
        <v>624</v>
      </c>
      <c r="I14" s="140">
        <f t="shared" ref="I14:I18" si="10">+G14+H14</f>
        <v>3744</v>
      </c>
      <c r="J14" s="24" t="s">
        <v>24</v>
      </c>
    </row>
    <row r="15" spans="1:11" s="142" customFormat="1" ht="13.9" customHeight="1" x14ac:dyDescent="0.25">
      <c r="A15" s="24">
        <f t="shared" si="3"/>
        <v>11</v>
      </c>
      <c r="B15" s="24" t="s">
        <v>10</v>
      </c>
      <c r="C15" s="146" t="s">
        <v>60</v>
      </c>
      <c r="D15" s="138" t="s">
        <v>137</v>
      </c>
      <c r="E15" s="148">
        <f>+Sheet2!B65</f>
        <v>107248.82</v>
      </c>
      <c r="F15" s="151">
        <f>+Sheet2!C65</f>
        <v>4.3217191573762768E-2</v>
      </c>
      <c r="G15" s="140">
        <f t="shared" si="2"/>
        <v>4634.9928</v>
      </c>
      <c r="H15" s="140">
        <f t="shared" si="9"/>
        <v>926.99856</v>
      </c>
      <c r="I15" s="140">
        <f t="shared" si="10"/>
        <v>5561.99136</v>
      </c>
      <c r="J15" s="24" t="s">
        <v>24</v>
      </c>
    </row>
    <row r="16" spans="1:11" s="142" customFormat="1" ht="13.9" customHeight="1" x14ac:dyDescent="0.25">
      <c r="A16" s="24">
        <f t="shared" si="3"/>
        <v>12</v>
      </c>
      <c r="B16" s="24" t="s">
        <v>10</v>
      </c>
      <c r="C16" s="146" t="s">
        <v>113</v>
      </c>
      <c r="D16" s="138" t="s">
        <v>137</v>
      </c>
      <c r="E16" s="146">
        <v>1</v>
      </c>
      <c r="F16" s="146">
        <v>1078</v>
      </c>
      <c r="G16" s="140">
        <f t="shared" si="2"/>
        <v>1078</v>
      </c>
      <c r="H16" s="140">
        <f t="shared" si="9"/>
        <v>215.60000000000002</v>
      </c>
      <c r="I16" s="140">
        <f t="shared" si="10"/>
        <v>1293.5999999999999</v>
      </c>
      <c r="J16" s="24" t="s">
        <v>24</v>
      </c>
    </row>
    <row r="17" spans="1:13" s="142" customFormat="1" ht="13.9" customHeight="1" x14ac:dyDescent="0.25">
      <c r="A17" s="24">
        <f t="shared" si="3"/>
        <v>13</v>
      </c>
      <c r="B17" s="24" t="s">
        <v>104</v>
      </c>
      <c r="C17" s="146" t="s">
        <v>105</v>
      </c>
      <c r="D17" s="138" t="s">
        <v>137</v>
      </c>
      <c r="E17" s="146">
        <v>1</v>
      </c>
      <c r="F17" s="146">
        <v>3000</v>
      </c>
      <c r="G17" s="140">
        <f t="shared" si="2"/>
        <v>3000</v>
      </c>
      <c r="H17" s="140"/>
      <c r="I17" s="140">
        <f t="shared" si="10"/>
        <v>3000</v>
      </c>
      <c r="J17" s="24" t="s">
        <v>33</v>
      </c>
    </row>
    <row r="18" spans="1:13" s="142" customFormat="1" ht="33" customHeight="1" x14ac:dyDescent="0.25">
      <c r="A18" s="24">
        <f t="shared" si="3"/>
        <v>14</v>
      </c>
      <c r="B18" s="146" t="s">
        <v>53</v>
      </c>
      <c r="C18" s="146" t="s">
        <v>54</v>
      </c>
      <c r="D18" s="138" t="s">
        <v>139</v>
      </c>
      <c r="E18" s="146">
        <v>1</v>
      </c>
      <c r="F18" s="146">
        <v>3200</v>
      </c>
      <c r="G18" s="140">
        <f t="shared" si="2"/>
        <v>3200</v>
      </c>
      <c r="H18" s="140"/>
      <c r="I18" s="140">
        <f t="shared" si="10"/>
        <v>3200</v>
      </c>
      <c r="J18" s="24" t="s">
        <v>33</v>
      </c>
    </row>
    <row r="19" spans="1:13" s="142" customFormat="1" ht="64.150000000000006" customHeight="1" x14ac:dyDescent="0.25">
      <c r="A19" s="24">
        <f t="shared" si="3"/>
        <v>15</v>
      </c>
      <c r="B19" s="137" t="s">
        <v>10</v>
      </c>
      <c r="C19" s="137" t="s">
        <v>142</v>
      </c>
      <c r="D19" s="138" t="s">
        <v>139</v>
      </c>
      <c r="E19" s="139">
        <f>1300*31</f>
        <v>40300</v>
      </c>
      <c r="F19" s="139">
        <v>59</v>
      </c>
      <c r="G19" s="140">
        <f t="shared" ref="G19" si="11">+E19*F19</f>
        <v>2377700</v>
      </c>
      <c r="H19" s="140">
        <f t="shared" ref="H19" si="12">+G19*0.2</f>
        <v>475540</v>
      </c>
      <c r="I19" s="140">
        <f t="shared" ref="I19:I20" si="13">+G19+H19</f>
        <v>2853240</v>
      </c>
      <c r="J19" s="137" t="s">
        <v>157</v>
      </c>
      <c r="K19" s="141"/>
      <c r="M19" s="141"/>
    </row>
    <row r="20" spans="1:13" s="142" customFormat="1" ht="64.150000000000006" customHeight="1" x14ac:dyDescent="0.25">
      <c r="A20" s="24">
        <f t="shared" si="3"/>
        <v>16</v>
      </c>
      <c r="B20" s="137" t="s">
        <v>133</v>
      </c>
      <c r="C20" s="137" t="s">
        <v>148</v>
      </c>
      <c r="D20" s="138" t="s">
        <v>139</v>
      </c>
      <c r="E20" s="139">
        <v>7750</v>
      </c>
      <c r="F20" s="139">
        <v>59.4</v>
      </c>
      <c r="G20" s="140">
        <f t="shared" ref="G20:G22" si="14">+E20*F20</f>
        <v>460350</v>
      </c>
      <c r="H20" s="140">
        <f>+G20*0.2</f>
        <v>92070</v>
      </c>
      <c r="I20" s="140">
        <f t="shared" si="13"/>
        <v>552420</v>
      </c>
      <c r="J20" s="143" t="s">
        <v>166</v>
      </c>
      <c r="K20" s="141"/>
      <c r="M20" s="141"/>
    </row>
    <row r="21" spans="1:13" s="142" customFormat="1" ht="64.150000000000006" customHeight="1" x14ac:dyDescent="0.25">
      <c r="A21" s="24">
        <f t="shared" si="3"/>
        <v>17</v>
      </c>
      <c r="B21" s="137" t="s">
        <v>147</v>
      </c>
      <c r="C21" s="137" t="s">
        <v>148</v>
      </c>
      <c r="D21" s="138" t="s">
        <v>139</v>
      </c>
      <c r="E21" s="139">
        <v>4650</v>
      </c>
      <c r="F21" s="139">
        <v>59.07</v>
      </c>
      <c r="G21" s="140">
        <f t="shared" ref="G21" si="15">+E21*F21</f>
        <v>274675.5</v>
      </c>
      <c r="H21" s="140">
        <v>0</v>
      </c>
      <c r="I21" s="140">
        <f t="shared" ref="I21" si="16">+G21+H21</f>
        <v>274675.5</v>
      </c>
      <c r="J21" s="143" t="s">
        <v>166</v>
      </c>
      <c r="K21" s="141"/>
      <c r="M21" s="141"/>
    </row>
    <row r="22" spans="1:13" s="142" customFormat="1" ht="64.150000000000006" customHeight="1" x14ac:dyDescent="0.25">
      <c r="A22" s="24">
        <f t="shared" si="3"/>
        <v>18</v>
      </c>
      <c r="B22" s="137" t="s">
        <v>68</v>
      </c>
      <c r="C22" s="137" t="s">
        <v>149</v>
      </c>
      <c r="D22" s="138" t="s">
        <v>146</v>
      </c>
      <c r="E22" s="139">
        <f>900*30/2</f>
        <v>13500</v>
      </c>
      <c r="F22" s="139">
        <v>62</v>
      </c>
      <c r="G22" s="140">
        <f t="shared" si="14"/>
        <v>837000</v>
      </c>
      <c r="H22" s="140">
        <f>+G22*0.2</f>
        <v>167400</v>
      </c>
      <c r="I22" s="140">
        <f>+G22+H22</f>
        <v>1004400</v>
      </c>
      <c r="J22" s="143" t="s">
        <v>150</v>
      </c>
      <c r="K22" s="141"/>
      <c r="M22" s="141"/>
    </row>
    <row r="23" spans="1:13" s="142" customFormat="1" ht="42" customHeight="1" x14ac:dyDescent="0.25">
      <c r="A23" s="24">
        <f t="shared" si="3"/>
        <v>19</v>
      </c>
      <c r="B23" s="144" t="s">
        <v>115</v>
      </c>
      <c r="C23" s="137"/>
      <c r="D23" s="138" t="s">
        <v>137</v>
      </c>
      <c r="E23" s="139"/>
      <c r="F23" s="145"/>
      <c r="G23" s="140">
        <v>43000</v>
      </c>
      <c r="H23" s="140"/>
      <c r="I23" s="140">
        <f>+G23</f>
        <v>43000</v>
      </c>
      <c r="J23" s="143" t="s">
        <v>134</v>
      </c>
      <c r="K23" s="141"/>
      <c r="M23" s="141"/>
    </row>
    <row r="24" spans="1:13" s="31" customFormat="1" x14ac:dyDescent="0.25">
      <c r="C24" s="29"/>
      <c r="D24" s="29"/>
      <c r="E24" s="29"/>
      <c r="F24" s="29"/>
      <c r="G24" s="30">
        <f>SUM(G4:G23)</f>
        <v>4325935.6708826665</v>
      </c>
      <c r="H24" s="30">
        <f>SUM(H4:H23)</f>
        <v>800253.03417653334</v>
      </c>
      <c r="I24" s="30">
        <f>SUM(I4:I23)</f>
        <v>5126188.7050592005</v>
      </c>
      <c r="J24" s="12"/>
      <c r="K24" s="34"/>
    </row>
    <row r="25" spans="1:13" x14ac:dyDescent="0.25">
      <c r="F25" s="11"/>
    </row>
    <row r="26" spans="1:13" x14ac:dyDescent="0.25">
      <c r="A26" s="6"/>
      <c r="B26" s="14"/>
      <c r="C26" s="15" t="s">
        <v>27</v>
      </c>
      <c r="D26" s="15" t="s">
        <v>28</v>
      </c>
      <c r="F26" s="33"/>
      <c r="I26" s="1"/>
    </row>
    <row r="27" spans="1:13" x14ac:dyDescent="0.25">
      <c r="A27" s="6"/>
      <c r="B27" s="13" t="s">
        <v>14</v>
      </c>
      <c r="C27" s="19">
        <f>G24</f>
        <v>4325935.6708826665</v>
      </c>
      <c r="D27" s="19">
        <f>+I24</f>
        <v>5126188.7050592005</v>
      </c>
      <c r="F27" s="33"/>
      <c r="H27" s="1"/>
      <c r="I27" s="1"/>
    </row>
    <row r="28" spans="1:13" x14ac:dyDescent="0.25">
      <c r="A28" s="6"/>
      <c r="B28" s="6"/>
      <c r="C28" s="6"/>
      <c r="D28" s="6"/>
      <c r="H28" s="1"/>
    </row>
    <row r="29" spans="1:13" x14ac:dyDescent="0.25">
      <c r="A29" s="16"/>
      <c r="B29" s="16"/>
      <c r="C29" s="16"/>
      <c r="D29" s="16"/>
      <c r="E29" s="16"/>
      <c r="F29" s="16"/>
      <c r="G29" s="23"/>
      <c r="H29" s="23"/>
      <c r="I29" s="23"/>
    </row>
    <row r="30" spans="1:13" ht="39" customHeight="1" x14ac:dyDescent="0.25">
      <c r="B30" s="160"/>
      <c r="C30" s="160"/>
      <c r="D30" s="160"/>
      <c r="E30" s="160"/>
      <c r="F30" s="160"/>
      <c r="G30" s="160"/>
      <c r="H30" s="160"/>
      <c r="I30" s="160"/>
      <c r="J30" s="160"/>
    </row>
    <row r="42" spans="5:5" x14ac:dyDescent="0.25">
      <c r="E42" s="6" t="s">
        <v>107</v>
      </c>
    </row>
  </sheetData>
  <mergeCells count="2">
    <mergeCell ref="A1:I1"/>
    <mergeCell ref="B30:J30"/>
  </mergeCells>
  <phoneticPr fontId="7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E3C3A-A34F-4FE1-979D-88115E1FCF19}">
  <sheetPr>
    <pageSetUpPr fitToPage="1"/>
  </sheetPr>
  <dimension ref="B1:H22"/>
  <sheetViews>
    <sheetView zoomScale="70" zoomScaleNormal="70" workbookViewId="0">
      <selection activeCell="B26" sqref="B26"/>
    </sheetView>
  </sheetViews>
  <sheetFormatPr defaultColWidth="8.85546875" defaultRowHeight="18.75" x14ac:dyDescent="0.3"/>
  <cols>
    <col min="1" max="1" width="8.85546875" style="40"/>
    <col min="2" max="2" width="50.140625" style="40" customWidth="1"/>
    <col min="3" max="3" width="14.85546875" style="40" bestFit="1" customWidth="1"/>
    <col min="4" max="4" width="18.28515625" style="40" customWidth="1"/>
    <col min="5" max="5" width="17.140625" style="40" customWidth="1"/>
    <col min="6" max="6" width="17.28515625" style="40" bestFit="1" customWidth="1"/>
    <col min="7" max="7" width="18" style="40" bestFit="1" customWidth="1"/>
    <col min="8" max="8" width="17.140625" style="40" bestFit="1" customWidth="1"/>
    <col min="9" max="16384" width="8.85546875" style="40"/>
  </cols>
  <sheetData>
    <row r="1" spans="2:8" x14ac:dyDescent="0.3">
      <c r="F1" s="161" t="s">
        <v>144</v>
      </c>
      <c r="G1" s="162"/>
    </row>
    <row r="2" spans="2:8" ht="37.5" x14ac:dyDescent="0.3">
      <c r="D2" s="53" t="s">
        <v>69</v>
      </c>
      <c r="E2" s="53" t="s">
        <v>70</v>
      </c>
      <c r="F2" s="53" t="s">
        <v>71</v>
      </c>
      <c r="G2" s="53" t="s">
        <v>72</v>
      </c>
    </row>
    <row r="3" spans="2:8" x14ac:dyDescent="0.3">
      <c r="B3" s="54" t="s">
        <v>73</v>
      </c>
      <c r="C3" s="55" t="s">
        <v>74</v>
      </c>
      <c r="D3" s="55"/>
      <c r="E3" s="55"/>
      <c r="F3" s="56">
        <f>SUM(F4:F8)</f>
        <v>43510</v>
      </c>
      <c r="G3" s="56">
        <f>SUM(G4:G8)</f>
        <v>52212</v>
      </c>
    </row>
    <row r="4" spans="2:8" s="45" customFormat="1" x14ac:dyDescent="0.3">
      <c r="B4" s="41" t="s">
        <v>75</v>
      </c>
      <c r="C4" s="42" t="s">
        <v>74</v>
      </c>
      <c r="D4" s="42"/>
      <c r="E4" s="43"/>
      <c r="F4" s="44">
        <v>42160</v>
      </c>
      <c r="G4" s="44">
        <f>+F4*1.2</f>
        <v>50592</v>
      </c>
    </row>
    <row r="5" spans="2:8" s="45" customFormat="1" x14ac:dyDescent="0.3">
      <c r="B5" s="41" t="s">
        <v>76</v>
      </c>
      <c r="C5" s="42" t="s">
        <v>74</v>
      </c>
      <c r="D5" s="44">
        <v>0</v>
      </c>
      <c r="E5" s="43">
        <v>0</v>
      </c>
      <c r="F5" s="44">
        <f>+D5*E5</f>
        <v>0</v>
      </c>
      <c r="G5" s="44">
        <f>+F5*1.2</f>
        <v>0</v>
      </c>
    </row>
    <row r="6" spans="2:8" s="45" customFormat="1" x14ac:dyDescent="0.3">
      <c r="B6" s="41" t="s">
        <v>77</v>
      </c>
      <c r="C6" s="42" t="s">
        <v>74</v>
      </c>
      <c r="D6" s="44">
        <v>0</v>
      </c>
      <c r="E6" s="43">
        <v>0</v>
      </c>
      <c r="F6" s="44">
        <f>+D6*E6</f>
        <v>0</v>
      </c>
      <c r="G6" s="44">
        <f>+F6*1.2</f>
        <v>0</v>
      </c>
    </row>
    <row r="7" spans="2:8" s="45" customFormat="1" x14ac:dyDescent="0.3">
      <c r="B7" s="41" t="s">
        <v>78</v>
      </c>
      <c r="C7" s="42" t="s">
        <v>74</v>
      </c>
      <c r="D7" s="44">
        <v>0</v>
      </c>
      <c r="E7" s="43">
        <v>0</v>
      </c>
      <c r="F7" s="44">
        <f>+D7*E7</f>
        <v>0</v>
      </c>
      <c r="G7" s="44">
        <f>+F7</f>
        <v>0</v>
      </c>
    </row>
    <row r="8" spans="2:8" s="45" customFormat="1" ht="37.5" x14ac:dyDescent="0.3">
      <c r="B8" s="41" t="s">
        <v>79</v>
      </c>
      <c r="C8" s="42" t="s">
        <v>74</v>
      </c>
      <c r="D8" s="46">
        <v>25</v>
      </c>
      <c r="E8" s="43">
        <v>54</v>
      </c>
      <c r="F8" s="44">
        <f>+D8*E8</f>
        <v>1350</v>
      </c>
      <c r="G8" s="44">
        <f>+F8*1.2</f>
        <v>1620</v>
      </c>
    </row>
    <row r="9" spans="2:8" x14ac:dyDescent="0.3">
      <c r="D9" s="47"/>
      <c r="E9" s="43"/>
    </row>
    <row r="10" spans="2:8" x14ac:dyDescent="0.3">
      <c r="D10" s="47"/>
      <c r="G10" s="48"/>
    </row>
    <row r="11" spans="2:8" ht="37.5" x14ac:dyDescent="0.3">
      <c r="D11" s="53" t="s">
        <v>69</v>
      </c>
      <c r="E11" s="53" t="s">
        <v>70</v>
      </c>
      <c r="F11" s="53" t="s">
        <v>71</v>
      </c>
      <c r="G11" s="53" t="s">
        <v>72</v>
      </c>
    </row>
    <row r="12" spans="2:8" x14ac:dyDescent="0.3">
      <c r="B12" s="57" t="s">
        <v>80</v>
      </c>
      <c r="C12" s="58" t="s">
        <v>74</v>
      </c>
      <c r="D12" s="59"/>
      <c r="E12" s="60"/>
      <c r="F12" s="61">
        <f>SUM(F13:F17)</f>
        <v>4325935.6708826665</v>
      </c>
      <c r="G12" s="61">
        <f>SUM(G13:G17)</f>
        <v>5126188.7050592005</v>
      </c>
      <c r="H12" s="48"/>
    </row>
    <row r="13" spans="2:8" s="45" customFormat="1" x14ac:dyDescent="0.3">
      <c r="B13" s="41" t="s">
        <v>81</v>
      </c>
      <c r="C13" s="42" t="s">
        <v>74</v>
      </c>
      <c r="D13" s="49"/>
      <c r="E13" s="42"/>
      <c r="F13" s="43">
        <f>SUM('изх паричен поток'!G4:G18)</f>
        <v>333210.17088266672</v>
      </c>
      <c r="G13" s="43">
        <f>SUM('изх паричен поток'!I4:I18)</f>
        <v>398453.20505919994</v>
      </c>
      <c r="H13" s="50"/>
    </row>
    <row r="14" spans="2:8" s="45" customFormat="1" x14ac:dyDescent="0.3">
      <c r="B14" s="41" t="s">
        <v>10</v>
      </c>
      <c r="C14" s="42" t="s">
        <v>74</v>
      </c>
      <c r="D14" s="43">
        <f>+'изх паричен поток'!E19</f>
        <v>40300</v>
      </c>
      <c r="E14" s="43">
        <f>+F14/D14</f>
        <v>59</v>
      </c>
      <c r="F14" s="43">
        <f>+'изх паричен поток'!G19</f>
        <v>2377700</v>
      </c>
      <c r="G14" s="43">
        <f>+'изх паричен поток'!I19</f>
        <v>2853240</v>
      </c>
    </row>
    <row r="15" spans="2:8" s="45" customFormat="1" ht="37.5" x14ac:dyDescent="0.3">
      <c r="B15" s="41" t="s">
        <v>160</v>
      </c>
      <c r="C15" s="42" t="s">
        <v>74</v>
      </c>
      <c r="D15" s="43">
        <f>+'изх паричен поток'!E20+'изх паричен поток'!E21</f>
        <v>12400</v>
      </c>
      <c r="E15" s="43">
        <f>+F15/D15</f>
        <v>59.276249999999997</v>
      </c>
      <c r="F15" s="43">
        <f>+'изх паричен поток'!G20+'изх паричен поток'!G21</f>
        <v>735025.5</v>
      </c>
      <c r="G15" s="43">
        <f>+'изх паричен поток'!I20+'изх паричен поток'!I21</f>
        <v>827095.5</v>
      </c>
    </row>
    <row r="16" spans="2:8" s="45" customFormat="1" ht="37.5" x14ac:dyDescent="0.3">
      <c r="B16" s="41" t="s">
        <v>161</v>
      </c>
      <c r="C16" s="42" t="s">
        <v>74</v>
      </c>
      <c r="D16" s="43">
        <f>+'изх паричен поток'!E22</f>
        <v>13500</v>
      </c>
      <c r="E16" s="43">
        <f>+'изх паричен поток'!F22</f>
        <v>62</v>
      </c>
      <c r="F16" s="43">
        <f>+'изх паричен поток'!G22</f>
        <v>837000</v>
      </c>
      <c r="G16" s="120">
        <f>+'изх паричен поток'!I22</f>
        <v>1004400</v>
      </c>
    </row>
    <row r="17" spans="2:8" x14ac:dyDescent="0.3">
      <c r="B17" s="41" t="str">
        <f>+'изх паричен поток'!B23</f>
        <v>Разходи за персонал</v>
      </c>
      <c r="C17" s="42" t="s">
        <v>74</v>
      </c>
      <c r="D17" s="43">
        <f>+'изх паричен поток'!E23</f>
        <v>0</v>
      </c>
      <c r="E17" s="43">
        <f>+'изх паричен поток'!F23</f>
        <v>0</v>
      </c>
      <c r="F17" s="43">
        <f>+'изх паричен поток'!G23</f>
        <v>43000</v>
      </c>
      <c r="G17" s="43">
        <f>+'изх паричен поток'!I23</f>
        <v>43000</v>
      </c>
    </row>
    <row r="18" spans="2:8" x14ac:dyDescent="0.3">
      <c r="D18" s="52"/>
      <c r="G18" s="48"/>
    </row>
    <row r="19" spans="2:8" x14ac:dyDescent="0.3">
      <c r="D19" s="52"/>
      <c r="G19" s="48"/>
    </row>
    <row r="20" spans="2:8" x14ac:dyDescent="0.3">
      <c r="D20" s="47"/>
      <c r="E20" s="163" t="s">
        <v>82</v>
      </c>
      <c r="F20" s="163"/>
      <c r="G20" s="63">
        <f>+G12-G3</f>
        <v>5073976.7050592005</v>
      </c>
      <c r="H20" s="62"/>
    </row>
    <row r="22" spans="2:8" x14ac:dyDescent="0.3">
      <c r="B22" s="115"/>
    </row>
  </sheetData>
  <mergeCells count="2">
    <mergeCell ref="F1:G1"/>
    <mergeCell ref="E20:F20"/>
  </mergeCells>
  <pageMargins left="0.70866141732283472" right="0.70866141732283472" top="0.74803149606299213" bottom="0.74803149606299213" header="0.31496062992125984" footer="0.31496062992125984"/>
  <pageSetup paperSize="9" scale="8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00D5A-6CFD-4B2A-A53C-7B606E390488}">
  <sheetPr>
    <pageSetUpPr fitToPage="1"/>
  </sheetPr>
  <dimension ref="A1:K53"/>
  <sheetViews>
    <sheetView zoomScale="85" zoomScaleNormal="85" workbookViewId="0">
      <selection activeCell="I10" sqref="I10"/>
    </sheetView>
  </sheetViews>
  <sheetFormatPr defaultColWidth="8.85546875" defaultRowHeight="15.75" x14ac:dyDescent="0.25"/>
  <cols>
    <col min="1" max="1" width="23.85546875" style="71" customWidth="1"/>
    <col min="2" max="2" width="24.28515625" style="71" customWidth="1"/>
    <col min="3" max="3" width="16.28515625" style="72" customWidth="1"/>
    <col min="4" max="4" width="33.42578125" style="73" customWidth="1"/>
    <col min="5" max="5" width="21.7109375" style="73" customWidth="1"/>
    <col min="6" max="6" width="33.85546875" style="74" customWidth="1"/>
    <col min="7" max="7" width="23.42578125" style="75" bestFit="1" customWidth="1"/>
    <col min="8" max="8" width="17.140625" style="71" bestFit="1" customWidth="1"/>
    <col min="9" max="9" width="17" style="71" bestFit="1" customWidth="1"/>
    <col min="10" max="10" width="14.140625" style="71" bestFit="1" customWidth="1"/>
    <col min="11" max="11" width="12.7109375" style="71" bestFit="1" customWidth="1"/>
    <col min="12" max="16384" width="8.85546875" style="71"/>
  </cols>
  <sheetData>
    <row r="1" spans="1:9" x14ac:dyDescent="0.25">
      <c r="A1" s="70" t="s">
        <v>168</v>
      </c>
    </row>
    <row r="3" spans="1:9" s="77" customFormat="1" ht="40.15" customHeight="1" x14ac:dyDescent="0.25">
      <c r="A3" s="76" t="s">
        <v>89</v>
      </c>
      <c r="B3" s="76" t="s">
        <v>90</v>
      </c>
      <c r="C3" s="94" t="s">
        <v>91</v>
      </c>
      <c r="D3" s="94" t="s">
        <v>92</v>
      </c>
      <c r="E3" s="94" t="s">
        <v>93</v>
      </c>
      <c r="F3" s="95" t="s">
        <v>94</v>
      </c>
      <c r="G3" s="95" t="s">
        <v>95</v>
      </c>
    </row>
    <row r="4" spans="1:9" s="73" customFormat="1" ht="31.5" x14ac:dyDescent="0.25">
      <c r="A4" s="102">
        <v>45566</v>
      </c>
      <c r="B4" s="103" t="s">
        <v>96</v>
      </c>
      <c r="C4" s="104" t="s">
        <v>108</v>
      </c>
      <c r="D4" s="105" t="s">
        <v>97</v>
      </c>
      <c r="E4" s="105" t="s">
        <v>103</v>
      </c>
      <c r="F4" s="136">
        <v>124053.91304347826</v>
      </c>
      <c r="G4" s="127">
        <f>SUM(F4:F4)</f>
        <v>124053.91304347826</v>
      </c>
      <c r="H4" s="78"/>
    </row>
    <row r="5" spans="1:9" s="73" customFormat="1" ht="36" customHeight="1" x14ac:dyDescent="0.25">
      <c r="A5" s="102">
        <f>+A4+1</f>
        <v>45567</v>
      </c>
      <c r="B5" s="103" t="s">
        <v>98</v>
      </c>
      <c r="C5" s="104" t="s">
        <v>108</v>
      </c>
      <c r="D5" s="105" t="s">
        <v>97</v>
      </c>
      <c r="E5" s="105" t="s">
        <v>103</v>
      </c>
      <c r="F5" s="136">
        <v>124053.91304347826</v>
      </c>
      <c r="G5" s="127">
        <f>SUM(F5:F5)</f>
        <v>124053.91304347826</v>
      </c>
      <c r="H5" s="78"/>
    </row>
    <row r="6" spans="1:9" s="73" customFormat="1" ht="31.5" x14ac:dyDescent="0.25">
      <c r="A6" s="102">
        <f t="shared" ref="A6:A7" si="0">+A5+1</f>
        <v>45568</v>
      </c>
      <c r="B6" s="103" t="s">
        <v>122</v>
      </c>
      <c r="C6" s="104" t="s">
        <v>108</v>
      </c>
      <c r="D6" s="105" t="s">
        <v>97</v>
      </c>
      <c r="E6" s="105" t="s">
        <v>103</v>
      </c>
      <c r="F6" s="136">
        <v>124053.91304347826</v>
      </c>
      <c r="G6" s="127">
        <f>SUM(F6:F6)</f>
        <v>124053.91304347826</v>
      </c>
      <c r="H6" s="78"/>
    </row>
    <row r="7" spans="1:9" s="73" customFormat="1" ht="31.5" x14ac:dyDescent="0.25">
      <c r="A7" s="102">
        <f t="shared" si="0"/>
        <v>45569</v>
      </c>
      <c r="B7" s="103" t="s">
        <v>99</v>
      </c>
      <c r="C7" s="104" t="s">
        <v>108</v>
      </c>
      <c r="D7" s="105" t="s">
        <v>97</v>
      </c>
      <c r="E7" s="105" t="s">
        <v>103</v>
      </c>
      <c r="F7" s="136">
        <v>124053.91304347826</v>
      </c>
      <c r="G7" s="127">
        <f>SUM(F7:F7)</f>
        <v>124053.91304347826</v>
      </c>
      <c r="H7" s="78"/>
    </row>
    <row r="8" spans="1:9" s="73" customFormat="1" ht="31.5" x14ac:dyDescent="0.25">
      <c r="A8" s="164">
        <v>45572</v>
      </c>
      <c r="B8" s="165" t="s">
        <v>100</v>
      </c>
      <c r="C8" s="104" t="s">
        <v>101</v>
      </c>
      <c r="D8" s="105" t="s">
        <v>102</v>
      </c>
      <c r="E8" s="105" t="s">
        <v>103</v>
      </c>
      <c r="F8" s="136">
        <f>+G44/2</f>
        <v>199226.60252959997</v>
      </c>
      <c r="G8" s="166">
        <f>SUM(F8:F9)</f>
        <v>323280.51557307824</v>
      </c>
      <c r="H8" s="78"/>
    </row>
    <row r="9" spans="1:9" s="73" customFormat="1" ht="31.5" x14ac:dyDescent="0.25">
      <c r="A9" s="164"/>
      <c r="B9" s="165"/>
      <c r="C9" s="104" t="s">
        <v>108</v>
      </c>
      <c r="D9" s="105" t="s">
        <v>97</v>
      </c>
      <c r="E9" s="105" t="s">
        <v>103</v>
      </c>
      <c r="F9" s="136">
        <v>124053.91304347826</v>
      </c>
      <c r="G9" s="166"/>
      <c r="H9" s="78"/>
    </row>
    <row r="10" spans="1:9" s="73" customFormat="1" ht="31.5" x14ac:dyDescent="0.25">
      <c r="A10" s="167">
        <v>45573</v>
      </c>
      <c r="B10" s="169" t="s">
        <v>96</v>
      </c>
      <c r="C10" s="104" t="s">
        <v>101</v>
      </c>
      <c r="D10" s="105" t="s">
        <v>102</v>
      </c>
      <c r="E10" s="105" t="s">
        <v>103</v>
      </c>
      <c r="F10" s="136">
        <f>+G44/2</f>
        <v>199226.60252959997</v>
      </c>
      <c r="G10" s="171">
        <f>+F10+F11</f>
        <v>323280.51557307824</v>
      </c>
      <c r="H10" s="78"/>
      <c r="I10" s="78"/>
    </row>
    <row r="11" spans="1:9" s="73" customFormat="1" ht="31.5" x14ac:dyDescent="0.25">
      <c r="A11" s="168"/>
      <c r="B11" s="170"/>
      <c r="C11" s="104" t="s">
        <v>108</v>
      </c>
      <c r="D11" s="105" t="s">
        <v>97</v>
      </c>
      <c r="E11" s="105" t="s">
        <v>103</v>
      </c>
      <c r="F11" s="136">
        <v>124053.91304347826</v>
      </c>
      <c r="G11" s="172"/>
      <c r="H11" s="78"/>
      <c r="I11" s="78"/>
    </row>
    <row r="12" spans="1:9" s="73" customFormat="1" ht="31.5" x14ac:dyDescent="0.25">
      <c r="A12" s="102">
        <v>45574</v>
      </c>
      <c r="B12" s="101" t="s">
        <v>98</v>
      </c>
      <c r="C12" s="104" t="s">
        <v>108</v>
      </c>
      <c r="D12" s="105" t="s">
        <v>97</v>
      </c>
      <c r="E12" s="105" t="s">
        <v>103</v>
      </c>
      <c r="F12" s="136">
        <v>124053.91304347826</v>
      </c>
      <c r="G12" s="127">
        <f>+F12</f>
        <v>124053.91304347826</v>
      </c>
      <c r="H12" s="78"/>
      <c r="I12" s="78"/>
    </row>
    <row r="13" spans="1:9" s="73" customFormat="1" ht="31.5" x14ac:dyDescent="0.25">
      <c r="A13" s="102">
        <v>45575</v>
      </c>
      <c r="B13" s="101" t="s">
        <v>122</v>
      </c>
      <c r="C13" s="104" t="s">
        <v>108</v>
      </c>
      <c r="D13" s="105" t="s">
        <v>97</v>
      </c>
      <c r="E13" s="105" t="s">
        <v>103</v>
      </c>
      <c r="F13" s="136">
        <v>124053.91304347826</v>
      </c>
      <c r="G13" s="127">
        <f>+F13</f>
        <v>124053.91304347826</v>
      </c>
      <c r="H13" s="78"/>
      <c r="I13" s="78"/>
    </row>
    <row r="14" spans="1:9" s="73" customFormat="1" ht="31.5" x14ac:dyDescent="0.25">
      <c r="A14" s="125">
        <f>+A13+1</f>
        <v>45576</v>
      </c>
      <c r="B14" s="126" t="s">
        <v>99</v>
      </c>
      <c r="C14" s="104" t="s">
        <v>108</v>
      </c>
      <c r="D14" s="105" t="s">
        <v>97</v>
      </c>
      <c r="E14" s="105" t="s">
        <v>103</v>
      </c>
      <c r="F14" s="136">
        <v>124053.91304347826</v>
      </c>
      <c r="G14" s="128">
        <f>+F14</f>
        <v>124053.91304347826</v>
      </c>
      <c r="H14" s="78"/>
      <c r="I14" s="78"/>
    </row>
    <row r="15" spans="1:9" s="73" customFormat="1" ht="31.5" x14ac:dyDescent="0.25">
      <c r="A15" s="157">
        <v>45579</v>
      </c>
      <c r="B15" s="158" t="s">
        <v>100</v>
      </c>
      <c r="C15" s="104" t="s">
        <v>108</v>
      </c>
      <c r="D15" s="105" t="s">
        <v>97</v>
      </c>
      <c r="E15" s="105" t="s">
        <v>103</v>
      </c>
      <c r="F15" s="136">
        <v>124053.91304347826</v>
      </c>
      <c r="G15" s="128">
        <f>+F15</f>
        <v>124053.91304347826</v>
      </c>
      <c r="H15" s="78"/>
      <c r="I15" s="78"/>
    </row>
    <row r="16" spans="1:9" s="73" customFormat="1" ht="47.25" x14ac:dyDescent="0.25">
      <c r="A16" s="167">
        <f>+A15+1</f>
        <v>45580</v>
      </c>
      <c r="B16" s="169" t="s">
        <v>96</v>
      </c>
      <c r="C16" s="104" t="s">
        <v>135</v>
      </c>
      <c r="D16" s="105" t="s">
        <v>148</v>
      </c>
      <c r="E16" s="105" t="s">
        <v>103</v>
      </c>
      <c r="F16" s="136">
        <v>552420</v>
      </c>
      <c r="G16" s="171">
        <f>+F16+F17+F18</f>
        <v>951149.41304347827</v>
      </c>
      <c r="H16" s="78"/>
      <c r="I16" s="78"/>
    </row>
    <row r="17" spans="1:9" s="73" customFormat="1" ht="47.25" x14ac:dyDescent="0.25">
      <c r="A17" s="173"/>
      <c r="B17" s="174"/>
      <c r="C17" s="104" t="s">
        <v>167</v>
      </c>
      <c r="D17" s="105" t="s">
        <v>148</v>
      </c>
      <c r="E17" s="105" t="s">
        <v>103</v>
      </c>
      <c r="F17" s="136">
        <v>274675.5</v>
      </c>
      <c r="G17" s="177"/>
      <c r="H17" s="78"/>
      <c r="I17" s="78"/>
    </row>
    <row r="18" spans="1:9" s="73" customFormat="1" ht="31.5" x14ac:dyDescent="0.25">
      <c r="A18" s="168"/>
      <c r="B18" s="170"/>
      <c r="C18" s="104" t="s">
        <v>108</v>
      </c>
      <c r="D18" s="105" t="s">
        <v>97</v>
      </c>
      <c r="E18" s="105" t="s">
        <v>103</v>
      </c>
      <c r="F18" s="136">
        <v>124053.91304347826</v>
      </c>
      <c r="G18" s="172"/>
      <c r="H18" s="78"/>
      <c r="I18" s="78"/>
    </row>
    <row r="19" spans="1:9" s="73" customFormat="1" ht="31.5" x14ac:dyDescent="0.25">
      <c r="A19" s="134">
        <f>+A16+1</f>
        <v>45581</v>
      </c>
      <c r="B19" s="135" t="s">
        <v>98</v>
      </c>
      <c r="C19" s="104" t="s">
        <v>108</v>
      </c>
      <c r="D19" s="105" t="s">
        <v>97</v>
      </c>
      <c r="E19" s="105" t="s">
        <v>103</v>
      </c>
      <c r="F19" s="136">
        <v>124053.91304347826</v>
      </c>
      <c r="G19" s="129">
        <f>+F19</f>
        <v>124053.91304347826</v>
      </c>
      <c r="H19" s="78"/>
      <c r="I19" s="78"/>
    </row>
    <row r="20" spans="1:9" s="73" customFormat="1" ht="31.5" x14ac:dyDescent="0.25">
      <c r="A20" s="134">
        <f t="shared" ref="A20:A21" si="1">+A19+1</f>
        <v>45582</v>
      </c>
      <c r="B20" s="101" t="s">
        <v>122</v>
      </c>
      <c r="C20" s="104" t="s">
        <v>108</v>
      </c>
      <c r="D20" s="105" t="s">
        <v>97</v>
      </c>
      <c r="E20" s="105" t="s">
        <v>103</v>
      </c>
      <c r="F20" s="136">
        <v>124053.91304347826</v>
      </c>
      <c r="G20" s="127">
        <f t="shared" ref="G20:G21" si="2">SUM(F20:F20)</f>
        <v>124053.91304347826</v>
      </c>
      <c r="H20" s="78"/>
      <c r="I20" s="78"/>
    </row>
    <row r="21" spans="1:9" s="73" customFormat="1" ht="31.5" x14ac:dyDescent="0.25">
      <c r="A21" s="134">
        <f t="shared" si="1"/>
        <v>45583</v>
      </c>
      <c r="B21" s="101" t="s">
        <v>99</v>
      </c>
      <c r="C21" s="104" t="s">
        <v>108</v>
      </c>
      <c r="D21" s="105" t="s">
        <v>97</v>
      </c>
      <c r="E21" s="105" t="s">
        <v>103</v>
      </c>
      <c r="F21" s="136">
        <v>124053.91304347826</v>
      </c>
      <c r="G21" s="127">
        <f t="shared" si="2"/>
        <v>124053.91304347826</v>
      </c>
    </row>
    <row r="22" spans="1:9" s="73" customFormat="1" x14ac:dyDescent="0.25">
      <c r="A22" s="167">
        <v>45586</v>
      </c>
      <c r="B22" s="169" t="s">
        <v>100</v>
      </c>
      <c r="C22" s="104" t="s">
        <v>117</v>
      </c>
      <c r="D22" s="105" t="s">
        <v>118</v>
      </c>
      <c r="E22" s="105" t="s">
        <v>103</v>
      </c>
      <c r="F22" s="136">
        <f>+G48</f>
        <v>43000</v>
      </c>
      <c r="G22" s="171">
        <f>+F22+F23</f>
        <v>167053.91304347827</v>
      </c>
    </row>
    <row r="23" spans="1:9" s="73" customFormat="1" ht="31.5" x14ac:dyDescent="0.25">
      <c r="A23" s="168"/>
      <c r="B23" s="170"/>
      <c r="C23" s="104" t="s">
        <v>108</v>
      </c>
      <c r="D23" s="105" t="s">
        <v>97</v>
      </c>
      <c r="E23" s="105" t="s">
        <v>103</v>
      </c>
      <c r="F23" s="136">
        <v>124053.91304347826</v>
      </c>
      <c r="G23" s="172"/>
    </row>
    <row r="24" spans="1:9" s="73" customFormat="1" ht="31.5" x14ac:dyDescent="0.25">
      <c r="A24" s="125">
        <v>45587</v>
      </c>
      <c r="B24" s="126" t="s">
        <v>96</v>
      </c>
      <c r="C24" s="104" t="s">
        <v>108</v>
      </c>
      <c r="D24" s="105" t="s">
        <v>97</v>
      </c>
      <c r="E24" s="105" t="s">
        <v>103</v>
      </c>
      <c r="F24" s="136">
        <v>124053.91304347826</v>
      </c>
      <c r="G24" s="129">
        <f>+F24</f>
        <v>124053.91304347826</v>
      </c>
    </row>
    <row r="25" spans="1:9" s="73" customFormat="1" ht="36.75" customHeight="1" x14ac:dyDescent="0.25">
      <c r="A25" s="102">
        <v>45588</v>
      </c>
      <c r="B25" s="101" t="s">
        <v>98</v>
      </c>
      <c r="C25" s="104" t="s">
        <v>108</v>
      </c>
      <c r="D25" s="105" t="s">
        <v>97</v>
      </c>
      <c r="E25" s="105" t="s">
        <v>103</v>
      </c>
      <c r="F25" s="136">
        <v>124053.91304347826</v>
      </c>
      <c r="G25" s="127">
        <f>+F25</f>
        <v>124053.91304347826</v>
      </c>
    </row>
    <row r="26" spans="1:9" s="73" customFormat="1" ht="47.25" x14ac:dyDescent="0.25">
      <c r="A26" s="167">
        <v>45589</v>
      </c>
      <c r="B26" s="169" t="s">
        <v>122</v>
      </c>
      <c r="C26" s="104" t="s">
        <v>68</v>
      </c>
      <c r="D26" s="105" t="s">
        <v>165</v>
      </c>
      <c r="E26" s="105" t="s">
        <v>103</v>
      </c>
      <c r="F26" s="136">
        <f>+G47</f>
        <v>1004400</v>
      </c>
      <c r="G26" s="171">
        <f>+F27+F26</f>
        <v>1128453.9130434783</v>
      </c>
    </row>
    <row r="27" spans="1:9" s="73" customFormat="1" ht="31.5" x14ac:dyDescent="0.25">
      <c r="A27" s="168"/>
      <c r="B27" s="170"/>
      <c r="C27" s="104" t="s">
        <v>108</v>
      </c>
      <c r="D27" s="105" t="s">
        <v>97</v>
      </c>
      <c r="E27" s="105" t="s">
        <v>103</v>
      </c>
      <c r="F27" s="136">
        <v>124053.91304347826</v>
      </c>
      <c r="G27" s="172"/>
    </row>
    <row r="28" spans="1:9" s="73" customFormat="1" ht="31.5" x14ac:dyDescent="0.25">
      <c r="A28" s="134">
        <v>45590</v>
      </c>
      <c r="B28" s="135" t="s">
        <v>99</v>
      </c>
      <c r="C28" s="104" t="s">
        <v>108</v>
      </c>
      <c r="D28" s="105" t="s">
        <v>97</v>
      </c>
      <c r="E28" s="105" t="s">
        <v>103</v>
      </c>
      <c r="F28" s="136">
        <v>124053.91304347826</v>
      </c>
      <c r="G28" s="127">
        <f t="shared" ref="G28:G31" si="3">+F28</f>
        <v>124053.91304347826</v>
      </c>
    </row>
    <row r="29" spans="1:9" s="73" customFormat="1" ht="31.5" x14ac:dyDescent="0.25">
      <c r="A29" s="134">
        <v>45593</v>
      </c>
      <c r="B29" s="135" t="s">
        <v>100</v>
      </c>
      <c r="C29" s="104" t="s">
        <v>108</v>
      </c>
      <c r="D29" s="105" t="s">
        <v>97</v>
      </c>
      <c r="E29" s="105" t="s">
        <v>103</v>
      </c>
      <c r="F29" s="136">
        <v>124053.91304347826</v>
      </c>
      <c r="G29" s="127">
        <f t="shared" si="3"/>
        <v>124053.91304347826</v>
      </c>
    </row>
    <row r="30" spans="1:9" s="73" customFormat="1" ht="31.5" x14ac:dyDescent="0.25">
      <c r="A30" s="134">
        <v>45594</v>
      </c>
      <c r="B30" s="135" t="s">
        <v>96</v>
      </c>
      <c r="C30" s="104" t="s">
        <v>108</v>
      </c>
      <c r="D30" s="105" t="s">
        <v>97</v>
      </c>
      <c r="E30" s="105" t="s">
        <v>103</v>
      </c>
      <c r="F30" s="136">
        <v>124053.91304347826</v>
      </c>
      <c r="G30" s="127">
        <f t="shared" si="3"/>
        <v>124053.91304347826</v>
      </c>
    </row>
    <row r="31" spans="1:9" s="73" customFormat="1" ht="31.5" x14ac:dyDescent="0.25">
      <c r="A31" s="134">
        <v>45595</v>
      </c>
      <c r="B31" s="135" t="s">
        <v>98</v>
      </c>
      <c r="C31" s="104" t="s">
        <v>108</v>
      </c>
      <c r="D31" s="105" t="s">
        <v>97</v>
      </c>
      <c r="E31" s="105" t="s">
        <v>103</v>
      </c>
      <c r="F31" s="136">
        <v>124053.91304347826</v>
      </c>
      <c r="G31" s="127">
        <f t="shared" si="3"/>
        <v>124053.91304347826</v>
      </c>
    </row>
    <row r="32" spans="1:9" s="73" customFormat="1" ht="31.5" x14ac:dyDescent="0.25">
      <c r="A32" s="134">
        <v>45596</v>
      </c>
      <c r="B32" s="135" t="s">
        <v>122</v>
      </c>
      <c r="C32" s="104" t="s">
        <v>108</v>
      </c>
      <c r="D32" s="105" t="s">
        <v>97</v>
      </c>
      <c r="E32" s="105" t="s">
        <v>103</v>
      </c>
      <c r="F32" s="136">
        <v>124053.91304347826</v>
      </c>
      <c r="G32" s="129">
        <f>+F32</f>
        <v>124053.91304347826</v>
      </c>
    </row>
    <row r="33" spans="1:11" s="73" customFormat="1" x14ac:dyDescent="0.25">
      <c r="C33" s="72"/>
      <c r="D33" s="79"/>
      <c r="E33" s="79"/>
      <c r="F33" s="80">
        <f>SUM(F4:F32)</f>
        <v>5126188.7050592005</v>
      </c>
      <c r="G33" s="130">
        <f>SUM(G4:G32)</f>
        <v>5126188.7050592005</v>
      </c>
    </row>
    <row r="34" spans="1:11" s="73" customFormat="1" x14ac:dyDescent="0.25">
      <c r="C34" s="72"/>
      <c r="D34" s="79"/>
      <c r="E34" s="79"/>
      <c r="F34" s="81"/>
      <c r="G34" s="130"/>
    </row>
    <row r="35" spans="1:11" s="73" customFormat="1" x14ac:dyDescent="0.25">
      <c r="C35" s="72"/>
      <c r="D35" s="79"/>
      <c r="E35" s="79"/>
      <c r="F35" s="81"/>
      <c r="G35" s="130"/>
    </row>
    <row r="36" spans="1:11" s="73" customFormat="1" x14ac:dyDescent="0.25">
      <c r="C36" s="72"/>
      <c r="D36" s="79"/>
      <c r="E36" s="79"/>
      <c r="F36" s="81"/>
      <c r="G36" s="130"/>
    </row>
    <row r="37" spans="1:11" s="73" customFormat="1" x14ac:dyDescent="0.25">
      <c r="C37" s="72"/>
      <c r="D37" s="79"/>
      <c r="E37" s="79"/>
      <c r="F37" s="81"/>
      <c r="G37" s="130"/>
    </row>
    <row r="38" spans="1:11" s="73" customFormat="1" x14ac:dyDescent="0.25">
      <c r="C38" s="72"/>
      <c r="D38" s="79"/>
      <c r="E38" s="79"/>
      <c r="F38" s="81"/>
      <c r="G38" s="130"/>
    </row>
    <row r="39" spans="1:11" s="73" customFormat="1" x14ac:dyDescent="0.25">
      <c r="C39" s="72"/>
      <c r="D39" s="79"/>
      <c r="E39" s="79"/>
      <c r="F39" s="81"/>
      <c r="G39" s="130"/>
    </row>
    <row r="40" spans="1:11" s="73" customFormat="1" x14ac:dyDescent="0.25">
      <c r="C40" s="72"/>
      <c r="D40" s="79"/>
      <c r="E40" s="79"/>
      <c r="F40" s="81"/>
      <c r="G40" s="130"/>
    </row>
    <row r="41" spans="1:11" s="73" customFormat="1" x14ac:dyDescent="0.25">
      <c r="C41" s="72"/>
      <c r="F41" s="74"/>
      <c r="G41" s="75"/>
    </row>
    <row r="42" spans="1:11" s="45" customFormat="1" ht="18.75" x14ac:dyDescent="0.3">
      <c r="A42" s="73"/>
      <c r="B42" s="82"/>
      <c r="C42" s="83"/>
      <c r="D42" s="84" t="s">
        <v>46</v>
      </c>
      <c r="E42" s="84" t="s">
        <v>43</v>
      </c>
      <c r="F42" s="85" t="s">
        <v>71</v>
      </c>
      <c r="G42" s="131" t="s">
        <v>72</v>
      </c>
    </row>
    <row r="43" spans="1:11" s="45" customFormat="1" ht="37.5" x14ac:dyDescent="0.3">
      <c r="A43" s="73"/>
      <c r="B43" s="57" t="s">
        <v>80</v>
      </c>
      <c r="C43" s="58" t="s">
        <v>74</v>
      </c>
      <c r="D43" s="59"/>
      <c r="E43" s="60"/>
      <c r="F43" s="61">
        <f>SUM(F44:F48)</f>
        <v>4325935.6708826665</v>
      </c>
      <c r="G43" s="132">
        <f>SUM(G44:G48)</f>
        <v>5126188.7050592005</v>
      </c>
      <c r="H43" s="50"/>
    </row>
    <row r="44" spans="1:11" s="51" customFormat="1" ht="37.5" x14ac:dyDescent="0.3">
      <c r="A44" s="73"/>
      <c r="B44" s="41" t="s">
        <v>81</v>
      </c>
      <c r="C44" s="42" t="s">
        <v>74</v>
      </c>
      <c r="D44" s="49"/>
      <c r="E44" s="42"/>
      <c r="F44" s="43">
        <f>+' вх. и изх. паричен поток '!F13</f>
        <v>333210.17088266672</v>
      </c>
      <c r="G44" s="133">
        <f>+' вх. и изх. паричен поток '!G13</f>
        <v>398453.20505919994</v>
      </c>
      <c r="H44" s="86"/>
      <c r="I44" s="86"/>
    </row>
    <row r="45" spans="1:11" s="51" customFormat="1" ht="18.75" x14ac:dyDescent="0.3">
      <c r="A45" s="73"/>
      <c r="B45" s="41" t="str">
        <f>+'изх паричен поток'!B19</f>
        <v>Газов хъб Балкан</v>
      </c>
      <c r="C45" s="42" t="s">
        <v>74</v>
      </c>
      <c r="D45" s="49"/>
      <c r="E45" s="42"/>
      <c r="F45" s="43">
        <f>+'изх паричен поток'!G19</f>
        <v>2377700</v>
      </c>
      <c r="G45" s="133">
        <f>+'изх паричен поток'!I19</f>
        <v>2853240</v>
      </c>
      <c r="H45" s="86">
        <f>+G45/23</f>
        <v>124053.91304347826</v>
      </c>
      <c r="I45" s="86"/>
    </row>
    <row r="46" spans="1:11" s="73" customFormat="1" ht="95.25" customHeight="1" x14ac:dyDescent="0.3">
      <c r="B46" s="41" t="str">
        <f>+'изх паричен поток'!C20</f>
        <v>окончателни плащания за природен газ за месец октомври 2024 г.</v>
      </c>
      <c r="C46" s="42" t="s">
        <v>74</v>
      </c>
      <c r="D46" s="43"/>
      <c r="E46" s="43"/>
      <c r="F46" s="43">
        <f>+'изх паричен поток'!G20+'изх паричен поток'!G21</f>
        <v>735025.5</v>
      </c>
      <c r="G46" s="133">
        <f>+'изх паричен поток'!I20+'изх паричен поток'!I21</f>
        <v>827095.5</v>
      </c>
      <c r="I46" s="113"/>
    </row>
    <row r="47" spans="1:11" ht="71.25" customHeight="1" x14ac:dyDescent="0.3">
      <c r="B47" s="41" t="str">
        <f>+' вх. и изх. паричен поток '!B16</f>
        <v>Авансово плащане доставки ноември 2024</v>
      </c>
      <c r="C47" s="42" t="s">
        <v>74</v>
      </c>
      <c r="D47" s="43"/>
      <c r="E47" s="43"/>
      <c r="F47" s="43">
        <f>+' вх. и изх. паричен поток '!F16</f>
        <v>837000</v>
      </c>
      <c r="G47" s="133">
        <f>+' вх. и изх. паричен поток '!G16</f>
        <v>1004400</v>
      </c>
      <c r="H47" s="87"/>
      <c r="J47" s="87"/>
      <c r="K47" s="87"/>
    </row>
    <row r="48" spans="1:11" ht="37.5" x14ac:dyDescent="0.3">
      <c r="B48" s="41" t="str">
        <f>+'изх паричен поток'!B23</f>
        <v>Разходи за персонал</v>
      </c>
      <c r="C48" s="42" t="s">
        <v>74</v>
      </c>
      <c r="D48" s="43"/>
      <c r="E48" s="43"/>
      <c r="F48" s="43">
        <f>+'изх паричен поток'!G23</f>
        <v>43000</v>
      </c>
      <c r="G48" s="133">
        <f>+'изх паричен поток'!I23</f>
        <v>43000</v>
      </c>
      <c r="I48" s="87"/>
    </row>
    <row r="49" spans="1:2" ht="18.75" x14ac:dyDescent="0.3">
      <c r="B49" s="40"/>
    </row>
    <row r="50" spans="1:2" ht="18.75" x14ac:dyDescent="0.3">
      <c r="B50" s="40"/>
    </row>
    <row r="51" spans="1:2" x14ac:dyDescent="0.25">
      <c r="B51" s="88"/>
    </row>
    <row r="53" spans="1:2" ht="18.75" x14ac:dyDescent="0.3">
      <c r="A53" s="89"/>
      <c r="B53" s="40"/>
    </row>
  </sheetData>
  <mergeCells count="15">
    <mergeCell ref="A16:A18"/>
    <mergeCell ref="B16:B18"/>
    <mergeCell ref="G16:G18"/>
    <mergeCell ref="A26:A27"/>
    <mergeCell ref="B26:B27"/>
    <mergeCell ref="G26:G27"/>
    <mergeCell ref="A22:A23"/>
    <mergeCell ref="B22:B23"/>
    <mergeCell ref="G22:G23"/>
    <mergeCell ref="A8:A9"/>
    <mergeCell ref="B8:B9"/>
    <mergeCell ref="G8:G9"/>
    <mergeCell ref="A10:A11"/>
    <mergeCell ref="B10:B11"/>
    <mergeCell ref="G10:G11"/>
  </mergeCells>
  <pageMargins left="0.70866141732283472" right="0.70866141732283472" top="0.74803149606299213" bottom="0.74803149606299213" header="0.31496062992125984" footer="0.31496062992125984"/>
  <pageSetup paperSize="9" scale="55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48BF-B9AD-42BF-AE47-87E3D79E469D}">
  <sheetPr>
    <pageSetUpPr fitToPage="1"/>
  </sheetPr>
  <dimension ref="A5:L13"/>
  <sheetViews>
    <sheetView workbookViewId="0">
      <selection activeCell="I10" sqref="I10"/>
    </sheetView>
  </sheetViews>
  <sheetFormatPr defaultRowHeight="15" x14ac:dyDescent="0.25"/>
  <cols>
    <col min="1" max="1" width="16.42578125" bestFit="1" customWidth="1"/>
    <col min="2" max="2" width="16.140625" bestFit="1" customWidth="1"/>
    <col min="3" max="3" width="11.5703125" customWidth="1"/>
    <col min="4" max="4" width="12.140625" customWidth="1"/>
    <col min="5" max="5" width="14.28515625" bestFit="1" customWidth="1"/>
    <col min="6" max="6" width="11.28515625" bestFit="1" customWidth="1"/>
    <col min="7" max="7" width="68.85546875" bestFit="1" customWidth="1"/>
    <col min="8" max="8" width="17.42578125" customWidth="1"/>
    <col min="9" max="9" width="16.140625" customWidth="1"/>
    <col min="10" max="10" width="10.140625" customWidth="1"/>
    <col min="11" max="11" width="11.42578125" hidden="1" customWidth="1"/>
    <col min="12" max="12" width="3.5703125" hidden="1" customWidth="1"/>
  </cols>
  <sheetData>
    <row r="5" spans="1:12" x14ac:dyDescent="0.25">
      <c r="A5" t="s">
        <v>151</v>
      </c>
      <c r="D5" s="96"/>
      <c r="H5" s="96"/>
    </row>
    <row r="6" spans="1:12" ht="45" x14ac:dyDescent="0.25">
      <c r="A6" s="119" t="s">
        <v>123</v>
      </c>
      <c r="B6" s="119" t="s">
        <v>124</v>
      </c>
      <c r="C6" s="119" t="s">
        <v>125</v>
      </c>
      <c r="D6" s="119" t="s">
        <v>126</v>
      </c>
      <c r="E6" s="119" t="s">
        <v>127</v>
      </c>
      <c r="F6" s="119" t="s">
        <v>156</v>
      </c>
      <c r="G6" s="119" t="s">
        <v>128</v>
      </c>
      <c r="H6" s="119" t="s">
        <v>155</v>
      </c>
      <c r="I6" s="119" t="s">
        <v>153</v>
      </c>
      <c r="J6" s="119" t="s">
        <v>154</v>
      </c>
      <c r="K6" s="96"/>
      <c r="L6" s="96"/>
    </row>
    <row r="7" spans="1:12" x14ac:dyDescent="0.25">
      <c r="A7" s="2" t="s">
        <v>135</v>
      </c>
      <c r="B7" s="2" t="s">
        <v>136</v>
      </c>
      <c r="C7" s="2">
        <v>500</v>
      </c>
      <c r="D7" s="116">
        <f>+C7*30</f>
        <v>15000</v>
      </c>
      <c r="E7" s="10">
        <v>30.370699999999999</v>
      </c>
      <c r="F7" s="116">
        <f>+D7*E7</f>
        <v>455560.5</v>
      </c>
      <c r="G7" s="122" t="s">
        <v>152</v>
      </c>
      <c r="H7" s="116">
        <f>+F7/2</f>
        <v>227780.25</v>
      </c>
      <c r="I7" s="123">
        <f>+F7-H7</f>
        <v>227780.25</v>
      </c>
      <c r="J7" s="116">
        <f>+I7*1.2</f>
        <v>273336.3</v>
      </c>
    </row>
    <row r="8" spans="1:12" x14ac:dyDescent="0.25">
      <c r="A8" s="2" t="s">
        <v>132</v>
      </c>
      <c r="B8" s="2" t="s">
        <v>131</v>
      </c>
      <c r="C8" s="2">
        <v>300</v>
      </c>
      <c r="D8" s="116">
        <f>+C8*30</f>
        <v>9000</v>
      </c>
      <c r="E8" s="10">
        <v>30.2</v>
      </c>
      <c r="F8" s="116">
        <f>+D8*E8</f>
        <v>271800</v>
      </c>
      <c r="G8" s="122" t="s">
        <v>152</v>
      </c>
      <c r="H8" s="116">
        <f>+F8/2</f>
        <v>135900</v>
      </c>
      <c r="I8" s="123">
        <f>+F8-H8</f>
        <v>135900</v>
      </c>
      <c r="J8" s="116">
        <v>0</v>
      </c>
    </row>
    <row r="9" spans="1:12" x14ac:dyDescent="0.25">
      <c r="G9" s="117" t="s">
        <v>129</v>
      </c>
      <c r="H9" s="118">
        <f>SUM(H7:H8)</f>
        <v>363680.25</v>
      </c>
      <c r="I9" s="124">
        <f>SUM(I7:I8)</f>
        <v>363680.25</v>
      </c>
      <c r="J9" s="118">
        <f>SUM(J7:J8)</f>
        <v>273336.3</v>
      </c>
    </row>
    <row r="10" spans="1:12" x14ac:dyDescent="0.25">
      <c r="D10" s="96"/>
      <c r="F10">
        <f>+E7*1.95583</f>
        <v>59.399926180999998</v>
      </c>
      <c r="G10" s="117" t="s">
        <v>130</v>
      </c>
      <c r="H10" s="118">
        <f>+H9*1.9563</f>
        <v>711467.67307499994</v>
      </c>
      <c r="I10" s="124">
        <f>+I9*1.9563</f>
        <v>711467.67307499994</v>
      </c>
      <c r="J10" s="118">
        <f>+J9*1.9563</f>
        <v>534727.80368999997</v>
      </c>
    </row>
    <row r="13" spans="1:12" x14ac:dyDescent="0.25">
      <c r="H13" s="96"/>
      <c r="I13" s="96" t="e">
        <f>+#REF!+#REF!+I10+#REF!+#REF!</f>
        <v>#REF!</v>
      </c>
    </row>
  </sheetData>
  <phoneticPr fontId="7" type="noConversion"/>
  <pageMargins left="0.70866141732283472" right="0.70866141732283472" top="0.74803149606299213" bottom="0.74803149606299213" header="0.31496062992125984" footer="0.31496062992125984"/>
  <pageSetup paperSize="9"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4B747-193C-4768-AF3F-69537C645E8E}">
  <dimension ref="A2:L16"/>
  <sheetViews>
    <sheetView topLeftCell="B1" zoomScale="85" zoomScaleNormal="85" workbookViewId="0">
      <selection activeCell="F23" sqref="F23"/>
    </sheetView>
  </sheetViews>
  <sheetFormatPr defaultRowHeight="15" x14ac:dyDescent="0.25"/>
  <cols>
    <col min="1" max="1" width="34.28515625" customWidth="1"/>
    <col min="2" max="2" width="15.42578125" bestFit="1" customWidth="1"/>
    <col min="3" max="4" width="14.28515625" bestFit="1" customWidth="1"/>
    <col min="5" max="5" width="12.42578125" bestFit="1" customWidth="1"/>
    <col min="6" max="6" width="16.7109375" customWidth="1"/>
    <col min="7" max="7" width="15.42578125" bestFit="1" customWidth="1"/>
    <col min="8" max="9" width="14.28515625" customWidth="1"/>
    <col min="10" max="11" width="15.42578125" bestFit="1" customWidth="1"/>
    <col min="12" max="12" width="9.85546875" bestFit="1" customWidth="1"/>
  </cols>
  <sheetData>
    <row r="2" spans="1:12" x14ac:dyDescent="0.25">
      <c r="A2" s="175" t="s">
        <v>87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</row>
    <row r="3" spans="1:12" ht="42.75" x14ac:dyDescent="0.25">
      <c r="A3" s="66"/>
      <c r="B3" s="64" t="s">
        <v>83</v>
      </c>
      <c r="C3" s="64" t="s">
        <v>56</v>
      </c>
      <c r="D3" s="64" t="s">
        <v>84</v>
      </c>
      <c r="E3" s="64" t="s">
        <v>85</v>
      </c>
      <c r="F3" s="64" t="s">
        <v>86</v>
      </c>
      <c r="G3" s="64" t="s">
        <v>62</v>
      </c>
      <c r="H3" s="64" t="s">
        <v>112</v>
      </c>
      <c r="I3" s="64" t="s">
        <v>114</v>
      </c>
      <c r="J3" s="64" t="s">
        <v>88</v>
      </c>
      <c r="K3" s="64" t="s">
        <v>106</v>
      </c>
    </row>
    <row r="4" spans="1:12" ht="19.149999999999999" customHeight="1" x14ac:dyDescent="0.25">
      <c r="A4" s="66" t="s">
        <v>163</v>
      </c>
      <c r="B4" s="108">
        <v>14880000</v>
      </c>
      <c r="C4" s="108">
        <v>3247146.87</v>
      </c>
      <c r="D4" s="108">
        <v>1205538.7599999998</v>
      </c>
      <c r="E4" s="108"/>
      <c r="F4" s="108">
        <v>545489.14000000013</v>
      </c>
      <c r="G4" s="108">
        <v>10478539.540000007</v>
      </c>
      <c r="H4" s="108">
        <v>2430214.04</v>
      </c>
      <c r="I4" s="108">
        <v>3567553.1529600001</v>
      </c>
      <c r="J4" s="69">
        <f>+K4/1.2</f>
        <v>30295401.252466679</v>
      </c>
      <c r="K4" s="69">
        <f>SUM(B4:I4)</f>
        <v>36354481.502960011</v>
      </c>
      <c r="L4" s="96"/>
    </row>
    <row r="5" spans="1:12" s="111" customFormat="1" ht="19.149999999999999" customHeight="1" x14ac:dyDescent="0.25">
      <c r="A5" s="109" t="s">
        <v>116</v>
      </c>
      <c r="B5" s="110"/>
      <c r="C5" s="110"/>
      <c r="D5" s="110"/>
      <c r="E5" s="110"/>
      <c r="F5" s="110"/>
      <c r="G5" s="110">
        <v>13968687.960000001</v>
      </c>
      <c r="H5" s="110"/>
      <c r="I5" s="110"/>
      <c r="J5" s="112"/>
      <c r="K5" s="112">
        <f>SUM(B5:I5)</f>
        <v>13968687.960000001</v>
      </c>
    </row>
    <row r="6" spans="1:12" ht="42.75" customHeight="1" x14ac:dyDescent="0.25">
      <c r="A6" s="67" t="s">
        <v>162</v>
      </c>
      <c r="B6" s="100">
        <f t="shared" ref="B6:H6" si="0">+B10</f>
        <v>4157937</v>
      </c>
      <c r="C6" s="100">
        <f t="shared" si="0"/>
        <v>1652635.4196899994</v>
      </c>
      <c r="D6" s="100">
        <f t="shared" si="0"/>
        <v>729203.79000000015</v>
      </c>
      <c r="E6" s="100">
        <f t="shared" si="0"/>
        <v>232039.70999999988</v>
      </c>
      <c r="F6" s="100">
        <f t="shared" si="0"/>
        <v>383220</v>
      </c>
      <c r="G6" s="100">
        <f t="shared" si="0"/>
        <v>170277.41999999998</v>
      </c>
      <c r="H6" s="100">
        <f t="shared" si="0"/>
        <v>2204920.14</v>
      </c>
      <c r="I6" s="100">
        <v>0</v>
      </c>
      <c r="J6" s="69">
        <f>SUM(B6:I6)</f>
        <v>9530233.4796900004</v>
      </c>
      <c r="K6" s="69">
        <f t="shared" ref="K6" si="1">+J6*1.2</f>
        <v>11436280.175628001</v>
      </c>
    </row>
    <row r="7" spans="1:12" x14ac:dyDescent="0.25">
      <c r="A7" s="68" t="s">
        <v>14</v>
      </c>
      <c r="B7" s="65">
        <f>+B6+B4</f>
        <v>19037937</v>
      </c>
      <c r="C7" s="65">
        <f t="shared" ref="C7:I7" si="2">+C6+C4</f>
        <v>4899782.2896899991</v>
      </c>
      <c r="D7" s="65">
        <f t="shared" si="2"/>
        <v>1934742.5499999998</v>
      </c>
      <c r="E7" s="65">
        <f t="shared" si="2"/>
        <v>232039.70999999988</v>
      </c>
      <c r="F7" s="65">
        <f t="shared" si="2"/>
        <v>928709.14000000013</v>
      </c>
      <c r="G7" s="65">
        <f t="shared" si="2"/>
        <v>10648816.960000006</v>
      </c>
      <c r="H7" s="65">
        <f t="shared" si="2"/>
        <v>4635134.18</v>
      </c>
      <c r="I7" s="65">
        <f t="shared" si="2"/>
        <v>3567553.1529600001</v>
      </c>
      <c r="J7" s="69">
        <f>+J6+J4</f>
        <v>39825634.732156679</v>
      </c>
      <c r="K7" s="69">
        <f>SUM(K4:K6)</f>
        <v>61759449.638588011</v>
      </c>
    </row>
    <row r="9" spans="1:12" ht="28.5" x14ac:dyDescent="0.25">
      <c r="A9" s="2" t="s">
        <v>140</v>
      </c>
      <c r="B9" s="99">
        <v>65100</v>
      </c>
      <c r="C9" s="99">
        <v>25874.986999999994</v>
      </c>
      <c r="D9" s="99">
        <v>11417.000000000004</v>
      </c>
      <c r="E9" s="99">
        <v>3632.9999999999982</v>
      </c>
      <c r="F9" s="99">
        <v>6000</v>
      </c>
      <c r="G9" s="99">
        <v>2666</v>
      </c>
      <c r="H9" s="99">
        <v>34522</v>
      </c>
      <c r="I9" s="106"/>
      <c r="J9" s="98" t="s">
        <v>164</v>
      </c>
      <c r="K9" s="90"/>
    </row>
    <row r="10" spans="1:12" x14ac:dyDescent="0.25">
      <c r="A10" s="2" t="s">
        <v>141</v>
      </c>
      <c r="B10" s="99">
        <f>+B9*63.87</f>
        <v>4157937</v>
      </c>
      <c r="C10" s="99">
        <f t="shared" ref="C10:H10" si="3">+C9*63.87</f>
        <v>1652635.4196899994</v>
      </c>
      <c r="D10" s="99">
        <f t="shared" si="3"/>
        <v>729203.79000000015</v>
      </c>
      <c r="E10" s="99">
        <f t="shared" si="3"/>
        <v>232039.70999999988</v>
      </c>
      <c r="F10" s="99">
        <f t="shared" si="3"/>
        <v>383220</v>
      </c>
      <c r="G10" s="99">
        <f t="shared" si="3"/>
        <v>170277.41999999998</v>
      </c>
      <c r="H10" s="99">
        <f t="shared" si="3"/>
        <v>2204920.14</v>
      </c>
      <c r="I10" s="107">
        <f>SUM(B10:H10)</f>
        <v>9530233.4796900004</v>
      </c>
      <c r="J10" s="107">
        <f>+I10*1.2</f>
        <v>11436280.175628001</v>
      </c>
    </row>
    <row r="11" spans="1:12" x14ac:dyDescent="0.25">
      <c r="B11" s="96"/>
      <c r="C11" s="96"/>
      <c r="D11" s="96"/>
    </row>
    <row r="12" spans="1:12" x14ac:dyDescent="0.25">
      <c r="B12" s="96"/>
      <c r="C12" s="96"/>
      <c r="D12" s="96"/>
      <c r="E12" s="96"/>
      <c r="G12" s="96"/>
      <c r="I12" s="96"/>
      <c r="K12" s="96"/>
    </row>
    <row r="13" spans="1:12" x14ac:dyDescent="0.25">
      <c r="G13" s="96"/>
      <c r="I13" s="96"/>
    </row>
    <row r="15" spans="1:12" x14ac:dyDescent="0.25">
      <c r="G15" s="96"/>
    </row>
    <row r="16" spans="1:12" x14ac:dyDescent="0.25">
      <c r="G16" s="96"/>
    </row>
  </sheetData>
  <mergeCells count="1">
    <mergeCell ref="A2:K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C17B8-3E06-465F-BC58-228DB9465534}">
  <dimension ref="B2:C32"/>
  <sheetViews>
    <sheetView workbookViewId="0">
      <selection activeCell="B22" sqref="B22"/>
    </sheetView>
  </sheetViews>
  <sheetFormatPr defaultRowHeight="15" x14ac:dyDescent="0.25"/>
  <cols>
    <col min="2" max="2" width="21.7109375" bestFit="1" customWidth="1"/>
    <col min="3" max="3" width="12.28515625" bestFit="1" customWidth="1"/>
  </cols>
  <sheetData>
    <row r="2" spans="2:3" ht="15.75" x14ac:dyDescent="0.25">
      <c r="B2" s="102">
        <v>45566</v>
      </c>
      <c r="C2" s="121" t="s">
        <v>96</v>
      </c>
    </row>
    <row r="3" spans="2:3" ht="15.75" x14ac:dyDescent="0.25">
      <c r="B3" s="102">
        <f>+B2+1</f>
        <v>45567</v>
      </c>
      <c r="C3" s="121" t="s">
        <v>98</v>
      </c>
    </row>
    <row r="4" spans="2:3" s="39" customFormat="1" ht="15.75" x14ac:dyDescent="0.25">
      <c r="B4" s="102">
        <f t="shared" ref="B4:B30" si="0">+B3+1</f>
        <v>45568</v>
      </c>
      <c r="C4" s="121" t="s">
        <v>122</v>
      </c>
    </row>
    <row r="5" spans="2:3" s="39" customFormat="1" ht="15.75" x14ac:dyDescent="0.25">
      <c r="B5" s="102">
        <f t="shared" si="0"/>
        <v>45569</v>
      </c>
      <c r="C5" s="121" t="s">
        <v>99</v>
      </c>
    </row>
    <row r="6" spans="2:3" s="39" customFormat="1" ht="15.75" x14ac:dyDescent="0.25">
      <c r="B6" s="155">
        <f t="shared" si="0"/>
        <v>45570</v>
      </c>
      <c r="C6" s="156" t="s">
        <v>120</v>
      </c>
    </row>
    <row r="7" spans="2:3" s="39" customFormat="1" ht="15.75" x14ac:dyDescent="0.25">
      <c r="B7" s="155">
        <f t="shared" si="0"/>
        <v>45571</v>
      </c>
      <c r="C7" s="156" t="s">
        <v>121</v>
      </c>
    </row>
    <row r="8" spans="2:3" s="39" customFormat="1" ht="15.75" x14ac:dyDescent="0.25">
      <c r="B8" s="102">
        <f t="shared" si="0"/>
        <v>45572</v>
      </c>
      <c r="C8" s="121" t="s">
        <v>100</v>
      </c>
    </row>
    <row r="9" spans="2:3" s="39" customFormat="1" ht="15.75" x14ac:dyDescent="0.25">
      <c r="B9" s="102">
        <f t="shared" si="0"/>
        <v>45573</v>
      </c>
      <c r="C9" s="121" t="s">
        <v>96</v>
      </c>
    </row>
    <row r="10" spans="2:3" s="39" customFormat="1" ht="15.75" x14ac:dyDescent="0.25">
      <c r="B10" s="102">
        <f t="shared" si="0"/>
        <v>45574</v>
      </c>
      <c r="C10" s="121" t="s">
        <v>98</v>
      </c>
    </row>
    <row r="11" spans="2:3" s="39" customFormat="1" ht="15.75" x14ac:dyDescent="0.25">
      <c r="B11" s="102">
        <f t="shared" si="0"/>
        <v>45575</v>
      </c>
      <c r="C11" s="121" t="s">
        <v>122</v>
      </c>
    </row>
    <row r="12" spans="2:3" s="39" customFormat="1" ht="15.75" x14ac:dyDescent="0.25">
      <c r="B12" s="102">
        <f t="shared" si="0"/>
        <v>45576</v>
      </c>
      <c r="C12" s="121" t="s">
        <v>99</v>
      </c>
    </row>
    <row r="13" spans="2:3" s="39" customFormat="1" ht="15.75" x14ac:dyDescent="0.25">
      <c r="B13" s="155">
        <f t="shared" si="0"/>
        <v>45577</v>
      </c>
      <c r="C13" s="156" t="s">
        <v>120</v>
      </c>
    </row>
    <row r="14" spans="2:3" s="39" customFormat="1" ht="15.75" x14ac:dyDescent="0.25">
      <c r="B14" s="155">
        <f t="shared" si="0"/>
        <v>45578</v>
      </c>
      <c r="C14" s="156" t="s">
        <v>121</v>
      </c>
    </row>
    <row r="15" spans="2:3" s="39" customFormat="1" ht="15.75" x14ac:dyDescent="0.25">
      <c r="B15" s="102">
        <f t="shared" si="0"/>
        <v>45579</v>
      </c>
      <c r="C15" s="121" t="s">
        <v>100</v>
      </c>
    </row>
    <row r="16" spans="2:3" s="39" customFormat="1" ht="15.75" x14ac:dyDescent="0.25">
      <c r="B16" s="102">
        <f t="shared" si="0"/>
        <v>45580</v>
      </c>
      <c r="C16" s="121" t="s">
        <v>96</v>
      </c>
    </row>
    <row r="17" spans="2:3" s="39" customFormat="1" ht="15.75" x14ac:dyDescent="0.25">
      <c r="B17" s="102">
        <f t="shared" si="0"/>
        <v>45581</v>
      </c>
      <c r="C17" s="121" t="s">
        <v>98</v>
      </c>
    </row>
    <row r="18" spans="2:3" s="39" customFormat="1" ht="15.75" x14ac:dyDescent="0.25">
      <c r="B18" s="102">
        <f t="shared" si="0"/>
        <v>45582</v>
      </c>
      <c r="C18" s="121" t="s">
        <v>122</v>
      </c>
    </row>
    <row r="19" spans="2:3" s="39" customFormat="1" ht="15.75" x14ac:dyDescent="0.25">
      <c r="B19" s="102">
        <f t="shared" si="0"/>
        <v>45583</v>
      </c>
      <c r="C19" s="121" t="s">
        <v>99</v>
      </c>
    </row>
    <row r="20" spans="2:3" s="39" customFormat="1" ht="15.75" x14ac:dyDescent="0.25">
      <c r="B20" s="155">
        <f t="shared" si="0"/>
        <v>45584</v>
      </c>
      <c r="C20" s="156" t="s">
        <v>120</v>
      </c>
    </row>
    <row r="21" spans="2:3" s="39" customFormat="1" ht="15.75" x14ac:dyDescent="0.25">
      <c r="B21" s="155">
        <f t="shared" si="0"/>
        <v>45585</v>
      </c>
      <c r="C21" s="156" t="s">
        <v>121</v>
      </c>
    </row>
    <row r="22" spans="2:3" s="39" customFormat="1" ht="15.75" x14ac:dyDescent="0.25">
      <c r="B22" s="102">
        <f t="shared" si="0"/>
        <v>45586</v>
      </c>
      <c r="C22" s="121" t="s">
        <v>100</v>
      </c>
    </row>
    <row r="23" spans="2:3" s="39" customFormat="1" ht="15.75" x14ac:dyDescent="0.25">
      <c r="B23" s="102">
        <f t="shared" si="0"/>
        <v>45587</v>
      </c>
      <c r="C23" s="121" t="s">
        <v>96</v>
      </c>
    </row>
    <row r="24" spans="2:3" s="39" customFormat="1" ht="15.75" x14ac:dyDescent="0.25">
      <c r="B24" s="102">
        <f t="shared" si="0"/>
        <v>45588</v>
      </c>
      <c r="C24" s="121" t="s">
        <v>98</v>
      </c>
    </row>
    <row r="25" spans="2:3" s="39" customFormat="1" ht="15.75" x14ac:dyDescent="0.25">
      <c r="B25" s="102">
        <f t="shared" si="0"/>
        <v>45589</v>
      </c>
      <c r="C25" s="121" t="s">
        <v>122</v>
      </c>
    </row>
    <row r="26" spans="2:3" s="39" customFormat="1" ht="15.75" x14ac:dyDescent="0.25">
      <c r="B26" s="102">
        <f t="shared" si="0"/>
        <v>45590</v>
      </c>
      <c r="C26" s="121" t="s">
        <v>99</v>
      </c>
    </row>
    <row r="27" spans="2:3" s="39" customFormat="1" ht="15.75" x14ac:dyDescent="0.25">
      <c r="B27" s="155">
        <f t="shared" si="0"/>
        <v>45591</v>
      </c>
      <c r="C27" s="156" t="s">
        <v>120</v>
      </c>
    </row>
    <row r="28" spans="2:3" s="39" customFormat="1" ht="15.75" x14ac:dyDescent="0.25">
      <c r="B28" s="155">
        <f t="shared" si="0"/>
        <v>45592</v>
      </c>
      <c r="C28" s="156" t="s">
        <v>121</v>
      </c>
    </row>
    <row r="29" spans="2:3" s="39" customFormat="1" ht="15.75" x14ac:dyDescent="0.25">
      <c r="B29" s="102">
        <f t="shared" si="0"/>
        <v>45593</v>
      </c>
      <c r="C29" s="121" t="s">
        <v>100</v>
      </c>
    </row>
    <row r="30" spans="2:3" s="39" customFormat="1" ht="15.75" x14ac:dyDescent="0.25">
      <c r="B30" s="102">
        <f t="shared" si="0"/>
        <v>45594</v>
      </c>
      <c r="C30" s="121" t="s">
        <v>96</v>
      </c>
    </row>
    <row r="31" spans="2:3" ht="15.75" x14ac:dyDescent="0.25">
      <c r="B31" s="102">
        <f>+B30+1</f>
        <v>45595</v>
      </c>
      <c r="C31" s="121" t="s">
        <v>98</v>
      </c>
    </row>
    <row r="32" spans="2:3" ht="15.75" x14ac:dyDescent="0.25">
      <c r="B32" s="102">
        <f>+B31+1</f>
        <v>45596</v>
      </c>
      <c r="C32" s="121" t="s">
        <v>122</v>
      </c>
    </row>
  </sheetData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61E9CC-3780-4D8F-A5D6-98C3A85114C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4681FE59-C72D-4C53-989A-73E9A10F11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182FD2-50BB-49AE-BB1E-D67E23482F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изх паричен поток</vt:lpstr>
      <vt:lpstr> вх. и изх. паричен поток </vt:lpstr>
      <vt:lpstr>График плащания</vt:lpstr>
      <vt:lpstr>доставки на природен газ</vt:lpstr>
      <vt:lpstr>Топлофикации задължения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cp:lastPrinted>2024-08-23T07:58:47Z</cp:lastPrinted>
  <dcterms:created xsi:type="dcterms:W3CDTF">2020-04-27T07:10:01Z</dcterms:created>
  <dcterms:modified xsi:type="dcterms:W3CDTF">2024-09-25T06:08:11Z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