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ackoffice\Desktop\"/>
    </mc:Choice>
  </mc:AlternateContent>
  <xr:revisionPtr revIDLastSave="0" documentId="8_{B468ACF6-09DB-4DEC-B5B1-36A7DAFEC30E}" xr6:coauthVersionLast="47" xr6:coauthVersionMax="47" xr10:uidLastSave="{00000000-0000-0000-0000-000000000000}"/>
  <bookViews>
    <workbookView xWindow="3630" yWindow="825" windowWidth="23370" windowHeight="14625" xr2:uid="{415FB5EB-6D80-42BC-85DA-292F6EBB6530}"/>
  </bookViews>
  <sheets>
    <sheet name="Cal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3" i="1" l="1"/>
  <c r="AB23" i="1"/>
  <c r="U20" i="1"/>
  <c r="I6" i="1"/>
  <c r="V20" i="1"/>
  <c r="K14" i="1"/>
  <c r="M14" i="1" s="1"/>
  <c r="H14" i="1"/>
  <c r="I14" i="1" s="1"/>
  <c r="G14" i="1"/>
  <c r="N14" i="1" s="1"/>
  <c r="O14" i="1" s="1"/>
  <c r="K13" i="1"/>
  <c r="M13" i="1" s="1"/>
  <c r="I13" i="1"/>
  <c r="H13" i="1"/>
  <c r="G13" i="1"/>
  <c r="K12" i="1"/>
  <c r="M12" i="1" s="1"/>
  <c r="H12" i="1"/>
  <c r="I12" i="1" s="1"/>
  <c r="G12" i="1"/>
  <c r="N12" i="1" s="1"/>
  <c r="O12" i="1" s="1"/>
  <c r="K11" i="1"/>
  <c r="M11" i="1" s="1"/>
  <c r="H11" i="1"/>
  <c r="I11" i="1" s="1"/>
  <c r="G11" i="1"/>
  <c r="K10" i="1"/>
  <c r="M10" i="1" s="1"/>
  <c r="N10" i="1" s="1"/>
  <c r="O10" i="1" s="1"/>
  <c r="H10" i="1"/>
  <c r="I10" i="1" s="1"/>
  <c r="G10" i="1"/>
  <c r="K9" i="1"/>
  <c r="M9" i="1" s="1"/>
  <c r="H9" i="1"/>
  <c r="I9" i="1" s="1"/>
  <c r="G9" i="1"/>
  <c r="N9" i="1" s="1"/>
  <c r="O9" i="1" s="1"/>
  <c r="K8" i="1"/>
  <c r="M8" i="1" s="1"/>
  <c r="H8" i="1"/>
  <c r="I8" i="1" s="1"/>
  <c r="W19" i="1" s="1"/>
  <c r="G8" i="1"/>
  <c r="K7" i="1"/>
  <c r="M7" i="1" s="1"/>
  <c r="H7" i="1"/>
  <c r="I7" i="1" s="1"/>
  <c r="G7" i="1"/>
  <c r="K6" i="1"/>
  <c r="M6" i="1" s="1"/>
  <c r="H6" i="1"/>
  <c r="G6" i="1"/>
  <c r="W20" i="1" l="1"/>
  <c r="AD22" i="1"/>
  <c r="N7" i="1"/>
  <c r="O7" i="1" s="1"/>
  <c r="N6" i="1"/>
  <c r="O6" i="1" s="1"/>
  <c r="N13" i="1"/>
  <c r="O13" i="1" s="1"/>
  <c r="N11" i="1"/>
  <c r="O11" i="1" s="1"/>
  <c r="X20" i="1" s="1"/>
  <c r="N8" i="1"/>
  <c r="O8" i="1" s="1"/>
  <c r="U19" i="1" l="1"/>
  <c r="T20" i="1"/>
  <c r="T21" i="1" s="1"/>
  <c r="V25" i="1" l="1"/>
  <c r="AD24" i="1" s="1"/>
  <c r="X21" i="1"/>
  <c r="X19" i="1"/>
  <c r="W21" i="1"/>
  <c r="V21" i="1"/>
  <c r="V19" i="1"/>
  <c r="V23" i="1" s="1"/>
  <c r="U21" i="1"/>
  <c r="X23" i="1" l="1"/>
  <c r="V26" i="1" s="1"/>
  <c r="U23" i="1"/>
  <c r="AD27" i="1" l="1"/>
  <c r="AB24" i="1"/>
  <c r="W23" i="1" l="1"/>
</calcChain>
</file>

<file path=xl/sharedStrings.xml><?xml version="1.0" encoding="utf-8"?>
<sst xmlns="http://schemas.openxmlformats.org/spreadsheetml/2006/main" count="39" uniqueCount="30">
  <si>
    <t>Date</t>
  </si>
  <si>
    <t>Gas Day</t>
  </si>
  <si>
    <t>Deal Type- WD/DA</t>
  </si>
  <si>
    <t>Quantity of Gas, MWh</t>
  </si>
  <si>
    <t>Confirmed Price BGN/MWh</t>
  </si>
  <si>
    <t>Confirmed Price EUR/MWh</t>
  </si>
  <si>
    <t>Total amount, BGN</t>
  </si>
  <si>
    <t>Total amount, EUR</t>
  </si>
  <si>
    <t>Nominated Period (1,2,3)</t>
  </si>
  <si>
    <t>TIBIEL Servce Fee, EUR/MWh</t>
  </si>
  <si>
    <t>BGH Transaction Fee EUR/MWh</t>
  </si>
  <si>
    <t>Total Fees, EUR/MWh</t>
  </si>
  <si>
    <t>Final Deal Price Eur/MWh</t>
  </si>
  <si>
    <t>Invoiced Amount EUR</t>
  </si>
  <si>
    <t>Service Fee</t>
  </si>
  <si>
    <t>Transaction Fee</t>
  </si>
  <si>
    <t>Commodity</t>
  </si>
  <si>
    <t>Total Amount</t>
  </si>
  <si>
    <t xml:space="preserve">Total </t>
  </si>
  <si>
    <t xml:space="preserve">Quantity of gas </t>
  </si>
  <si>
    <t>EUR RATE</t>
  </si>
  <si>
    <t>Total invoiced amount</t>
  </si>
  <si>
    <t>INVOICE format</t>
  </si>
  <si>
    <t>No</t>
  </si>
  <si>
    <t>Description of Goods/Services</t>
  </si>
  <si>
    <t>Quantity MWh</t>
  </si>
  <si>
    <t>Amount EUR</t>
  </si>
  <si>
    <t>Total of Invoice</t>
  </si>
  <si>
    <t>DA</t>
  </si>
  <si>
    <t>Natural Gas at VTP - Gas Days 26-28 Nov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</si>
</sst>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[$BGN]"/>
    <numFmt numFmtId="165" formatCode="[$€-2]\ #,##0.00"/>
    <numFmt numFmtId="166" formatCode="[$€-2]\ #,##0.000"/>
    <numFmt numFmtId="167" formatCode="0.00000000"/>
  </numFmts>
  <fonts count="8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sz val="11"/>
      <color rgb="FF000000"/>
      <name val="Aptos Narrow"/>
      <family val="2"/>
    </font>
    <font>
      <sz val="11"/>
      <name val="Aptos Narrow"/>
      <family val="2"/>
      <charset val="204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165" fontId="3" fillId="0" borderId="6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4" fontId="5" fillId="0" borderId="0" xfId="0" applyNumberFormat="1" applyFont="1"/>
    <xf numFmtId="0" fontId="6" fillId="0" borderId="0" xfId="0" applyFont="1"/>
    <xf numFmtId="165" fontId="5" fillId="0" borderId="0" xfId="0" applyNumberFormat="1" applyFont="1"/>
    <xf numFmtId="165" fontId="7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6" xfId="0" applyBorder="1"/>
    <xf numFmtId="2" fontId="0" fillId="0" borderId="0" xfId="0" applyNumberFormat="1" applyAlignment="1">
      <alignment horizontal="right"/>
    </xf>
    <xf numFmtId="165" fontId="4" fillId="0" borderId="6" xfId="0" applyNumberFormat="1" applyFont="1" applyBorder="1" applyAlignment="1">
      <alignment vertical="center"/>
    </xf>
    <xf numFmtId="2" fontId="3" fillId="0" borderId="6" xfId="0" applyNumberFormat="1" applyFont="1" applyBorder="1" applyAlignment="1">
      <alignment vertical="center"/>
    </xf>
    <xf numFmtId="167" fontId="0" fillId="0" borderId="0" xfId="0" applyNumberFormat="1"/>
    <xf numFmtId="1" fontId="2" fillId="0" borderId="6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D503-C082-4C45-9486-B2C42C4E61E4}">
  <sheetPr codeName="Sheet1"/>
  <dimension ref="A1:AE28"/>
  <sheetViews>
    <sheetView tabSelected="1" topLeftCell="Y1" workbookViewId="0">
      <selection activeCell="Y2" sqref="A2:XFD14"/>
    </sheetView>
  </sheetViews>
  <sheetFormatPr defaultRowHeight="15" x14ac:dyDescent="0.25"/>
  <cols>
    <col min="1" max="1" width="0" hidden="1" customWidth="1"/>
    <col min="2" max="3" width="10.140625" hidden="1" customWidth="1"/>
    <col min="4" max="5" width="0" hidden="1" customWidth="1"/>
    <col min="6" max="6" width="9.7109375" hidden="1" customWidth="1"/>
    <col min="7" max="7" width="0" hidden="1" customWidth="1"/>
    <col min="8" max="8" width="14.42578125" hidden="1" customWidth="1"/>
    <col min="9" max="9" width="10.28515625" hidden="1" customWidth="1"/>
    <col min="10" max="13" width="0" hidden="1" customWidth="1"/>
    <col min="14" max="14" width="7.28515625" hidden="1" customWidth="1"/>
    <col min="15" max="15" width="10.28515625" hidden="1" customWidth="1"/>
    <col min="16" max="19" width="0" hidden="1" customWidth="1"/>
    <col min="20" max="20" width="10.140625" hidden="1" customWidth="1"/>
    <col min="21" max="21" width="0" hidden="1" customWidth="1"/>
    <col min="22" max="22" width="15" hidden="1" customWidth="1"/>
    <col min="23" max="24" width="13" hidden="1" customWidth="1"/>
    <col min="28" max="28" width="40" bestFit="1" customWidth="1"/>
    <col min="29" max="29" width="14" bestFit="1" customWidth="1"/>
    <col min="30" max="30" width="11.7109375" bestFit="1" customWidth="1"/>
  </cols>
  <sheetData>
    <row r="1" spans="2:28" x14ac:dyDescent="0.25">
      <c r="Q1" t="s">
        <v>20</v>
      </c>
      <c r="R1">
        <v>1.95583</v>
      </c>
      <c r="S1">
        <v>1.95583</v>
      </c>
    </row>
    <row r="2" spans="2:28" hidden="1" x14ac:dyDescent="0.25"/>
    <row r="3" spans="2:28" hidden="1" x14ac:dyDescent="0.25"/>
    <row r="4" spans="2:28" ht="15.75" hidden="1" thickBot="1" x14ac:dyDescent="0.3"/>
    <row r="5" spans="2:28" ht="75.75" hidden="1" thickBot="1" x14ac:dyDescent="0.3">
      <c r="B5" s="14" t="s">
        <v>0</v>
      </c>
      <c r="C5" s="14" t="s">
        <v>1</v>
      </c>
      <c r="D5" s="14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14" t="s">
        <v>7</v>
      </c>
      <c r="J5" s="14" t="s">
        <v>8</v>
      </c>
      <c r="K5" s="14" t="s">
        <v>9</v>
      </c>
      <c r="L5" s="14" t="s">
        <v>10</v>
      </c>
      <c r="M5" s="14" t="s">
        <v>11</v>
      </c>
      <c r="N5" s="14" t="s">
        <v>12</v>
      </c>
      <c r="O5" s="15" t="s">
        <v>13</v>
      </c>
    </row>
    <row r="6" spans="2:28" ht="15.75" hidden="1" thickTop="1" x14ac:dyDescent="0.25">
      <c r="B6" s="1">
        <v>45621</v>
      </c>
      <c r="C6" s="1">
        <v>45622</v>
      </c>
      <c r="D6" t="s">
        <v>28</v>
      </c>
      <c r="E6" s="2">
        <v>500</v>
      </c>
      <c r="F6" s="3">
        <v>91.65</v>
      </c>
      <c r="G6" s="4">
        <f>+F6/$R$1</f>
        <v>46.859900911633432</v>
      </c>
      <c r="H6" s="3">
        <f>+E6*F6</f>
        <v>45825</v>
      </c>
      <c r="I6" s="4">
        <f>+H6/S$1</f>
        <v>23429.950455816714</v>
      </c>
      <c r="J6" s="5">
        <v>1</v>
      </c>
      <c r="K6" s="4">
        <f>IF(ISBLANK(J6),0,IF(J6=1,0.35,IF(J6=2,0.5,0.9)))</f>
        <v>0.35</v>
      </c>
      <c r="L6" s="6">
        <v>2.5000000000000001E-2</v>
      </c>
      <c r="M6" s="4">
        <f>+SUM(K6:L6)</f>
        <v>0.375</v>
      </c>
      <c r="N6" s="4">
        <f>+G6+M6</f>
        <v>47.234900911633432</v>
      </c>
      <c r="O6" s="4">
        <f>ROUND(N6*E6,2)</f>
        <v>23617.45</v>
      </c>
    </row>
    <row r="7" spans="2:28" hidden="1" x14ac:dyDescent="0.25">
      <c r="B7" s="1">
        <v>45621</v>
      </c>
      <c r="C7" s="1">
        <v>45622</v>
      </c>
      <c r="D7" t="s">
        <v>28</v>
      </c>
      <c r="E7" s="2">
        <v>500</v>
      </c>
      <c r="F7" s="3">
        <v>91.65</v>
      </c>
      <c r="G7" s="4">
        <f t="shared" ref="G7" si="0">+F7/$R$1</f>
        <v>46.859900911633432</v>
      </c>
      <c r="H7" s="3">
        <f t="shared" ref="H7" si="1">+E7*F7</f>
        <v>45825</v>
      </c>
      <c r="I7" s="4">
        <f t="shared" ref="I7" si="2">+H7/S$1</f>
        <v>23429.950455816714</v>
      </c>
      <c r="J7" s="5">
        <v>1</v>
      </c>
      <c r="K7" s="4">
        <f t="shared" ref="K7" si="3">IF(ISBLANK(J7),0,IF(J7=1,0.35,IF(J7=2,0.5,0.9)))</f>
        <v>0.35</v>
      </c>
      <c r="L7" s="6">
        <v>2.5000000000000001E-2</v>
      </c>
      <c r="M7" s="4">
        <f t="shared" ref="M7" si="4">+SUM(K7:L7)</f>
        <v>0.375</v>
      </c>
      <c r="N7" s="4">
        <f t="shared" ref="N7" si="5">+G7+M7</f>
        <v>47.234900911633432</v>
      </c>
      <c r="O7" s="4">
        <f t="shared" ref="O7" si="6">ROUND(N7*E7,2)</f>
        <v>23617.45</v>
      </c>
    </row>
    <row r="8" spans="2:28" hidden="1" x14ac:dyDescent="0.25">
      <c r="B8" s="1">
        <v>45621</v>
      </c>
      <c r="C8" s="1">
        <v>45622</v>
      </c>
      <c r="D8" t="s">
        <v>28</v>
      </c>
      <c r="E8" s="2">
        <v>100</v>
      </c>
      <c r="F8" s="3">
        <v>92</v>
      </c>
      <c r="G8" s="4">
        <f>+F8/$R$1</f>
        <v>47.038853070052099</v>
      </c>
      <c r="H8" s="3">
        <f>+E8*F8</f>
        <v>9200</v>
      </c>
      <c r="I8" s="4">
        <f>+H8/S$1</f>
        <v>4703.8853070052101</v>
      </c>
      <c r="J8" s="5">
        <v>1</v>
      </c>
      <c r="K8" s="4">
        <f>IF(ISBLANK(J8),0,IF(J8=1,0.35,IF(J8=2,0.5,0.9)))</f>
        <v>0.35</v>
      </c>
      <c r="L8" s="6">
        <v>2.5000000000000001E-2</v>
      </c>
      <c r="M8" s="4">
        <f>+SUM(K8:L8)</f>
        <v>0.375</v>
      </c>
      <c r="N8" s="4">
        <f>+G8+M8</f>
        <v>47.413853070052099</v>
      </c>
      <c r="O8" s="4">
        <f>ROUND(N8*E8,2)</f>
        <v>4741.3900000000003</v>
      </c>
    </row>
    <row r="9" spans="2:28" ht="15.75" hidden="1" thickBot="1" x14ac:dyDescent="0.3">
      <c r="B9" s="7">
        <v>45621</v>
      </c>
      <c r="C9" s="7">
        <v>45622</v>
      </c>
      <c r="D9" s="8" t="s">
        <v>28</v>
      </c>
      <c r="E9" s="9">
        <v>400</v>
      </c>
      <c r="F9" s="10">
        <v>92</v>
      </c>
      <c r="G9" s="11">
        <f>+F9/$R$1</f>
        <v>47.038853070052099</v>
      </c>
      <c r="H9" s="10">
        <f>+E9*F9</f>
        <v>36800</v>
      </c>
      <c r="I9" s="11">
        <f>+H9/S$1</f>
        <v>18815.54122802084</v>
      </c>
      <c r="J9" s="12">
        <v>1</v>
      </c>
      <c r="K9" s="11">
        <f>IF(ISBLANK(J9),0,IF(J9=1,0.35,IF(J9=2,0.5,0.9)))</f>
        <v>0.35</v>
      </c>
      <c r="L9" s="13">
        <v>2.5000000000000001E-2</v>
      </c>
      <c r="M9" s="11">
        <f>+SUM(K9:L9)</f>
        <v>0.375</v>
      </c>
      <c r="N9" s="11">
        <f>+G9+M9</f>
        <v>47.413853070052099</v>
      </c>
      <c r="O9" s="11">
        <f>ROUND(N9*E9,2)</f>
        <v>18965.54</v>
      </c>
    </row>
    <row r="10" spans="2:28" ht="15.75" hidden="1" thickTop="1" x14ac:dyDescent="0.25">
      <c r="B10" s="1">
        <v>45622</v>
      </c>
      <c r="C10" s="1">
        <v>45623</v>
      </c>
      <c r="D10" t="s">
        <v>28</v>
      </c>
      <c r="E10" s="2">
        <v>500</v>
      </c>
      <c r="F10" s="3">
        <v>91.8</v>
      </c>
      <c r="G10" s="4">
        <f>+F10/$R$1</f>
        <v>46.936594693812857</v>
      </c>
      <c r="H10" s="3">
        <f>+E10*F10</f>
        <v>45900</v>
      </c>
      <c r="I10" s="4">
        <f>+H10/S$1</f>
        <v>23468.297346906427</v>
      </c>
      <c r="J10" s="5">
        <v>2</v>
      </c>
      <c r="K10" s="4">
        <f>IF(ISBLANK(J10),0,IF(J10=1,0.35,IF(J10=2,0.5,0.9)))</f>
        <v>0.5</v>
      </c>
      <c r="L10" s="6">
        <v>2.5000000000000001E-2</v>
      </c>
      <c r="M10" s="4">
        <f>+SUM(K10:L10)</f>
        <v>0.52500000000000002</v>
      </c>
      <c r="N10" s="4">
        <f>+G10+M10</f>
        <v>47.461594693812856</v>
      </c>
      <c r="O10" s="4">
        <f>ROUND(N10*E10,2)</f>
        <v>23730.799999999999</v>
      </c>
    </row>
    <row r="11" spans="2:28" hidden="1" x14ac:dyDescent="0.25">
      <c r="B11" s="1">
        <v>45622</v>
      </c>
      <c r="C11" s="1">
        <v>45623</v>
      </c>
      <c r="D11" t="s">
        <v>28</v>
      </c>
      <c r="E11" s="2">
        <v>500</v>
      </c>
      <c r="F11" s="3">
        <v>91.7</v>
      </c>
      <c r="G11" s="4">
        <f t="shared" ref="G11" si="7">+F11/$R$1</f>
        <v>46.88546550569324</v>
      </c>
      <c r="H11" s="3">
        <f t="shared" ref="H11" si="8">+E11*F11</f>
        <v>45850</v>
      </c>
      <c r="I11" s="4">
        <f t="shared" ref="I11" si="9">+H11/S$1</f>
        <v>23442.732752846619</v>
      </c>
      <c r="J11" s="5">
        <v>2</v>
      </c>
      <c r="K11" s="4">
        <f t="shared" ref="K11" si="10">IF(ISBLANK(J11),0,IF(J11=1,0.35,IF(J11=2,0.5,0.9)))</f>
        <v>0.5</v>
      </c>
      <c r="L11" s="6">
        <v>2.5000000000000001E-2</v>
      </c>
      <c r="M11" s="4">
        <f t="shared" ref="M11" si="11">+SUM(K11:L11)</f>
        <v>0.52500000000000002</v>
      </c>
      <c r="N11" s="4">
        <f t="shared" ref="N11" si="12">+G11+M11</f>
        <v>47.410465505693239</v>
      </c>
      <c r="O11" s="4">
        <f t="shared" ref="O11" si="13">ROUND(N11*E11,2)</f>
        <v>23705.23</v>
      </c>
    </row>
    <row r="12" spans="2:28" ht="15.75" hidden="1" thickBot="1" x14ac:dyDescent="0.3">
      <c r="B12" s="7">
        <v>45622</v>
      </c>
      <c r="C12" s="7">
        <v>45623</v>
      </c>
      <c r="D12" s="8" t="s">
        <v>28</v>
      </c>
      <c r="E12" s="9">
        <v>500</v>
      </c>
      <c r="F12" s="10">
        <v>91.8</v>
      </c>
      <c r="G12" s="11">
        <f>+F12/$R$1</f>
        <v>46.936594693812857</v>
      </c>
      <c r="H12" s="10">
        <f>+E12*F12</f>
        <v>45900</v>
      </c>
      <c r="I12" s="11">
        <f>+H12/S$1</f>
        <v>23468.297346906427</v>
      </c>
      <c r="J12" s="12">
        <v>2</v>
      </c>
      <c r="K12" s="11">
        <f>IF(ISBLANK(J12),0,IF(J12=1,0.35,IF(J12=2,0.5,0.9)))</f>
        <v>0.5</v>
      </c>
      <c r="L12" s="13">
        <v>2.5000000000000001E-2</v>
      </c>
      <c r="M12" s="11">
        <f>+SUM(K12:L12)</f>
        <v>0.52500000000000002</v>
      </c>
      <c r="N12" s="11">
        <f>+G12+M12</f>
        <v>47.461594693812856</v>
      </c>
      <c r="O12" s="11">
        <f>ROUND(N12*E12,2)</f>
        <v>23730.799999999999</v>
      </c>
      <c r="AB12" s="37"/>
    </row>
    <row r="13" spans="2:28" ht="15.75" hidden="1" thickTop="1" x14ac:dyDescent="0.25">
      <c r="B13" s="1">
        <v>45623</v>
      </c>
      <c r="C13" s="1">
        <v>45624</v>
      </c>
      <c r="D13" t="s">
        <v>28</v>
      </c>
      <c r="E13" s="2">
        <v>500</v>
      </c>
      <c r="F13" s="3">
        <v>89.2</v>
      </c>
      <c r="G13" s="4">
        <f>+F13/$R$1</f>
        <v>45.607235802702689</v>
      </c>
      <c r="H13" s="3">
        <f>+E13*F13</f>
        <v>44600</v>
      </c>
      <c r="I13" s="4">
        <f>+H13/S$1</f>
        <v>22803.617901351347</v>
      </c>
      <c r="J13" s="5">
        <v>1</v>
      </c>
      <c r="K13" s="4">
        <f>IF(ISBLANK(J13),0,IF(J13=1,0.35,IF(J13=2,0.5,0.9)))</f>
        <v>0.35</v>
      </c>
      <c r="L13" s="6">
        <v>2.5000000000000001E-2</v>
      </c>
      <c r="M13" s="4">
        <f>+SUM(K13:L13)</f>
        <v>0.375</v>
      </c>
      <c r="N13" s="4">
        <f>+G13+M13</f>
        <v>45.982235802702689</v>
      </c>
      <c r="O13" s="4">
        <f>ROUND(N13*E13,2)</f>
        <v>22991.119999999999</v>
      </c>
    </row>
    <row r="14" spans="2:28" ht="15.75" hidden="1" thickBot="1" x14ac:dyDescent="0.3">
      <c r="B14" s="7">
        <v>45623</v>
      </c>
      <c r="C14" s="7">
        <v>45624</v>
      </c>
      <c r="D14" s="8" t="s">
        <v>28</v>
      </c>
      <c r="E14" s="9">
        <v>1000</v>
      </c>
      <c r="F14" s="10">
        <v>89.45</v>
      </c>
      <c r="G14" s="11">
        <f t="shared" ref="G14" si="14">+F14/$R$1</f>
        <v>45.735058773001747</v>
      </c>
      <c r="H14" s="10">
        <f t="shared" ref="H14" si="15">+E14*F14</f>
        <v>89450</v>
      </c>
      <c r="I14" s="11">
        <f t="shared" ref="I14" si="16">+H14/S$1</f>
        <v>45735.058773001743</v>
      </c>
      <c r="J14" s="12">
        <v>1</v>
      </c>
      <c r="K14" s="11">
        <f t="shared" ref="K14" si="17">IF(ISBLANK(J14),0,IF(J14=1,0.35,IF(J14=2,0.5,0.9)))</f>
        <v>0.35</v>
      </c>
      <c r="L14" s="13">
        <v>2.5000000000000001E-2</v>
      </c>
      <c r="M14" s="11">
        <f t="shared" ref="M14" si="18">+SUM(K14:L14)</f>
        <v>0.375</v>
      </c>
      <c r="N14" s="11">
        <f t="shared" ref="N14" si="19">+G14+M14</f>
        <v>46.110058773001747</v>
      </c>
      <c r="O14" s="11">
        <f t="shared" ref="O14" si="20">ROUND(N14*E14,2)</f>
        <v>46110.06</v>
      </c>
    </row>
    <row r="15" spans="2:28" ht="15.75" thickBot="1" x14ac:dyDescent="0.3">
      <c r="B15" s="7"/>
      <c r="C15" s="7"/>
      <c r="D15" s="8"/>
      <c r="E15" s="9"/>
      <c r="F15" s="10"/>
      <c r="G15" s="11"/>
      <c r="H15" s="10"/>
      <c r="I15" s="11"/>
      <c r="J15" s="12"/>
      <c r="K15" s="11"/>
      <c r="L15" s="13"/>
      <c r="M15" s="11"/>
      <c r="N15" s="11"/>
      <c r="O15" s="11"/>
    </row>
    <row r="16" spans="2:28" ht="15.75" thickTop="1" x14ac:dyDescent="0.25">
      <c r="B16" s="1"/>
      <c r="C16" s="1"/>
      <c r="E16" s="2"/>
      <c r="F16" s="3"/>
      <c r="G16" s="4"/>
      <c r="H16" s="3"/>
      <c r="I16" s="4"/>
      <c r="J16" s="5"/>
      <c r="K16" s="4"/>
      <c r="L16" s="6"/>
      <c r="M16" s="4"/>
      <c r="N16" s="4"/>
      <c r="O16" s="4"/>
    </row>
    <row r="17" spans="1:31" ht="15.75" thickBot="1" x14ac:dyDescent="0.3">
      <c r="A17" s="1"/>
      <c r="B17" s="1"/>
      <c r="C17" s="1"/>
      <c r="E17" s="2"/>
      <c r="F17" s="3"/>
      <c r="G17" s="4"/>
      <c r="H17" s="3"/>
      <c r="I17" s="4"/>
      <c r="J17" s="5"/>
      <c r="K17" s="4"/>
      <c r="L17" s="6"/>
      <c r="M17" s="4"/>
      <c r="N17" s="4"/>
      <c r="O17" s="4"/>
    </row>
    <row r="18" spans="1:31" ht="15.75" thickBot="1" x14ac:dyDescent="0.3">
      <c r="A18" s="1"/>
      <c r="B18" s="7"/>
      <c r="C18" s="7"/>
      <c r="D18" s="8"/>
      <c r="E18" s="9"/>
      <c r="F18" s="10"/>
      <c r="G18" s="11"/>
      <c r="H18" s="10"/>
      <c r="I18" s="11"/>
      <c r="J18" s="12"/>
      <c r="K18" s="11"/>
      <c r="L18" s="13"/>
      <c r="M18" s="11"/>
      <c r="N18" s="11"/>
      <c r="O18" s="11"/>
      <c r="T18" s="21" t="s">
        <v>0</v>
      </c>
      <c r="U18" s="22" t="s">
        <v>14</v>
      </c>
      <c r="V18" s="22" t="s">
        <v>15</v>
      </c>
      <c r="W18" s="22" t="s">
        <v>16</v>
      </c>
      <c r="X18" s="22" t="s">
        <v>17</v>
      </c>
      <c r="Z18" s="23"/>
      <c r="AE18" s="24"/>
    </row>
    <row r="19" spans="1:31" ht="16.5" thickTop="1" thickBot="1" x14ac:dyDescent="0.3">
      <c r="A19" s="1"/>
      <c r="B19" s="1"/>
      <c r="C19" s="1"/>
      <c r="E19" s="2"/>
      <c r="F19" s="3"/>
      <c r="G19" s="4"/>
      <c r="H19" s="3"/>
      <c r="I19" s="4"/>
      <c r="J19" s="5"/>
      <c r="K19" s="4"/>
      <c r="L19" s="6"/>
      <c r="M19" s="4"/>
      <c r="N19" s="4"/>
      <c r="O19" s="4"/>
      <c r="T19" s="16">
        <v>45622</v>
      </c>
      <c r="U19" s="17">
        <f>+SUM(E6:E9)*0.35</f>
        <v>525</v>
      </c>
      <c r="V19" s="17">
        <f>+SUM(E6:E9)*0.025</f>
        <v>37.5</v>
      </c>
      <c r="W19" s="19">
        <f>+SUM(I6:I9)</f>
        <v>70379.327446659474</v>
      </c>
      <c r="X19" s="35">
        <f>+SUM(O6:O9)</f>
        <v>70941.83</v>
      </c>
      <c r="Z19" s="23"/>
      <c r="AB19" s="25" t="s">
        <v>22</v>
      </c>
      <c r="AE19" s="24"/>
    </row>
    <row r="20" spans="1:31" ht="15.75" thickBot="1" x14ac:dyDescent="0.3">
      <c r="A20" s="1"/>
      <c r="B20" s="1"/>
      <c r="C20" s="1"/>
      <c r="E20" s="2"/>
      <c r="F20" s="3"/>
      <c r="G20" s="4"/>
      <c r="H20" s="3"/>
      <c r="I20" s="4"/>
      <c r="J20" s="5"/>
      <c r="K20" s="4"/>
      <c r="L20" s="6"/>
      <c r="M20" s="4"/>
      <c r="N20" s="4"/>
      <c r="O20" s="4"/>
      <c r="T20" s="16">
        <f>+T19+1</f>
        <v>45623</v>
      </c>
      <c r="U20" s="17">
        <f>+SUM(E10:E12)*0.5</f>
        <v>750</v>
      </c>
      <c r="V20" s="17">
        <f>+SUM(E10:E12)*0.025</f>
        <v>37.5</v>
      </c>
      <c r="W20" s="19">
        <f>+SUM(I10:I12)</f>
        <v>70379.327446659474</v>
      </c>
      <c r="X20" s="35">
        <f>SUM(O10:O12)</f>
        <v>71166.83</v>
      </c>
      <c r="Z20" s="23"/>
      <c r="AE20" s="24"/>
    </row>
    <row r="21" spans="1:31" ht="15.75" thickBot="1" x14ac:dyDescent="0.3">
      <c r="B21" s="1"/>
      <c r="C21" s="1"/>
      <c r="E21" s="2"/>
      <c r="F21" s="3"/>
      <c r="G21" s="4"/>
      <c r="H21" s="3"/>
      <c r="I21" s="4"/>
      <c r="J21" s="5"/>
      <c r="K21" s="4"/>
      <c r="L21" s="6"/>
      <c r="M21" s="4"/>
      <c r="N21" s="4"/>
      <c r="O21" s="4"/>
      <c r="T21" s="16">
        <f>+T20+1</f>
        <v>45624</v>
      </c>
      <c r="U21" s="17">
        <f>+SUM(E13:E15)*0.35</f>
        <v>525</v>
      </c>
      <c r="V21" s="17">
        <f>+SUM(E13:E15)*0.025</f>
        <v>37.5</v>
      </c>
      <c r="W21" s="19">
        <f>+SUM(I13:I15)</f>
        <v>68538.67667435309</v>
      </c>
      <c r="X21" s="35">
        <f>+SUM(O13:O15)</f>
        <v>69101.179999999993</v>
      </c>
      <c r="Z21" s="23"/>
      <c r="AA21" s="26" t="s">
        <v>23</v>
      </c>
      <c r="AB21" s="25" t="s">
        <v>24</v>
      </c>
      <c r="AC21" s="25" t="s">
        <v>25</v>
      </c>
      <c r="AD21" s="25" t="s">
        <v>26</v>
      </c>
      <c r="AE21" s="24"/>
    </row>
    <row r="22" spans="1:31" ht="15.75" thickBot="1" x14ac:dyDescent="0.3">
      <c r="B22" s="1"/>
      <c r="C22" s="1"/>
      <c r="E22" s="2"/>
      <c r="F22" s="3"/>
      <c r="G22" s="4"/>
      <c r="H22" s="3"/>
      <c r="I22" s="4"/>
      <c r="J22" s="5"/>
      <c r="K22" s="4"/>
      <c r="L22" s="6"/>
      <c r="M22" s="4"/>
      <c r="N22" s="4"/>
      <c r="O22" s="4"/>
      <c r="T22" s="16"/>
      <c r="U22" s="38"/>
      <c r="V22" s="17"/>
      <c r="W22" s="19"/>
      <c r="X22" s="35"/>
      <c r="Z22" s="23"/>
      <c r="AA22">
        <v>1</v>
      </c>
      <c r="AB22" t="s">
        <v>29</v>
      </c>
      <c r="AC22">
        <v>1</v>
      </c>
      <c r="AD22" s="27">
        <f>SUM(I6:I14)</f>
        <v>209297.33156767205</v>
      </c>
      <c r="AE22" s="24"/>
    </row>
    <row r="23" spans="1:31" ht="15.75" thickBot="1" x14ac:dyDescent="0.3">
      <c r="B23" s="1"/>
      <c r="C23" s="1"/>
      <c r="E23" s="2"/>
      <c r="F23" s="3"/>
      <c r="G23" s="4"/>
      <c r="H23" s="3"/>
      <c r="I23" s="4"/>
      <c r="J23" s="5"/>
      <c r="K23" s="4"/>
      <c r="L23" s="6"/>
      <c r="M23" s="4"/>
      <c r="N23" s="4"/>
      <c r="T23" s="18" t="s">
        <v>18</v>
      </c>
      <c r="U23" s="36">
        <f>+SUM(U19:U22)</f>
        <v>1800</v>
      </c>
      <c r="V23" s="36">
        <f>+SUM(V19:V22)</f>
        <v>112.5</v>
      </c>
      <c r="W23" s="20">
        <f>+SUM(W19:W22)</f>
        <v>209297.33156767202</v>
      </c>
      <c r="X23" s="20">
        <f>+SUM(X19:X22)</f>
        <v>211209.84</v>
      </c>
      <c r="Z23" s="23"/>
      <c r="AA23">
        <v>2</v>
      </c>
      <c r="AB23" s="28" t="str">
        <f>+"Service Fee "</f>
        <v xml:space="preserve">Service Fee </v>
      </c>
      <c r="AC23">
        <v>1</v>
      </c>
      <c r="AD23" s="29">
        <f>0.35*3000+1500*0.5</f>
        <v>1800</v>
      </c>
      <c r="AE23" s="24"/>
    </row>
    <row r="24" spans="1:31" x14ac:dyDescent="0.25">
      <c r="B24" s="1"/>
      <c r="C24" s="1"/>
      <c r="E24" s="2"/>
      <c r="F24" s="3"/>
      <c r="G24" s="4"/>
      <c r="H24" s="3"/>
      <c r="I24" s="4"/>
      <c r="J24" s="5"/>
      <c r="K24" s="4"/>
      <c r="L24" s="6"/>
      <c r="M24" s="4"/>
      <c r="N24" s="4"/>
      <c r="Z24" s="23"/>
      <c r="AA24">
        <v>3</v>
      </c>
      <c r="AB24" s="28" t="str">
        <f>+"BGH Fee "&amp;V25&amp;"*0,025"</f>
        <v>BGH Fee 4500*0,025</v>
      </c>
      <c r="AC24">
        <v>1</v>
      </c>
      <c r="AD24" s="29">
        <f>0.025*V25</f>
        <v>112.5</v>
      </c>
      <c r="AE24" s="24"/>
    </row>
    <row r="25" spans="1:31" x14ac:dyDescent="0.25">
      <c r="B25" s="1"/>
      <c r="C25" s="1"/>
      <c r="E25" s="2"/>
      <c r="F25" s="3"/>
      <c r="G25" s="4"/>
      <c r="H25" s="3"/>
      <c r="I25" s="4"/>
      <c r="J25" s="5"/>
      <c r="K25" s="4"/>
      <c r="L25" s="6"/>
      <c r="M25" s="4"/>
      <c r="N25" s="4"/>
      <c r="T25" t="s">
        <v>19</v>
      </c>
      <c r="V25" s="34">
        <f>+SUM(E6:E18)</f>
        <v>4500</v>
      </c>
      <c r="Z25" s="23"/>
      <c r="AE25" s="24"/>
    </row>
    <row r="26" spans="1:31" x14ac:dyDescent="0.25">
      <c r="B26" s="1"/>
      <c r="C26" s="1"/>
      <c r="E26" s="2"/>
      <c r="F26" s="3"/>
      <c r="G26" s="4"/>
      <c r="H26" s="3"/>
      <c r="I26" s="4"/>
      <c r="J26" s="5"/>
      <c r="K26" s="4"/>
      <c r="L26" s="6"/>
      <c r="M26" s="4"/>
      <c r="N26" s="4"/>
      <c r="T26" t="s">
        <v>21</v>
      </c>
      <c r="V26" s="4">
        <f>+X23</f>
        <v>211209.84</v>
      </c>
      <c r="Z26" s="23"/>
      <c r="AE26" s="24"/>
    </row>
    <row r="27" spans="1:31" x14ac:dyDescent="0.25">
      <c r="Z27" s="23"/>
      <c r="AC27" t="s">
        <v>27</v>
      </c>
      <c r="AD27" s="30">
        <f>SUM(AD22:AD24)</f>
        <v>211209.83156767205</v>
      </c>
      <c r="AE27" s="24"/>
    </row>
    <row r="28" spans="1:31" ht="15.75" thickBot="1" x14ac:dyDescent="0.3">
      <c r="Z28" s="31"/>
      <c r="AA28" s="32"/>
      <c r="AB28" s="32"/>
      <c r="AC28" s="32"/>
      <c r="AD28" s="32"/>
      <c r="AE28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Backoffice</cp:lastModifiedBy>
  <dcterms:created xsi:type="dcterms:W3CDTF">2024-10-07T07:58:07Z</dcterms:created>
  <dcterms:modified xsi:type="dcterms:W3CDTF">2024-11-29T10:08:33Z</dcterms:modified>
</cp:coreProperties>
</file>