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havesh\WFH-BHAVESH\"/>
    </mc:Choice>
  </mc:AlternateContent>
  <bookViews>
    <workbookView xWindow="0" yWindow="0" windowWidth="27945" windowHeight="12300" tabRatio="767" activeTab="12"/>
  </bookViews>
  <sheets>
    <sheet name="Yearly-View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definedNames>
    <definedName name="FirstWeekDay">'Yearly-View'!$G$7</definedName>
    <definedName name="FirstWeekDay2">'Yearly-View'!$A$7</definedName>
    <definedName name="Full_Day_Time">'Yearly-View'!$D$7</definedName>
    <definedName name="Half_Day_Time">'Yearly-View'!$D$8</definedName>
    <definedName name="hdate">'Yearly-View'!$P$6:$P$24</definedName>
    <definedName name="ldate">'Yearly-View'!$K$6:$K$24</definedName>
    <definedName name="Leave">'Yearly-View'!$K$6:$M$24</definedName>
    <definedName name="months">'Yearly-View'!$C$13:$C$24</definedName>
    <definedName name="notedates" localSheetId="10">'10'!$W$26:$X$33</definedName>
    <definedName name="notedates" localSheetId="11">'11'!$W$26:$X$33</definedName>
    <definedName name="notedates" localSheetId="12">'12'!$W$26:$X$33</definedName>
    <definedName name="notedates" localSheetId="2">'2'!$W$26:$X$33</definedName>
    <definedName name="notedates" localSheetId="3">'3'!$W$26:$X$33</definedName>
    <definedName name="notedates" localSheetId="4">'4'!$W$26:$X$33</definedName>
    <definedName name="notedates" localSheetId="5">'5'!$W$26:$X$33</definedName>
    <definedName name="notedates" localSheetId="6">'6'!$W$26:$X$33</definedName>
    <definedName name="notedates" localSheetId="7">'7'!$W$26:$X$33</definedName>
    <definedName name="notedates" localSheetId="8">'8'!$W$26:$X$33</definedName>
    <definedName name="notedates" localSheetId="9">'9'!$W$26:$X$33</definedName>
    <definedName name="notedates">'1'!$W$26:$X$33</definedName>
    <definedName name="notes" localSheetId="10">'10'!$W$26:$AC$33</definedName>
    <definedName name="notes" localSheetId="11">'11'!$W$26:$AC$33</definedName>
    <definedName name="notes" localSheetId="12">'12'!$W$26:$AC$33</definedName>
    <definedName name="notes" localSheetId="2">'2'!$W$26:$AC$33</definedName>
    <definedName name="notes" localSheetId="3">'3'!$W$26:$AC$33</definedName>
    <definedName name="notes" localSheetId="4">'4'!$W$26:$AC$33</definedName>
    <definedName name="notes" localSheetId="5">'5'!$W$26:$AC$33</definedName>
    <definedName name="notes" localSheetId="6">'6'!$W$26:$AC$33</definedName>
    <definedName name="notes" localSheetId="7">'7'!$W$26:$AC$33</definedName>
    <definedName name="notes" localSheetId="8">'8'!$W$26:$AC$33</definedName>
    <definedName name="notes" localSheetId="9">'9'!$W$26:$AC$33</definedName>
    <definedName name="notes">'1'!$W$26:$AC$33</definedName>
    <definedName name="tbl">'Yearly-View'!$P$6:$R$24</definedName>
    <definedName name="TotalLeave">'Yearly-View'!$J$25</definedName>
    <definedName name="WOFF1_CONFIG_NAME1">'Yearly-View'!$D$29</definedName>
    <definedName name="WOFF1_CONFIG_NAME2">'Yearly-View'!$D$30</definedName>
    <definedName name="WOFF1_CONFIG_NO1">'Yearly-View'!$E$29</definedName>
    <definedName name="WOFF1_CONFIG_NO2">'Yearly-View'!$E$30</definedName>
    <definedName name="WOFF1_DAYNAME">'Yearly-View'!$D$28</definedName>
    <definedName name="WOFF1_DAYNO">'Yearly-View'!$E$28</definedName>
    <definedName name="WOFF1_LASTDAYNO">'Yearly-View'!$D$31</definedName>
    <definedName name="WOFF1_SELECT">'Yearly-View'!$E$9</definedName>
    <definedName name="WOFF2_CONFIG_NAME1">'Yearly-View'!$F$29</definedName>
    <definedName name="WOFF2_CONFIG_NAME2">'Yearly-View'!$F$30</definedName>
    <definedName name="WOFF2_CONFIG_NO1">'Yearly-View'!$G$29</definedName>
    <definedName name="WOFF2_CONFIG_NO2">'Yearly-View'!$G$30</definedName>
    <definedName name="WOFF2_DAYNAME">'Yearly-View'!$F$28</definedName>
    <definedName name="WOFF2_DAYNO">'Yearly-View'!$G$28</definedName>
    <definedName name="WOFF2_LASTDAYNO">'Yearly-View'!$G$31</definedName>
    <definedName name="WOFF2_SELECT">'Yearly-View'!$E$10</definedName>
    <definedName name="year">'Yearly-View'!$B$5</definedName>
    <definedName name="Yearly_Leaves">'Yearly-View'!$G$8</definedName>
  </definedNames>
  <calcPr calcId="152511" concurrentCalc="0"/>
</workbook>
</file>

<file path=xl/calcChain.xml><?xml version="1.0" encoding="utf-8"?>
<calcChain xmlns="http://schemas.openxmlformats.org/spreadsheetml/2006/main">
  <c r="U37" i="13" l="1"/>
  <c r="U36" i="13"/>
  <c r="U35" i="13"/>
  <c r="U34" i="13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D28" i="1"/>
  <c r="F28" i="1"/>
  <c r="V33" i="13"/>
  <c r="U33" i="13"/>
  <c r="P33" i="13"/>
  <c r="R33" i="13"/>
  <c r="T33" i="13"/>
  <c r="O33" i="13"/>
  <c r="S33" i="13"/>
  <c r="Q33" i="13"/>
  <c r="B33" i="13"/>
  <c r="E28" i="1"/>
  <c r="E29" i="1" a="1"/>
  <c r="E29" i="1"/>
  <c r="E30" i="1"/>
  <c r="G28" i="1"/>
  <c r="G29" i="1" a="1"/>
  <c r="G29" i="1"/>
  <c r="G30" i="1"/>
  <c r="V32" i="13"/>
  <c r="U32" i="13"/>
  <c r="P32" i="13"/>
  <c r="R32" i="13"/>
  <c r="T32" i="13"/>
  <c r="O32" i="13"/>
  <c r="S32" i="13"/>
  <c r="Q32" i="13"/>
  <c r="B32" i="13"/>
  <c r="V31" i="13"/>
  <c r="U31" i="13"/>
  <c r="P31" i="13"/>
  <c r="R31" i="13"/>
  <c r="T31" i="13"/>
  <c r="O31" i="13"/>
  <c r="S31" i="13"/>
  <c r="Q31" i="13"/>
  <c r="B31" i="13"/>
  <c r="V30" i="13"/>
  <c r="U30" i="13"/>
  <c r="P30" i="13"/>
  <c r="R30" i="13"/>
  <c r="T30" i="13"/>
  <c r="O30" i="13"/>
  <c r="S30" i="13"/>
  <c r="Q30" i="13"/>
  <c r="B30" i="13"/>
  <c r="V29" i="13"/>
  <c r="U29" i="13"/>
  <c r="P29" i="13"/>
  <c r="R29" i="13"/>
  <c r="T29" i="13"/>
  <c r="O29" i="13"/>
  <c r="S29" i="13"/>
  <c r="Q29" i="13"/>
  <c r="B29" i="13"/>
  <c r="V28" i="13"/>
  <c r="U28" i="13"/>
  <c r="P28" i="13"/>
  <c r="R28" i="13"/>
  <c r="T28" i="13"/>
  <c r="O28" i="13"/>
  <c r="S28" i="13"/>
  <c r="Q28" i="13"/>
  <c r="B28" i="13"/>
  <c r="V27" i="13"/>
  <c r="U27" i="13"/>
  <c r="P27" i="13"/>
  <c r="R27" i="13"/>
  <c r="T27" i="13"/>
  <c r="O27" i="13"/>
  <c r="S27" i="13"/>
  <c r="Q27" i="13"/>
  <c r="B27" i="13"/>
  <c r="V26" i="13"/>
  <c r="U26" i="13"/>
  <c r="P26" i="13"/>
  <c r="R26" i="13"/>
  <c r="T26" i="13"/>
  <c r="O26" i="13"/>
  <c r="S26" i="13"/>
  <c r="Q26" i="13"/>
  <c r="B26" i="13"/>
  <c r="V25" i="13"/>
  <c r="U25" i="13"/>
  <c r="P25" i="13"/>
  <c r="R25" i="13"/>
  <c r="T25" i="13"/>
  <c r="O25" i="13"/>
  <c r="S25" i="13"/>
  <c r="Q25" i="13"/>
  <c r="B25" i="13"/>
  <c r="V24" i="13"/>
  <c r="U24" i="13"/>
  <c r="P24" i="13"/>
  <c r="R24" i="13"/>
  <c r="T24" i="13"/>
  <c r="O24" i="13"/>
  <c r="S24" i="13"/>
  <c r="Q24" i="13"/>
  <c r="B24" i="13"/>
  <c r="V23" i="13"/>
  <c r="U23" i="13"/>
  <c r="P23" i="13"/>
  <c r="R23" i="13"/>
  <c r="T23" i="13"/>
  <c r="O23" i="13"/>
  <c r="S23" i="13"/>
  <c r="Q23" i="13"/>
  <c r="B23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W22" i="13"/>
  <c r="V22" i="13"/>
  <c r="U22" i="13"/>
  <c r="P22" i="13"/>
  <c r="R22" i="13"/>
  <c r="T22" i="13"/>
  <c r="O22" i="13"/>
  <c r="S22" i="13"/>
  <c r="B22" i="13"/>
  <c r="P2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W21" i="13"/>
  <c r="V21" i="13"/>
  <c r="U21" i="13"/>
  <c r="T21" i="13"/>
  <c r="O21" i="13"/>
  <c r="S21" i="13"/>
  <c r="B21" i="13"/>
  <c r="W20" i="13"/>
  <c r="V20" i="13"/>
  <c r="U20" i="13"/>
  <c r="T20" i="13"/>
  <c r="O20" i="13"/>
  <c r="S20" i="13"/>
  <c r="B20" i="13"/>
  <c r="W19" i="13"/>
  <c r="V19" i="13"/>
  <c r="U19" i="13"/>
  <c r="T19" i="13"/>
  <c r="O19" i="13"/>
  <c r="S19" i="13"/>
  <c r="B19" i="13"/>
  <c r="V2" i="13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AD18" i="13"/>
  <c r="W18" i="13"/>
  <c r="U18" i="13"/>
  <c r="T18" i="13"/>
  <c r="O18" i="13"/>
  <c r="S18" i="13"/>
  <c r="B18" i="13"/>
  <c r="AD17" i="13"/>
  <c r="W17" i="13"/>
  <c r="U17" i="13"/>
  <c r="T17" i="13"/>
  <c r="O17" i="13"/>
  <c r="S17" i="13"/>
  <c r="B17" i="13"/>
  <c r="AD16" i="13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W16" i="13"/>
  <c r="U16" i="13"/>
  <c r="T16" i="13"/>
  <c r="S16" i="13"/>
  <c r="B16" i="13"/>
  <c r="AD15" i="1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W15" i="13"/>
  <c r="U15" i="13"/>
  <c r="T15" i="13"/>
  <c r="S15" i="13"/>
  <c r="B15" i="13"/>
  <c r="AD14" i="13"/>
  <c r="W14" i="13"/>
  <c r="U14" i="13"/>
  <c r="T14" i="13"/>
  <c r="S14" i="13"/>
  <c r="B14" i="13"/>
  <c r="AD13" i="13"/>
  <c r="W13" i="13"/>
  <c r="U13" i="13"/>
  <c r="T13" i="13"/>
  <c r="S13" i="13"/>
  <c r="B13" i="13"/>
  <c r="W12" i="13"/>
  <c r="U12" i="13"/>
  <c r="T12" i="13"/>
  <c r="S12" i="13"/>
  <c r="B12" i="13"/>
  <c r="U11" i="13"/>
  <c r="T11" i="13"/>
  <c r="S11" i="13"/>
  <c r="B11" i="13"/>
  <c r="U10" i="13"/>
  <c r="T10" i="13"/>
  <c r="S10" i="13"/>
  <c r="B10" i="13"/>
  <c r="W9" i="13"/>
  <c r="U9" i="13"/>
  <c r="T9" i="13"/>
  <c r="S9" i="13"/>
  <c r="B9" i="13"/>
  <c r="U8" i="13"/>
  <c r="T8" i="13"/>
  <c r="S8" i="13"/>
  <c r="B8" i="13"/>
  <c r="U7" i="13"/>
  <c r="T7" i="13"/>
  <c r="S7" i="13"/>
  <c r="B7" i="13"/>
  <c r="U6" i="13"/>
  <c r="T6" i="13"/>
  <c r="S6" i="13"/>
  <c r="B6" i="13"/>
  <c r="U5" i="13"/>
  <c r="T5" i="13"/>
  <c r="S5" i="13"/>
  <c r="B5" i="13"/>
  <c r="U4" i="13"/>
  <c r="T4" i="13"/>
  <c r="S4" i="13"/>
  <c r="B4" i="13"/>
  <c r="W1" i="13"/>
  <c r="A7" i="1"/>
  <c r="AC1" i="13" a="1"/>
  <c r="AC1" i="13"/>
  <c r="W3" i="13" a="1"/>
  <c r="X3" i="13"/>
  <c r="Y3" i="13"/>
  <c r="Z3" i="13"/>
  <c r="AA3" i="13"/>
  <c r="AB3" i="13"/>
  <c r="AC3" i="13"/>
  <c r="W4" i="13"/>
  <c r="X4" i="13"/>
  <c r="Y4" i="13"/>
  <c r="Z4" i="13"/>
  <c r="AA4" i="13"/>
  <c r="AB4" i="13"/>
  <c r="AC4" i="13"/>
  <c r="W5" i="13"/>
  <c r="X5" i="13"/>
  <c r="Y5" i="13"/>
  <c r="Z5" i="13"/>
  <c r="AA5" i="13"/>
  <c r="AB5" i="13"/>
  <c r="AC5" i="13"/>
  <c r="W6" i="13"/>
  <c r="X6" i="13"/>
  <c r="Y6" i="13"/>
  <c r="Z6" i="13"/>
  <c r="AA6" i="13"/>
  <c r="AB6" i="13"/>
  <c r="AC6" i="13"/>
  <c r="W7" i="13"/>
  <c r="X7" i="13"/>
  <c r="Y7" i="13"/>
  <c r="Z7" i="13"/>
  <c r="AA7" i="13"/>
  <c r="AB7" i="13"/>
  <c r="AC7" i="13"/>
  <c r="W8" i="13"/>
  <c r="X8" i="13"/>
  <c r="Y8" i="13"/>
  <c r="Z8" i="13"/>
  <c r="AA8" i="13"/>
  <c r="AB8" i="13"/>
  <c r="AC8" i="13"/>
  <c r="W3" i="13"/>
  <c r="U3" i="13"/>
  <c r="T3" i="13"/>
  <c r="S3" i="13"/>
  <c r="B3" i="13"/>
  <c r="W2" i="13" a="1"/>
  <c r="X2" i="13"/>
  <c r="Y2" i="13"/>
  <c r="Z2" i="13"/>
  <c r="AA2" i="13"/>
  <c r="AB2" i="13"/>
  <c r="AC2" i="13"/>
  <c r="W2" i="13"/>
  <c r="U2" i="13"/>
  <c r="T2" i="13"/>
  <c r="S2" i="13"/>
  <c r="B2" i="13"/>
  <c r="X1" i="13"/>
  <c r="U37" i="12"/>
  <c r="U36" i="12"/>
  <c r="U35" i="12"/>
  <c r="U34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V33" i="12"/>
  <c r="U33" i="12"/>
  <c r="P33" i="12"/>
  <c r="R33" i="12"/>
  <c r="T33" i="12"/>
  <c r="O33" i="12"/>
  <c r="S33" i="12"/>
  <c r="Q33" i="12"/>
  <c r="B33" i="12"/>
  <c r="V32" i="12"/>
  <c r="U32" i="12"/>
  <c r="P32" i="12"/>
  <c r="R32" i="12"/>
  <c r="T32" i="12"/>
  <c r="O32" i="12"/>
  <c r="S32" i="12"/>
  <c r="Q32" i="12"/>
  <c r="B32" i="12"/>
  <c r="V31" i="12"/>
  <c r="U31" i="12"/>
  <c r="P31" i="12"/>
  <c r="R31" i="12"/>
  <c r="T31" i="12"/>
  <c r="O31" i="12"/>
  <c r="S31" i="12"/>
  <c r="Q31" i="12"/>
  <c r="B31" i="12"/>
  <c r="V30" i="12"/>
  <c r="U30" i="12"/>
  <c r="P30" i="12"/>
  <c r="R30" i="12"/>
  <c r="T30" i="12"/>
  <c r="O30" i="12"/>
  <c r="S30" i="12"/>
  <c r="Q30" i="12"/>
  <c r="B30" i="12"/>
  <c r="V29" i="12"/>
  <c r="U29" i="12"/>
  <c r="P29" i="12"/>
  <c r="R29" i="12"/>
  <c r="T29" i="12"/>
  <c r="O29" i="12"/>
  <c r="S29" i="12"/>
  <c r="Q29" i="12"/>
  <c r="B29" i="12"/>
  <c r="V28" i="12"/>
  <c r="U28" i="12"/>
  <c r="P28" i="12"/>
  <c r="R28" i="12"/>
  <c r="T28" i="12"/>
  <c r="O28" i="12"/>
  <c r="S28" i="12"/>
  <c r="Q28" i="12"/>
  <c r="B28" i="12"/>
  <c r="V27" i="12"/>
  <c r="U27" i="12"/>
  <c r="P27" i="12"/>
  <c r="R27" i="12"/>
  <c r="T27" i="12"/>
  <c r="O27" i="12"/>
  <c r="S27" i="12"/>
  <c r="Q27" i="12"/>
  <c r="B27" i="12"/>
  <c r="V26" i="12"/>
  <c r="U26" i="12"/>
  <c r="P26" i="12"/>
  <c r="R26" i="12"/>
  <c r="T26" i="12"/>
  <c r="O26" i="12"/>
  <c r="S26" i="12"/>
  <c r="Q26" i="12"/>
  <c r="B26" i="12"/>
  <c r="V25" i="12"/>
  <c r="U25" i="12"/>
  <c r="P25" i="12"/>
  <c r="R25" i="12"/>
  <c r="T25" i="12"/>
  <c r="O25" i="12"/>
  <c r="S25" i="12"/>
  <c r="Q25" i="12"/>
  <c r="B25" i="12"/>
  <c r="V24" i="12"/>
  <c r="U24" i="12"/>
  <c r="P24" i="12"/>
  <c r="R24" i="12"/>
  <c r="T24" i="12"/>
  <c r="O24" i="12"/>
  <c r="S24" i="12"/>
  <c r="Q24" i="12"/>
  <c r="B24" i="12"/>
  <c r="V23" i="12"/>
  <c r="U23" i="12"/>
  <c r="P23" i="12"/>
  <c r="R23" i="12"/>
  <c r="T23" i="12"/>
  <c r="O23" i="12"/>
  <c r="S23" i="12"/>
  <c r="Q23" i="12"/>
  <c r="B23" i="12"/>
  <c r="Q2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W22" i="12"/>
  <c r="V22" i="12"/>
  <c r="U22" i="12"/>
  <c r="P22" i="12"/>
  <c r="R22" i="12"/>
  <c r="T22" i="12"/>
  <c r="O22" i="12"/>
  <c r="S22" i="12"/>
  <c r="B22" i="12"/>
  <c r="P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R2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W21" i="12"/>
  <c r="V21" i="12"/>
  <c r="U21" i="12"/>
  <c r="T21" i="12"/>
  <c r="O21" i="12"/>
  <c r="S21" i="12"/>
  <c r="B21" i="12"/>
  <c r="W20" i="12"/>
  <c r="V20" i="12"/>
  <c r="U20" i="12"/>
  <c r="T20" i="12"/>
  <c r="O20" i="12"/>
  <c r="S20" i="12"/>
  <c r="B20" i="12"/>
  <c r="W19" i="12"/>
  <c r="V19" i="12"/>
  <c r="U19" i="12"/>
  <c r="T19" i="12"/>
  <c r="O19" i="12"/>
  <c r="S19" i="12"/>
  <c r="B19" i="12"/>
  <c r="V2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AD18" i="12"/>
  <c r="W18" i="12"/>
  <c r="U18" i="12"/>
  <c r="T18" i="12"/>
  <c r="O18" i="12"/>
  <c r="S18" i="12"/>
  <c r="B18" i="12"/>
  <c r="AD17" i="12"/>
  <c r="W17" i="12"/>
  <c r="U17" i="12"/>
  <c r="T17" i="12"/>
  <c r="O17" i="12"/>
  <c r="S17" i="12"/>
  <c r="B17" i="12"/>
  <c r="AD16" i="12"/>
  <c r="O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W16" i="12"/>
  <c r="U16" i="12"/>
  <c r="T16" i="12"/>
  <c r="S16" i="12"/>
  <c r="B16" i="12"/>
  <c r="AD15" i="12"/>
  <c r="W15" i="12"/>
  <c r="U15" i="12"/>
  <c r="T15" i="12"/>
  <c r="S15" i="12"/>
  <c r="B15" i="12"/>
  <c r="AD14" i="12"/>
  <c r="W14" i="12"/>
  <c r="U14" i="12"/>
  <c r="T14" i="12"/>
  <c r="S14" i="12"/>
  <c r="B14" i="12"/>
  <c r="AD13" i="12"/>
  <c r="W13" i="12"/>
  <c r="U13" i="12"/>
  <c r="T13" i="12"/>
  <c r="S13" i="12"/>
  <c r="B13" i="12"/>
  <c r="W12" i="12"/>
  <c r="U12" i="12"/>
  <c r="T12" i="12"/>
  <c r="S12" i="12"/>
  <c r="B12" i="12"/>
  <c r="U11" i="12"/>
  <c r="T11" i="12"/>
  <c r="S11" i="12"/>
  <c r="B11" i="12"/>
  <c r="U10" i="12"/>
  <c r="T10" i="12"/>
  <c r="S10" i="12"/>
  <c r="B10" i="12"/>
  <c r="W9" i="12"/>
  <c r="U9" i="12"/>
  <c r="T9" i="12"/>
  <c r="S9" i="12"/>
  <c r="B9" i="12"/>
  <c r="U8" i="12"/>
  <c r="T8" i="12"/>
  <c r="S8" i="12"/>
  <c r="B8" i="12"/>
  <c r="U7" i="12"/>
  <c r="T7" i="12"/>
  <c r="S7" i="12"/>
  <c r="B7" i="12"/>
  <c r="U6" i="12"/>
  <c r="T6" i="12"/>
  <c r="S6" i="12"/>
  <c r="B6" i="12"/>
  <c r="U5" i="12"/>
  <c r="T5" i="12"/>
  <c r="S5" i="12"/>
  <c r="B5" i="12"/>
  <c r="U4" i="12"/>
  <c r="T4" i="12"/>
  <c r="S4" i="12"/>
  <c r="B4" i="12"/>
  <c r="W1" i="12"/>
  <c r="AC1" i="12" a="1"/>
  <c r="AC1" i="12"/>
  <c r="W3" i="12" a="1"/>
  <c r="X3" i="12"/>
  <c r="Y3" i="12"/>
  <c r="Z3" i="12"/>
  <c r="AA3" i="12"/>
  <c r="AB3" i="12"/>
  <c r="AC3" i="12"/>
  <c r="W4" i="12"/>
  <c r="X4" i="12"/>
  <c r="Y4" i="12"/>
  <c r="Z4" i="12"/>
  <c r="AA4" i="12"/>
  <c r="AB4" i="12"/>
  <c r="AC4" i="12"/>
  <c r="W5" i="12"/>
  <c r="X5" i="12"/>
  <c r="Y5" i="12"/>
  <c r="Z5" i="12"/>
  <c r="AA5" i="12"/>
  <c r="AB5" i="12"/>
  <c r="AC5" i="12"/>
  <c r="W6" i="12"/>
  <c r="X6" i="12"/>
  <c r="Y6" i="12"/>
  <c r="Z6" i="12"/>
  <c r="AA6" i="12"/>
  <c r="AB6" i="12"/>
  <c r="AC6" i="12"/>
  <c r="W7" i="12"/>
  <c r="X7" i="12"/>
  <c r="Y7" i="12"/>
  <c r="Z7" i="12"/>
  <c r="AA7" i="12"/>
  <c r="AB7" i="12"/>
  <c r="AC7" i="12"/>
  <c r="W8" i="12"/>
  <c r="X8" i="12"/>
  <c r="Y8" i="12"/>
  <c r="Z8" i="12"/>
  <c r="AA8" i="12"/>
  <c r="AB8" i="12"/>
  <c r="AC8" i="12"/>
  <c r="W3" i="12"/>
  <c r="U3" i="12"/>
  <c r="T3" i="12"/>
  <c r="S3" i="12"/>
  <c r="B3" i="12"/>
  <c r="W2" i="12" a="1"/>
  <c r="X2" i="12"/>
  <c r="Y2" i="12"/>
  <c r="Z2" i="12"/>
  <c r="AA2" i="12"/>
  <c r="AB2" i="12"/>
  <c r="AC2" i="12"/>
  <c r="W2" i="12"/>
  <c r="U2" i="12"/>
  <c r="T2" i="12"/>
  <c r="S2" i="12"/>
  <c r="B2" i="12"/>
  <c r="X1" i="12"/>
  <c r="U37" i="11"/>
  <c r="U36" i="11"/>
  <c r="U35" i="11"/>
  <c r="U34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V33" i="11"/>
  <c r="U33" i="11"/>
  <c r="P33" i="11"/>
  <c r="R33" i="11"/>
  <c r="T33" i="11"/>
  <c r="O33" i="11"/>
  <c r="S33" i="11"/>
  <c r="Q33" i="11"/>
  <c r="B33" i="11"/>
  <c r="V32" i="11"/>
  <c r="U32" i="11"/>
  <c r="P32" i="11"/>
  <c r="R32" i="11"/>
  <c r="T32" i="11"/>
  <c r="O32" i="11"/>
  <c r="S32" i="11"/>
  <c r="Q32" i="11"/>
  <c r="B32" i="11"/>
  <c r="V31" i="11"/>
  <c r="U31" i="11"/>
  <c r="P31" i="11"/>
  <c r="R31" i="11"/>
  <c r="T31" i="11"/>
  <c r="O31" i="11"/>
  <c r="S31" i="11"/>
  <c r="Q31" i="11"/>
  <c r="B31" i="11"/>
  <c r="V30" i="11"/>
  <c r="U30" i="11"/>
  <c r="P30" i="11"/>
  <c r="R30" i="11"/>
  <c r="T30" i="11"/>
  <c r="O30" i="11"/>
  <c r="S30" i="11"/>
  <c r="Q30" i="11"/>
  <c r="B30" i="11"/>
  <c r="V29" i="11"/>
  <c r="U29" i="11"/>
  <c r="P29" i="11"/>
  <c r="R29" i="11"/>
  <c r="T29" i="11"/>
  <c r="O29" i="11"/>
  <c r="S29" i="11"/>
  <c r="Q29" i="11"/>
  <c r="B29" i="11"/>
  <c r="V28" i="11"/>
  <c r="U28" i="11"/>
  <c r="P28" i="11"/>
  <c r="R28" i="11"/>
  <c r="T28" i="11"/>
  <c r="O28" i="11"/>
  <c r="S28" i="11"/>
  <c r="Q28" i="11"/>
  <c r="B28" i="11"/>
  <c r="V27" i="11"/>
  <c r="U27" i="11"/>
  <c r="P27" i="11"/>
  <c r="R27" i="11"/>
  <c r="T27" i="11"/>
  <c r="O27" i="11"/>
  <c r="S27" i="11"/>
  <c r="Q27" i="11"/>
  <c r="B27" i="11"/>
  <c r="V26" i="11"/>
  <c r="U26" i="11"/>
  <c r="P26" i="11"/>
  <c r="R26" i="11"/>
  <c r="T26" i="11"/>
  <c r="O26" i="11"/>
  <c r="S26" i="11"/>
  <c r="Q26" i="11"/>
  <c r="B26" i="11"/>
  <c r="V25" i="11"/>
  <c r="U25" i="11"/>
  <c r="P25" i="11"/>
  <c r="R25" i="11"/>
  <c r="T25" i="11"/>
  <c r="O25" i="11"/>
  <c r="S25" i="11"/>
  <c r="Q25" i="11"/>
  <c r="B25" i="11"/>
  <c r="V24" i="11"/>
  <c r="U24" i="11"/>
  <c r="P24" i="11"/>
  <c r="R24" i="11"/>
  <c r="T24" i="11"/>
  <c r="O24" i="11"/>
  <c r="S24" i="11"/>
  <c r="Q24" i="11"/>
  <c r="B24" i="11"/>
  <c r="V23" i="11"/>
  <c r="U23" i="11"/>
  <c r="P23" i="11"/>
  <c r="R23" i="11"/>
  <c r="T23" i="11"/>
  <c r="O23" i="11"/>
  <c r="S23" i="11"/>
  <c r="Q23" i="11"/>
  <c r="B23" i="11"/>
  <c r="Q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W22" i="11"/>
  <c r="V22" i="11"/>
  <c r="U22" i="11"/>
  <c r="P22" i="11"/>
  <c r="R22" i="11"/>
  <c r="T22" i="11"/>
  <c r="O22" i="11"/>
  <c r="S22" i="11"/>
  <c r="B22" i="11"/>
  <c r="P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W21" i="11"/>
  <c r="V21" i="11"/>
  <c r="U21" i="11"/>
  <c r="T21" i="11"/>
  <c r="O21" i="11"/>
  <c r="S21" i="11"/>
  <c r="B21" i="11"/>
  <c r="W20" i="11"/>
  <c r="V20" i="11"/>
  <c r="U20" i="11"/>
  <c r="T20" i="11"/>
  <c r="O20" i="11"/>
  <c r="S20" i="11"/>
  <c r="B20" i="11"/>
  <c r="W19" i="11"/>
  <c r="V19" i="11"/>
  <c r="U19" i="11"/>
  <c r="T19" i="11"/>
  <c r="O19" i="11"/>
  <c r="S19" i="11"/>
  <c r="B19" i="11"/>
  <c r="V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AD18" i="11"/>
  <c r="W18" i="11"/>
  <c r="U18" i="11"/>
  <c r="T18" i="11"/>
  <c r="O18" i="11"/>
  <c r="S18" i="11"/>
  <c r="B18" i="11"/>
  <c r="AD17" i="11"/>
  <c r="W17" i="11"/>
  <c r="U17" i="11"/>
  <c r="T17" i="11"/>
  <c r="O17" i="11"/>
  <c r="S17" i="11"/>
  <c r="B17" i="11"/>
  <c r="AD16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W16" i="11"/>
  <c r="U16" i="11"/>
  <c r="T16" i="11"/>
  <c r="S16" i="11"/>
  <c r="B16" i="11"/>
  <c r="AD15" i="11"/>
  <c r="W15" i="11"/>
  <c r="U15" i="11"/>
  <c r="T15" i="11"/>
  <c r="S15" i="11"/>
  <c r="B15" i="11"/>
  <c r="AD14" i="11"/>
  <c r="W14" i="11"/>
  <c r="U14" i="11"/>
  <c r="T14" i="11"/>
  <c r="S14" i="11"/>
  <c r="B14" i="11"/>
  <c r="AD13" i="11"/>
  <c r="W13" i="11"/>
  <c r="U13" i="11"/>
  <c r="T13" i="11"/>
  <c r="S13" i="11"/>
  <c r="B13" i="11"/>
  <c r="W12" i="11"/>
  <c r="U12" i="11"/>
  <c r="T12" i="11"/>
  <c r="S12" i="11"/>
  <c r="B12" i="11"/>
  <c r="U11" i="11"/>
  <c r="T11" i="11"/>
  <c r="S11" i="11"/>
  <c r="B11" i="11"/>
  <c r="U10" i="11"/>
  <c r="T10" i="11"/>
  <c r="S10" i="11"/>
  <c r="B10" i="11"/>
  <c r="W9" i="11"/>
  <c r="U9" i="11"/>
  <c r="T9" i="11"/>
  <c r="S9" i="11"/>
  <c r="B9" i="11"/>
  <c r="U8" i="11"/>
  <c r="T8" i="11"/>
  <c r="S8" i="11"/>
  <c r="B8" i="11"/>
  <c r="U7" i="11"/>
  <c r="T7" i="11"/>
  <c r="S7" i="11"/>
  <c r="B7" i="11"/>
  <c r="U6" i="11"/>
  <c r="T6" i="11"/>
  <c r="S6" i="11"/>
  <c r="B6" i="11"/>
  <c r="U5" i="11"/>
  <c r="T5" i="11"/>
  <c r="S5" i="11"/>
  <c r="B5" i="11"/>
  <c r="U4" i="11"/>
  <c r="T4" i="11"/>
  <c r="S4" i="11"/>
  <c r="B4" i="11"/>
  <c r="W1" i="11"/>
  <c r="AC1" i="11" a="1"/>
  <c r="AC1" i="11"/>
  <c r="W3" i="11" a="1"/>
  <c r="X3" i="11"/>
  <c r="Y3" i="11"/>
  <c r="Z3" i="11"/>
  <c r="AA3" i="11"/>
  <c r="AB3" i="11"/>
  <c r="AC3" i="11"/>
  <c r="W4" i="11"/>
  <c r="X4" i="11"/>
  <c r="Y4" i="11"/>
  <c r="Z4" i="11"/>
  <c r="AA4" i="11"/>
  <c r="AB4" i="11"/>
  <c r="AC4" i="11"/>
  <c r="W5" i="11"/>
  <c r="X5" i="11"/>
  <c r="Y5" i="11"/>
  <c r="Z5" i="11"/>
  <c r="AA5" i="11"/>
  <c r="AB5" i="11"/>
  <c r="AC5" i="11"/>
  <c r="W6" i="11"/>
  <c r="X6" i="11"/>
  <c r="Y6" i="11"/>
  <c r="Z6" i="11"/>
  <c r="AA6" i="11"/>
  <c r="AB6" i="11"/>
  <c r="AC6" i="11"/>
  <c r="W7" i="11"/>
  <c r="X7" i="11"/>
  <c r="Y7" i="11"/>
  <c r="Z7" i="11"/>
  <c r="AA7" i="11"/>
  <c r="AB7" i="11"/>
  <c r="AC7" i="11"/>
  <c r="W8" i="11"/>
  <c r="X8" i="11"/>
  <c r="Y8" i="11"/>
  <c r="Z8" i="11"/>
  <c r="AA8" i="11"/>
  <c r="AB8" i="11"/>
  <c r="AC8" i="11"/>
  <c r="W3" i="11"/>
  <c r="U3" i="11"/>
  <c r="T3" i="11"/>
  <c r="S3" i="11"/>
  <c r="B3" i="11"/>
  <c r="W2" i="11" a="1"/>
  <c r="X2" i="11"/>
  <c r="Y2" i="11"/>
  <c r="Z2" i="11"/>
  <c r="AA2" i="11"/>
  <c r="AB2" i="11"/>
  <c r="AC2" i="11"/>
  <c r="W2" i="11"/>
  <c r="U2" i="11"/>
  <c r="T2" i="11"/>
  <c r="S2" i="11"/>
  <c r="B2" i="11"/>
  <c r="X1" i="11"/>
  <c r="U37" i="10"/>
  <c r="U36" i="10"/>
  <c r="U35" i="10"/>
  <c r="U34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V33" i="10"/>
  <c r="U33" i="10"/>
  <c r="P33" i="10"/>
  <c r="R33" i="10"/>
  <c r="T33" i="10"/>
  <c r="O33" i="10"/>
  <c r="S33" i="10"/>
  <c r="Q33" i="10"/>
  <c r="B33" i="10"/>
  <c r="V32" i="10"/>
  <c r="U32" i="10"/>
  <c r="P32" i="10"/>
  <c r="R32" i="10"/>
  <c r="T32" i="10"/>
  <c r="O32" i="10"/>
  <c r="S32" i="10"/>
  <c r="Q32" i="10"/>
  <c r="B32" i="10"/>
  <c r="V31" i="10"/>
  <c r="U31" i="10"/>
  <c r="P31" i="10"/>
  <c r="R31" i="10"/>
  <c r="T31" i="10"/>
  <c r="O31" i="10"/>
  <c r="S31" i="10"/>
  <c r="Q31" i="10"/>
  <c r="B31" i="10"/>
  <c r="V30" i="10"/>
  <c r="U30" i="10"/>
  <c r="P30" i="10"/>
  <c r="R30" i="10"/>
  <c r="T30" i="10"/>
  <c r="O30" i="10"/>
  <c r="S30" i="10"/>
  <c r="Q30" i="10"/>
  <c r="B30" i="10"/>
  <c r="V29" i="10"/>
  <c r="U29" i="10"/>
  <c r="P29" i="10"/>
  <c r="R29" i="10"/>
  <c r="T29" i="10"/>
  <c r="O29" i="10"/>
  <c r="S29" i="10"/>
  <c r="Q29" i="10"/>
  <c r="B29" i="10"/>
  <c r="V28" i="10"/>
  <c r="U28" i="10"/>
  <c r="P28" i="10"/>
  <c r="R28" i="10"/>
  <c r="T28" i="10"/>
  <c r="O28" i="10"/>
  <c r="S28" i="10"/>
  <c r="Q28" i="10"/>
  <c r="B28" i="10"/>
  <c r="V27" i="10"/>
  <c r="U27" i="10"/>
  <c r="P27" i="10"/>
  <c r="R27" i="10"/>
  <c r="T27" i="10"/>
  <c r="O27" i="10"/>
  <c r="S27" i="10"/>
  <c r="Q27" i="10"/>
  <c r="B27" i="10"/>
  <c r="V26" i="10"/>
  <c r="U26" i="10"/>
  <c r="P26" i="10"/>
  <c r="R26" i="10"/>
  <c r="T26" i="10"/>
  <c r="O26" i="10"/>
  <c r="S26" i="10"/>
  <c r="Q26" i="10"/>
  <c r="B26" i="10"/>
  <c r="V25" i="10"/>
  <c r="U25" i="10"/>
  <c r="P25" i="10"/>
  <c r="R25" i="10"/>
  <c r="T25" i="10"/>
  <c r="O25" i="10"/>
  <c r="S25" i="10"/>
  <c r="Q25" i="10"/>
  <c r="B25" i="10"/>
  <c r="V24" i="10"/>
  <c r="U24" i="10"/>
  <c r="P24" i="10"/>
  <c r="R24" i="10"/>
  <c r="T24" i="10"/>
  <c r="O24" i="10"/>
  <c r="S24" i="10"/>
  <c r="Q24" i="10"/>
  <c r="B24" i="10"/>
  <c r="V23" i="10"/>
  <c r="U23" i="10"/>
  <c r="P23" i="10"/>
  <c r="R23" i="10"/>
  <c r="T23" i="10"/>
  <c r="O23" i="10"/>
  <c r="S23" i="10"/>
  <c r="Q23" i="10"/>
  <c r="B23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W22" i="10"/>
  <c r="V22" i="10"/>
  <c r="U22" i="10"/>
  <c r="P22" i="10"/>
  <c r="R22" i="10"/>
  <c r="T22" i="10"/>
  <c r="O22" i="10"/>
  <c r="S22" i="10"/>
  <c r="B22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W21" i="10"/>
  <c r="V21" i="10"/>
  <c r="U21" i="10"/>
  <c r="T21" i="10"/>
  <c r="O21" i="10"/>
  <c r="S21" i="10"/>
  <c r="B21" i="10"/>
  <c r="W20" i="10"/>
  <c r="V20" i="10"/>
  <c r="U20" i="10"/>
  <c r="T20" i="10"/>
  <c r="O20" i="10"/>
  <c r="S20" i="10"/>
  <c r="B20" i="10"/>
  <c r="W19" i="10"/>
  <c r="V19" i="10"/>
  <c r="U19" i="10"/>
  <c r="T19" i="10"/>
  <c r="O19" i="10"/>
  <c r="S19" i="10"/>
  <c r="B19" i="10"/>
  <c r="V2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AD18" i="10"/>
  <c r="W18" i="10"/>
  <c r="U18" i="10"/>
  <c r="T18" i="10"/>
  <c r="O18" i="10"/>
  <c r="S18" i="10"/>
  <c r="B18" i="10"/>
  <c r="AD17" i="10"/>
  <c r="W17" i="10"/>
  <c r="U17" i="10"/>
  <c r="T17" i="10"/>
  <c r="O17" i="10"/>
  <c r="S17" i="10"/>
  <c r="B17" i="10"/>
  <c r="AD16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W16" i="10"/>
  <c r="U16" i="10"/>
  <c r="T16" i="10"/>
  <c r="S16" i="10"/>
  <c r="B16" i="10"/>
  <c r="AD15" i="10"/>
  <c r="W15" i="10"/>
  <c r="U15" i="10"/>
  <c r="T15" i="10"/>
  <c r="S15" i="10"/>
  <c r="B15" i="10"/>
  <c r="AD14" i="10"/>
  <c r="W14" i="10"/>
  <c r="U14" i="10"/>
  <c r="T14" i="10"/>
  <c r="S14" i="10"/>
  <c r="B14" i="10"/>
  <c r="AD13" i="10"/>
  <c r="W13" i="10"/>
  <c r="U13" i="10"/>
  <c r="T13" i="10"/>
  <c r="S13" i="10"/>
  <c r="B13" i="10"/>
  <c r="W12" i="10"/>
  <c r="U12" i="10"/>
  <c r="T12" i="10"/>
  <c r="S12" i="10"/>
  <c r="B12" i="10"/>
  <c r="U11" i="10"/>
  <c r="T11" i="10"/>
  <c r="S11" i="10"/>
  <c r="B11" i="10"/>
  <c r="U10" i="10"/>
  <c r="T10" i="10"/>
  <c r="S10" i="10"/>
  <c r="B10" i="10"/>
  <c r="W9" i="10"/>
  <c r="U9" i="10"/>
  <c r="T9" i="10"/>
  <c r="S9" i="10"/>
  <c r="B9" i="10"/>
  <c r="U8" i="10"/>
  <c r="T8" i="10"/>
  <c r="S8" i="10"/>
  <c r="B8" i="10"/>
  <c r="U7" i="10"/>
  <c r="T7" i="10"/>
  <c r="S7" i="10"/>
  <c r="B7" i="10"/>
  <c r="U6" i="10"/>
  <c r="T6" i="10"/>
  <c r="S6" i="10"/>
  <c r="B6" i="10"/>
  <c r="U5" i="10"/>
  <c r="T5" i="10"/>
  <c r="S5" i="10"/>
  <c r="B5" i="10"/>
  <c r="U4" i="10"/>
  <c r="T4" i="10"/>
  <c r="S4" i="10"/>
  <c r="B4" i="10"/>
  <c r="W1" i="10"/>
  <c r="AC1" i="10" a="1"/>
  <c r="AC1" i="10"/>
  <c r="W3" i="10" a="1"/>
  <c r="X3" i="10"/>
  <c r="Y3" i="10"/>
  <c r="Z3" i="10"/>
  <c r="AA3" i="10"/>
  <c r="AB3" i="10"/>
  <c r="AC3" i="10"/>
  <c r="W4" i="10"/>
  <c r="X4" i="10"/>
  <c r="Y4" i="10"/>
  <c r="Z4" i="10"/>
  <c r="AA4" i="10"/>
  <c r="AB4" i="10"/>
  <c r="AC4" i="10"/>
  <c r="W5" i="10"/>
  <c r="X5" i="10"/>
  <c r="Y5" i="10"/>
  <c r="Z5" i="10"/>
  <c r="AA5" i="10"/>
  <c r="AB5" i="10"/>
  <c r="AC5" i="10"/>
  <c r="W6" i="10"/>
  <c r="X6" i="10"/>
  <c r="Y6" i="10"/>
  <c r="Z6" i="10"/>
  <c r="AA6" i="10"/>
  <c r="AB6" i="10"/>
  <c r="AC6" i="10"/>
  <c r="W7" i="10"/>
  <c r="X7" i="10"/>
  <c r="Y7" i="10"/>
  <c r="Z7" i="10"/>
  <c r="AA7" i="10"/>
  <c r="AB7" i="10"/>
  <c r="AC7" i="10"/>
  <c r="W8" i="10"/>
  <c r="X8" i="10"/>
  <c r="Y8" i="10"/>
  <c r="Z8" i="10"/>
  <c r="AA8" i="10"/>
  <c r="AB8" i="10"/>
  <c r="AC8" i="10"/>
  <c r="W3" i="10"/>
  <c r="U3" i="10"/>
  <c r="T3" i="10"/>
  <c r="S3" i="10"/>
  <c r="B3" i="10"/>
  <c r="W2" i="10" a="1"/>
  <c r="X2" i="10"/>
  <c r="Y2" i="10"/>
  <c r="Z2" i="10"/>
  <c r="AA2" i="10"/>
  <c r="AB2" i="10"/>
  <c r="AC2" i="10"/>
  <c r="W2" i="10"/>
  <c r="U2" i="10"/>
  <c r="T2" i="10"/>
  <c r="S2" i="10"/>
  <c r="B2" i="10"/>
  <c r="X1" i="10"/>
  <c r="U37" i="9"/>
  <c r="U36" i="9"/>
  <c r="U35" i="9"/>
  <c r="U34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V33" i="9"/>
  <c r="U33" i="9"/>
  <c r="P33" i="9"/>
  <c r="R33" i="9"/>
  <c r="T33" i="9"/>
  <c r="O33" i="9"/>
  <c r="S33" i="9"/>
  <c r="Q33" i="9"/>
  <c r="B33" i="9"/>
  <c r="V32" i="9"/>
  <c r="U32" i="9"/>
  <c r="P32" i="9"/>
  <c r="R32" i="9"/>
  <c r="T32" i="9"/>
  <c r="O32" i="9"/>
  <c r="S32" i="9"/>
  <c r="Q32" i="9"/>
  <c r="B32" i="9"/>
  <c r="V31" i="9"/>
  <c r="U31" i="9"/>
  <c r="P31" i="9"/>
  <c r="R31" i="9"/>
  <c r="T31" i="9"/>
  <c r="O31" i="9"/>
  <c r="S31" i="9"/>
  <c r="Q31" i="9"/>
  <c r="B31" i="9"/>
  <c r="V30" i="9"/>
  <c r="U30" i="9"/>
  <c r="P30" i="9"/>
  <c r="R30" i="9"/>
  <c r="T30" i="9"/>
  <c r="O30" i="9"/>
  <c r="S30" i="9"/>
  <c r="Q30" i="9"/>
  <c r="B30" i="9"/>
  <c r="V29" i="9"/>
  <c r="U29" i="9"/>
  <c r="P29" i="9"/>
  <c r="R29" i="9"/>
  <c r="T29" i="9"/>
  <c r="O29" i="9"/>
  <c r="S29" i="9"/>
  <c r="Q29" i="9"/>
  <c r="B29" i="9"/>
  <c r="V28" i="9"/>
  <c r="U28" i="9"/>
  <c r="P28" i="9"/>
  <c r="R28" i="9"/>
  <c r="T28" i="9"/>
  <c r="O28" i="9"/>
  <c r="S28" i="9"/>
  <c r="Q28" i="9"/>
  <c r="B28" i="9"/>
  <c r="V27" i="9"/>
  <c r="U27" i="9"/>
  <c r="P27" i="9"/>
  <c r="R27" i="9"/>
  <c r="T27" i="9"/>
  <c r="O27" i="9"/>
  <c r="S27" i="9"/>
  <c r="Q27" i="9"/>
  <c r="B27" i="9"/>
  <c r="V26" i="9"/>
  <c r="U26" i="9"/>
  <c r="P26" i="9"/>
  <c r="R26" i="9"/>
  <c r="T26" i="9"/>
  <c r="O26" i="9"/>
  <c r="S26" i="9"/>
  <c r="Q26" i="9"/>
  <c r="B26" i="9"/>
  <c r="V25" i="9"/>
  <c r="U25" i="9"/>
  <c r="P25" i="9"/>
  <c r="R25" i="9"/>
  <c r="T25" i="9"/>
  <c r="O25" i="9"/>
  <c r="S25" i="9"/>
  <c r="Q25" i="9"/>
  <c r="B25" i="9"/>
  <c r="V24" i="9"/>
  <c r="U24" i="9"/>
  <c r="P24" i="9"/>
  <c r="R24" i="9"/>
  <c r="T24" i="9"/>
  <c r="O24" i="9"/>
  <c r="S24" i="9"/>
  <c r="Q24" i="9"/>
  <c r="B24" i="9"/>
  <c r="V23" i="9"/>
  <c r="U23" i="9"/>
  <c r="P23" i="9"/>
  <c r="R23" i="9"/>
  <c r="T23" i="9"/>
  <c r="O23" i="9"/>
  <c r="S23" i="9"/>
  <c r="Q23" i="9"/>
  <c r="B23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W22" i="9"/>
  <c r="V22" i="9"/>
  <c r="U22" i="9"/>
  <c r="P22" i="9"/>
  <c r="R22" i="9"/>
  <c r="T22" i="9"/>
  <c r="O22" i="9"/>
  <c r="S22" i="9"/>
  <c r="B22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W21" i="9"/>
  <c r="V21" i="9"/>
  <c r="U21" i="9"/>
  <c r="T21" i="9"/>
  <c r="O21" i="9"/>
  <c r="S21" i="9"/>
  <c r="B21" i="9"/>
  <c r="W20" i="9"/>
  <c r="V20" i="9"/>
  <c r="U20" i="9"/>
  <c r="T20" i="9"/>
  <c r="O20" i="9"/>
  <c r="S20" i="9"/>
  <c r="B20" i="9"/>
  <c r="W19" i="9"/>
  <c r="V19" i="9"/>
  <c r="U19" i="9"/>
  <c r="T19" i="9"/>
  <c r="O19" i="9"/>
  <c r="S19" i="9"/>
  <c r="B19" i="9"/>
  <c r="V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AD18" i="9"/>
  <c r="W18" i="9"/>
  <c r="U18" i="9"/>
  <c r="T18" i="9"/>
  <c r="O18" i="9"/>
  <c r="S18" i="9"/>
  <c r="B18" i="9"/>
  <c r="AD17" i="9"/>
  <c r="W17" i="9"/>
  <c r="U17" i="9"/>
  <c r="T17" i="9"/>
  <c r="O17" i="9"/>
  <c r="S17" i="9"/>
  <c r="B17" i="9"/>
  <c r="AD1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W16" i="9"/>
  <c r="U16" i="9"/>
  <c r="T16" i="9"/>
  <c r="S16" i="9"/>
  <c r="B16" i="9"/>
  <c r="AD15" i="9"/>
  <c r="W15" i="9"/>
  <c r="U15" i="9"/>
  <c r="T15" i="9"/>
  <c r="S15" i="9"/>
  <c r="B15" i="9"/>
  <c r="AD14" i="9"/>
  <c r="W14" i="9"/>
  <c r="U14" i="9"/>
  <c r="T14" i="9"/>
  <c r="S14" i="9"/>
  <c r="B14" i="9"/>
  <c r="AD13" i="9"/>
  <c r="W13" i="9"/>
  <c r="U13" i="9"/>
  <c r="T13" i="9"/>
  <c r="S13" i="9"/>
  <c r="B13" i="9"/>
  <c r="W12" i="9"/>
  <c r="U12" i="9"/>
  <c r="T12" i="9"/>
  <c r="S12" i="9"/>
  <c r="B12" i="9"/>
  <c r="U11" i="9"/>
  <c r="T11" i="9"/>
  <c r="S11" i="9"/>
  <c r="B11" i="9"/>
  <c r="U10" i="9"/>
  <c r="T10" i="9"/>
  <c r="S10" i="9"/>
  <c r="B10" i="9"/>
  <c r="W9" i="9"/>
  <c r="U9" i="9"/>
  <c r="T9" i="9"/>
  <c r="S9" i="9"/>
  <c r="B9" i="9"/>
  <c r="U8" i="9"/>
  <c r="T8" i="9"/>
  <c r="S8" i="9"/>
  <c r="B8" i="9"/>
  <c r="U7" i="9"/>
  <c r="T7" i="9"/>
  <c r="S7" i="9"/>
  <c r="B7" i="9"/>
  <c r="U6" i="9"/>
  <c r="T6" i="9"/>
  <c r="S6" i="9"/>
  <c r="B6" i="9"/>
  <c r="U5" i="9"/>
  <c r="T5" i="9"/>
  <c r="S5" i="9"/>
  <c r="B5" i="9"/>
  <c r="U4" i="9"/>
  <c r="T4" i="9"/>
  <c r="S4" i="9"/>
  <c r="B4" i="9"/>
  <c r="W1" i="9"/>
  <c r="AC1" i="9" a="1"/>
  <c r="AC1" i="9"/>
  <c r="W3" i="9" a="1"/>
  <c r="X3" i="9"/>
  <c r="Y3" i="9"/>
  <c r="Z3" i="9"/>
  <c r="AA3" i="9"/>
  <c r="AB3" i="9"/>
  <c r="AC3" i="9"/>
  <c r="W4" i="9"/>
  <c r="X4" i="9"/>
  <c r="Y4" i="9"/>
  <c r="Z4" i="9"/>
  <c r="AA4" i="9"/>
  <c r="AB4" i="9"/>
  <c r="AC4" i="9"/>
  <c r="W5" i="9"/>
  <c r="X5" i="9"/>
  <c r="Y5" i="9"/>
  <c r="Z5" i="9"/>
  <c r="AA5" i="9"/>
  <c r="AB5" i="9"/>
  <c r="AC5" i="9"/>
  <c r="W6" i="9"/>
  <c r="X6" i="9"/>
  <c r="Y6" i="9"/>
  <c r="Z6" i="9"/>
  <c r="AA6" i="9"/>
  <c r="AB6" i="9"/>
  <c r="AC6" i="9"/>
  <c r="W7" i="9"/>
  <c r="X7" i="9"/>
  <c r="Y7" i="9"/>
  <c r="Z7" i="9"/>
  <c r="AA7" i="9"/>
  <c r="AB7" i="9"/>
  <c r="AC7" i="9"/>
  <c r="W8" i="9"/>
  <c r="X8" i="9"/>
  <c r="Y8" i="9"/>
  <c r="Z8" i="9"/>
  <c r="AA8" i="9"/>
  <c r="AB8" i="9"/>
  <c r="AC8" i="9"/>
  <c r="W3" i="9"/>
  <c r="U3" i="9"/>
  <c r="T3" i="9"/>
  <c r="S3" i="9"/>
  <c r="B3" i="9"/>
  <c r="W2" i="9" a="1"/>
  <c r="X2" i="9"/>
  <c r="Y2" i="9"/>
  <c r="Z2" i="9"/>
  <c r="AA2" i="9"/>
  <c r="AB2" i="9"/>
  <c r="AC2" i="9"/>
  <c r="W2" i="9"/>
  <c r="U2" i="9"/>
  <c r="T2" i="9"/>
  <c r="S2" i="9"/>
  <c r="B2" i="9"/>
  <c r="X1" i="9"/>
  <c r="U37" i="8"/>
  <c r="U36" i="8"/>
  <c r="U35" i="8"/>
  <c r="U34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V33" i="8"/>
  <c r="U33" i="8"/>
  <c r="P33" i="8"/>
  <c r="R33" i="8"/>
  <c r="T33" i="8"/>
  <c r="O33" i="8"/>
  <c r="S33" i="8"/>
  <c r="Q33" i="8"/>
  <c r="B33" i="8"/>
  <c r="V32" i="8"/>
  <c r="U32" i="8"/>
  <c r="P32" i="8"/>
  <c r="R32" i="8"/>
  <c r="T32" i="8"/>
  <c r="O32" i="8"/>
  <c r="S32" i="8"/>
  <c r="Q32" i="8"/>
  <c r="B32" i="8"/>
  <c r="V31" i="8"/>
  <c r="U31" i="8"/>
  <c r="P31" i="8"/>
  <c r="R31" i="8"/>
  <c r="T31" i="8"/>
  <c r="O31" i="8"/>
  <c r="S31" i="8"/>
  <c r="Q31" i="8"/>
  <c r="B31" i="8"/>
  <c r="V30" i="8"/>
  <c r="U30" i="8"/>
  <c r="P30" i="8"/>
  <c r="R30" i="8"/>
  <c r="T30" i="8"/>
  <c r="O30" i="8"/>
  <c r="S30" i="8"/>
  <c r="Q30" i="8"/>
  <c r="B30" i="8"/>
  <c r="V29" i="8"/>
  <c r="U29" i="8"/>
  <c r="P29" i="8"/>
  <c r="R29" i="8"/>
  <c r="T29" i="8"/>
  <c r="O29" i="8"/>
  <c r="S29" i="8"/>
  <c r="Q29" i="8"/>
  <c r="B29" i="8"/>
  <c r="V28" i="8"/>
  <c r="U28" i="8"/>
  <c r="P28" i="8"/>
  <c r="R28" i="8"/>
  <c r="T28" i="8"/>
  <c r="O28" i="8"/>
  <c r="S28" i="8"/>
  <c r="Q28" i="8"/>
  <c r="B28" i="8"/>
  <c r="V27" i="8"/>
  <c r="U27" i="8"/>
  <c r="P27" i="8"/>
  <c r="R27" i="8"/>
  <c r="T27" i="8"/>
  <c r="O27" i="8"/>
  <c r="S27" i="8"/>
  <c r="Q27" i="8"/>
  <c r="B27" i="8"/>
  <c r="V26" i="8"/>
  <c r="U26" i="8"/>
  <c r="P26" i="8"/>
  <c r="R26" i="8"/>
  <c r="T26" i="8"/>
  <c r="O26" i="8"/>
  <c r="S26" i="8"/>
  <c r="Q26" i="8"/>
  <c r="B26" i="8"/>
  <c r="V25" i="8"/>
  <c r="U25" i="8"/>
  <c r="P25" i="8"/>
  <c r="R25" i="8"/>
  <c r="T25" i="8"/>
  <c r="O25" i="8"/>
  <c r="S25" i="8"/>
  <c r="Q25" i="8"/>
  <c r="B25" i="8"/>
  <c r="V24" i="8"/>
  <c r="U24" i="8"/>
  <c r="P24" i="8"/>
  <c r="R24" i="8"/>
  <c r="T24" i="8"/>
  <c r="O24" i="8"/>
  <c r="S24" i="8"/>
  <c r="Q24" i="8"/>
  <c r="B24" i="8"/>
  <c r="V23" i="8"/>
  <c r="U23" i="8"/>
  <c r="P23" i="8"/>
  <c r="R23" i="8"/>
  <c r="T23" i="8"/>
  <c r="O23" i="8"/>
  <c r="S23" i="8"/>
  <c r="Q23" i="8"/>
  <c r="B23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W22" i="8"/>
  <c r="V22" i="8"/>
  <c r="U22" i="8"/>
  <c r="P22" i="8"/>
  <c r="R22" i="8"/>
  <c r="T22" i="8"/>
  <c r="O22" i="8"/>
  <c r="S22" i="8"/>
  <c r="B22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W21" i="8"/>
  <c r="V21" i="8"/>
  <c r="U21" i="8"/>
  <c r="T21" i="8"/>
  <c r="O21" i="8"/>
  <c r="S21" i="8"/>
  <c r="B21" i="8"/>
  <c r="W20" i="8"/>
  <c r="V20" i="8"/>
  <c r="U20" i="8"/>
  <c r="T20" i="8"/>
  <c r="O20" i="8"/>
  <c r="S20" i="8"/>
  <c r="B20" i="8"/>
  <c r="W19" i="8"/>
  <c r="V19" i="8"/>
  <c r="U19" i="8"/>
  <c r="T19" i="8"/>
  <c r="O19" i="8"/>
  <c r="S19" i="8"/>
  <c r="B19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AD18" i="8"/>
  <c r="W18" i="8"/>
  <c r="U18" i="8"/>
  <c r="T18" i="8"/>
  <c r="O18" i="8"/>
  <c r="S18" i="8"/>
  <c r="B18" i="8"/>
  <c r="AD17" i="8"/>
  <c r="W17" i="8"/>
  <c r="U17" i="8"/>
  <c r="T17" i="8"/>
  <c r="O17" i="8"/>
  <c r="S17" i="8"/>
  <c r="B17" i="8"/>
  <c r="AD16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W16" i="8"/>
  <c r="U16" i="8"/>
  <c r="T16" i="8"/>
  <c r="S16" i="8"/>
  <c r="B16" i="8"/>
  <c r="AD15" i="8"/>
  <c r="W15" i="8"/>
  <c r="U15" i="8"/>
  <c r="T15" i="8"/>
  <c r="S15" i="8"/>
  <c r="B15" i="8"/>
  <c r="AD14" i="8"/>
  <c r="W14" i="8"/>
  <c r="U14" i="8"/>
  <c r="T14" i="8"/>
  <c r="S14" i="8"/>
  <c r="B14" i="8"/>
  <c r="AD13" i="8"/>
  <c r="W13" i="8"/>
  <c r="U13" i="8"/>
  <c r="T13" i="8"/>
  <c r="S13" i="8"/>
  <c r="B13" i="8"/>
  <c r="W12" i="8"/>
  <c r="U12" i="8"/>
  <c r="T12" i="8"/>
  <c r="S12" i="8"/>
  <c r="B12" i="8"/>
  <c r="U11" i="8"/>
  <c r="T11" i="8"/>
  <c r="S11" i="8"/>
  <c r="B11" i="8"/>
  <c r="U10" i="8"/>
  <c r="T10" i="8"/>
  <c r="S10" i="8"/>
  <c r="B10" i="8"/>
  <c r="W9" i="8"/>
  <c r="U9" i="8"/>
  <c r="T9" i="8"/>
  <c r="S9" i="8"/>
  <c r="B9" i="8"/>
  <c r="U8" i="8"/>
  <c r="T8" i="8"/>
  <c r="S8" i="8"/>
  <c r="B8" i="8"/>
  <c r="U7" i="8"/>
  <c r="T7" i="8"/>
  <c r="S7" i="8"/>
  <c r="B7" i="8"/>
  <c r="U6" i="8"/>
  <c r="T6" i="8"/>
  <c r="S6" i="8"/>
  <c r="B6" i="8"/>
  <c r="U5" i="8"/>
  <c r="T5" i="8"/>
  <c r="S5" i="8"/>
  <c r="B5" i="8"/>
  <c r="U4" i="8"/>
  <c r="T4" i="8"/>
  <c r="S4" i="8"/>
  <c r="B4" i="8"/>
  <c r="W1" i="8"/>
  <c r="AC1" i="8" a="1"/>
  <c r="AC1" i="8"/>
  <c r="W3" i="8" a="1"/>
  <c r="X3" i="8"/>
  <c r="Y3" i="8"/>
  <c r="Z3" i="8"/>
  <c r="AA3" i="8"/>
  <c r="AB3" i="8"/>
  <c r="AC3" i="8"/>
  <c r="W4" i="8"/>
  <c r="X4" i="8"/>
  <c r="Y4" i="8"/>
  <c r="Z4" i="8"/>
  <c r="AA4" i="8"/>
  <c r="AB4" i="8"/>
  <c r="AC4" i="8"/>
  <c r="W5" i="8"/>
  <c r="X5" i="8"/>
  <c r="Y5" i="8"/>
  <c r="Z5" i="8"/>
  <c r="AA5" i="8"/>
  <c r="AB5" i="8"/>
  <c r="AC5" i="8"/>
  <c r="W6" i="8"/>
  <c r="X6" i="8"/>
  <c r="Y6" i="8"/>
  <c r="Z6" i="8"/>
  <c r="AA6" i="8"/>
  <c r="AB6" i="8"/>
  <c r="AC6" i="8"/>
  <c r="W7" i="8"/>
  <c r="X7" i="8"/>
  <c r="Y7" i="8"/>
  <c r="Z7" i="8"/>
  <c r="AA7" i="8"/>
  <c r="AB7" i="8"/>
  <c r="AC7" i="8"/>
  <c r="W8" i="8"/>
  <c r="X8" i="8"/>
  <c r="Y8" i="8"/>
  <c r="Z8" i="8"/>
  <c r="AA8" i="8"/>
  <c r="AB8" i="8"/>
  <c r="AC8" i="8"/>
  <c r="W3" i="8"/>
  <c r="U3" i="8"/>
  <c r="T3" i="8"/>
  <c r="S3" i="8"/>
  <c r="B3" i="8"/>
  <c r="W2" i="8" a="1"/>
  <c r="X2" i="8"/>
  <c r="Y2" i="8"/>
  <c r="Z2" i="8"/>
  <c r="AA2" i="8"/>
  <c r="AB2" i="8"/>
  <c r="AC2" i="8"/>
  <c r="W2" i="8"/>
  <c r="U2" i="8"/>
  <c r="T2" i="8"/>
  <c r="S2" i="8"/>
  <c r="B2" i="8"/>
  <c r="X1" i="8"/>
  <c r="U37" i="7"/>
  <c r="U36" i="7"/>
  <c r="U35" i="7"/>
  <c r="U3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V33" i="7"/>
  <c r="U33" i="7"/>
  <c r="P33" i="7"/>
  <c r="R33" i="7"/>
  <c r="T33" i="7"/>
  <c r="O33" i="7"/>
  <c r="S33" i="7"/>
  <c r="Q33" i="7"/>
  <c r="B33" i="7"/>
  <c r="V32" i="7"/>
  <c r="U32" i="7"/>
  <c r="P32" i="7"/>
  <c r="R32" i="7"/>
  <c r="T32" i="7"/>
  <c r="O32" i="7"/>
  <c r="S32" i="7"/>
  <c r="Q32" i="7"/>
  <c r="B32" i="7"/>
  <c r="V31" i="7"/>
  <c r="U31" i="7"/>
  <c r="P31" i="7"/>
  <c r="R31" i="7"/>
  <c r="T31" i="7"/>
  <c r="O31" i="7"/>
  <c r="S31" i="7"/>
  <c r="Q31" i="7"/>
  <c r="B31" i="7"/>
  <c r="V30" i="7"/>
  <c r="U30" i="7"/>
  <c r="P30" i="7"/>
  <c r="R30" i="7"/>
  <c r="T30" i="7"/>
  <c r="O30" i="7"/>
  <c r="S30" i="7"/>
  <c r="Q30" i="7"/>
  <c r="B30" i="7"/>
  <c r="V29" i="7"/>
  <c r="U29" i="7"/>
  <c r="P29" i="7"/>
  <c r="R29" i="7"/>
  <c r="T29" i="7"/>
  <c r="O29" i="7"/>
  <c r="S29" i="7"/>
  <c r="Q29" i="7"/>
  <c r="B29" i="7"/>
  <c r="V28" i="7"/>
  <c r="U28" i="7"/>
  <c r="P28" i="7"/>
  <c r="R28" i="7"/>
  <c r="T28" i="7"/>
  <c r="O28" i="7"/>
  <c r="S28" i="7"/>
  <c r="Q28" i="7"/>
  <c r="B28" i="7"/>
  <c r="V27" i="7"/>
  <c r="U27" i="7"/>
  <c r="P27" i="7"/>
  <c r="R27" i="7"/>
  <c r="T27" i="7"/>
  <c r="O27" i="7"/>
  <c r="S27" i="7"/>
  <c r="Q27" i="7"/>
  <c r="B27" i="7"/>
  <c r="V26" i="7"/>
  <c r="U26" i="7"/>
  <c r="P26" i="7"/>
  <c r="R26" i="7"/>
  <c r="T26" i="7"/>
  <c r="O26" i="7"/>
  <c r="S26" i="7"/>
  <c r="Q26" i="7"/>
  <c r="B26" i="7"/>
  <c r="V25" i="7"/>
  <c r="U25" i="7"/>
  <c r="P25" i="7"/>
  <c r="R25" i="7"/>
  <c r="T25" i="7"/>
  <c r="O25" i="7"/>
  <c r="S25" i="7"/>
  <c r="Q25" i="7"/>
  <c r="B25" i="7"/>
  <c r="V24" i="7"/>
  <c r="U24" i="7"/>
  <c r="P24" i="7"/>
  <c r="R24" i="7"/>
  <c r="T24" i="7"/>
  <c r="O24" i="7"/>
  <c r="S24" i="7"/>
  <c r="Q24" i="7"/>
  <c r="B24" i="7"/>
  <c r="V23" i="7"/>
  <c r="U23" i="7"/>
  <c r="P23" i="7"/>
  <c r="R23" i="7"/>
  <c r="T23" i="7"/>
  <c r="O23" i="7"/>
  <c r="S23" i="7"/>
  <c r="Q23" i="7"/>
  <c r="B23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W22" i="7"/>
  <c r="V22" i="7"/>
  <c r="U22" i="7"/>
  <c r="P22" i="7"/>
  <c r="R22" i="7"/>
  <c r="T22" i="7"/>
  <c r="O22" i="7"/>
  <c r="S22" i="7"/>
  <c r="B22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W21" i="7"/>
  <c r="V21" i="7"/>
  <c r="U21" i="7"/>
  <c r="T21" i="7"/>
  <c r="O21" i="7"/>
  <c r="S21" i="7"/>
  <c r="B21" i="7"/>
  <c r="W20" i="7"/>
  <c r="V20" i="7"/>
  <c r="U20" i="7"/>
  <c r="T20" i="7"/>
  <c r="O20" i="7"/>
  <c r="S20" i="7"/>
  <c r="B20" i="7"/>
  <c r="W19" i="7"/>
  <c r="V19" i="7"/>
  <c r="U19" i="7"/>
  <c r="T19" i="7"/>
  <c r="O19" i="7"/>
  <c r="S19" i="7"/>
  <c r="B19" i="7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AD18" i="7"/>
  <c r="W18" i="7"/>
  <c r="U18" i="7"/>
  <c r="T18" i="7"/>
  <c r="O18" i="7"/>
  <c r="S18" i="7"/>
  <c r="B18" i="7"/>
  <c r="AD17" i="7"/>
  <c r="W17" i="7"/>
  <c r="U17" i="7"/>
  <c r="T17" i="7"/>
  <c r="O17" i="7"/>
  <c r="S17" i="7"/>
  <c r="B17" i="7"/>
  <c r="AD16" i="7"/>
  <c r="O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W16" i="7"/>
  <c r="U16" i="7"/>
  <c r="T16" i="7"/>
  <c r="S16" i="7"/>
  <c r="B16" i="7"/>
  <c r="AD15" i="7"/>
  <c r="W15" i="7"/>
  <c r="U15" i="7"/>
  <c r="T15" i="7"/>
  <c r="S15" i="7"/>
  <c r="B15" i="7"/>
  <c r="AD14" i="7"/>
  <c r="W14" i="7"/>
  <c r="U14" i="7"/>
  <c r="T14" i="7"/>
  <c r="S14" i="7"/>
  <c r="B14" i="7"/>
  <c r="AD13" i="7"/>
  <c r="W13" i="7"/>
  <c r="U13" i="7"/>
  <c r="T13" i="7"/>
  <c r="S13" i="7"/>
  <c r="B13" i="7"/>
  <c r="W12" i="7"/>
  <c r="U12" i="7"/>
  <c r="T12" i="7"/>
  <c r="S12" i="7"/>
  <c r="B12" i="7"/>
  <c r="U11" i="7"/>
  <c r="T11" i="7"/>
  <c r="S11" i="7"/>
  <c r="B11" i="7"/>
  <c r="U10" i="7"/>
  <c r="T10" i="7"/>
  <c r="S10" i="7"/>
  <c r="B10" i="7"/>
  <c r="W9" i="7"/>
  <c r="U9" i="7"/>
  <c r="T9" i="7"/>
  <c r="S9" i="7"/>
  <c r="B9" i="7"/>
  <c r="U8" i="7"/>
  <c r="T8" i="7"/>
  <c r="S8" i="7"/>
  <c r="B8" i="7"/>
  <c r="U7" i="7"/>
  <c r="T7" i="7"/>
  <c r="S7" i="7"/>
  <c r="B7" i="7"/>
  <c r="U6" i="7"/>
  <c r="T6" i="7"/>
  <c r="S6" i="7"/>
  <c r="B6" i="7"/>
  <c r="U5" i="7"/>
  <c r="T5" i="7"/>
  <c r="S5" i="7"/>
  <c r="B5" i="7"/>
  <c r="U4" i="7"/>
  <c r="T4" i="7"/>
  <c r="S4" i="7"/>
  <c r="B4" i="7"/>
  <c r="W1" i="7"/>
  <c r="AC1" i="7" a="1"/>
  <c r="AC1" i="7"/>
  <c r="W3" i="7" a="1"/>
  <c r="X3" i="7"/>
  <c r="Y3" i="7"/>
  <c r="Z3" i="7"/>
  <c r="AA3" i="7"/>
  <c r="AB3" i="7"/>
  <c r="AC3" i="7"/>
  <c r="W4" i="7"/>
  <c r="X4" i="7"/>
  <c r="Y4" i="7"/>
  <c r="Z4" i="7"/>
  <c r="AA4" i="7"/>
  <c r="AB4" i="7"/>
  <c r="AC4" i="7"/>
  <c r="W5" i="7"/>
  <c r="X5" i="7"/>
  <c r="Y5" i="7"/>
  <c r="Z5" i="7"/>
  <c r="AA5" i="7"/>
  <c r="AB5" i="7"/>
  <c r="AC5" i="7"/>
  <c r="W6" i="7"/>
  <c r="X6" i="7"/>
  <c r="Y6" i="7"/>
  <c r="Z6" i="7"/>
  <c r="AA6" i="7"/>
  <c r="AB6" i="7"/>
  <c r="AC6" i="7"/>
  <c r="W7" i="7"/>
  <c r="X7" i="7"/>
  <c r="Y7" i="7"/>
  <c r="Z7" i="7"/>
  <c r="AA7" i="7"/>
  <c r="AB7" i="7"/>
  <c r="AC7" i="7"/>
  <c r="W8" i="7"/>
  <c r="X8" i="7"/>
  <c r="Y8" i="7"/>
  <c r="Z8" i="7"/>
  <c r="AA8" i="7"/>
  <c r="AB8" i="7"/>
  <c r="AC8" i="7"/>
  <c r="W3" i="7"/>
  <c r="U3" i="7"/>
  <c r="T3" i="7"/>
  <c r="S3" i="7"/>
  <c r="B3" i="7"/>
  <c r="W2" i="7" a="1"/>
  <c r="X2" i="7"/>
  <c r="Y2" i="7"/>
  <c r="Z2" i="7"/>
  <c r="AA2" i="7"/>
  <c r="AB2" i="7"/>
  <c r="AC2" i="7"/>
  <c r="W2" i="7"/>
  <c r="U2" i="7"/>
  <c r="T2" i="7"/>
  <c r="S2" i="7"/>
  <c r="B2" i="7"/>
  <c r="X1" i="7"/>
  <c r="U37" i="6"/>
  <c r="U36" i="6"/>
  <c r="U35" i="6"/>
  <c r="U34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V33" i="6"/>
  <c r="U33" i="6"/>
  <c r="P33" i="6"/>
  <c r="R33" i="6"/>
  <c r="T33" i="6"/>
  <c r="O33" i="6"/>
  <c r="S33" i="6"/>
  <c r="Q33" i="6"/>
  <c r="B33" i="6"/>
  <c r="V32" i="6"/>
  <c r="U32" i="6"/>
  <c r="P32" i="6"/>
  <c r="R32" i="6"/>
  <c r="T32" i="6"/>
  <c r="O32" i="6"/>
  <c r="S32" i="6"/>
  <c r="Q32" i="6"/>
  <c r="B32" i="6"/>
  <c r="V31" i="6"/>
  <c r="U31" i="6"/>
  <c r="P31" i="6"/>
  <c r="R31" i="6"/>
  <c r="T31" i="6"/>
  <c r="O31" i="6"/>
  <c r="S31" i="6"/>
  <c r="Q31" i="6"/>
  <c r="B31" i="6"/>
  <c r="V30" i="6"/>
  <c r="U30" i="6"/>
  <c r="P30" i="6"/>
  <c r="R30" i="6"/>
  <c r="T30" i="6"/>
  <c r="O30" i="6"/>
  <c r="S30" i="6"/>
  <c r="Q30" i="6"/>
  <c r="B30" i="6"/>
  <c r="V29" i="6"/>
  <c r="U29" i="6"/>
  <c r="P29" i="6"/>
  <c r="R29" i="6"/>
  <c r="T29" i="6"/>
  <c r="O29" i="6"/>
  <c r="S29" i="6"/>
  <c r="Q29" i="6"/>
  <c r="B29" i="6"/>
  <c r="V28" i="6"/>
  <c r="U28" i="6"/>
  <c r="P28" i="6"/>
  <c r="R28" i="6"/>
  <c r="T28" i="6"/>
  <c r="O28" i="6"/>
  <c r="S28" i="6"/>
  <c r="Q28" i="6"/>
  <c r="B28" i="6"/>
  <c r="V27" i="6"/>
  <c r="U27" i="6"/>
  <c r="P27" i="6"/>
  <c r="R27" i="6"/>
  <c r="T27" i="6"/>
  <c r="O27" i="6"/>
  <c r="S27" i="6"/>
  <c r="Q27" i="6"/>
  <c r="B27" i="6"/>
  <c r="V26" i="6"/>
  <c r="U26" i="6"/>
  <c r="P26" i="6"/>
  <c r="R26" i="6"/>
  <c r="T26" i="6"/>
  <c r="O26" i="6"/>
  <c r="S26" i="6"/>
  <c r="Q26" i="6"/>
  <c r="B26" i="6"/>
  <c r="V25" i="6"/>
  <c r="U25" i="6"/>
  <c r="P25" i="6"/>
  <c r="R25" i="6"/>
  <c r="T25" i="6"/>
  <c r="O25" i="6"/>
  <c r="S25" i="6"/>
  <c r="Q25" i="6"/>
  <c r="B25" i="6"/>
  <c r="V24" i="6"/>
  <c r="U24" i="6"/>
  <c r="P24" i="6"/>
  <c r="R24" i="6"/>
  <c r="T24" i="6"/>
  <c r="O24" i="6"/>
  <c r="S24" i="6"/>
  <c r="Q24" i="6"/>
  <c r="B24" i="6"/>
  <c r="V23" i="6"/>
  <c r="U23" i="6"/>
  <c r="P23" i="6"/>
  <c r="R23" i="6"/>
  <c r="T23" i="6"/>
  <c r="O23" i="6"/>
  <c r="S23" i="6"/>
  <c r="Q23" i="6"/>
  <c r="B23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W22" i="6"/>
  <c r="V22" i="6"/>
  <c r="U22" i="6"/>
  <c r="P22" i="6"/>
  <c r="R22" i="6"/>
  <c r="T22" i="6"/>
  <c r="O22" i="6"/>
  <c r="S22" i="6"/>
  <c r="B22" i="6"/>
  <c r="P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W21" i="6"/>
  <c r="V21" i="6"/>
  <c r="U21" i="6"/>
  <c r="T21" i="6"/>
  <c r="O21" i="6"/>
  <c r="S21" i="6"/>
  <c r="B21" i="6"/>
  <c r="W20" i="6"/>
  <c r="V20" i="6"/>
  <c r="U20" i="6"/>
  <c r="T20" i="6"/>
  <c r="O20" i="6"/>
  <c r="S20" i="6"/>
  <c r="B20" i="6"/>
  <c r="W19" i="6"/>
  <c r="V19" i="6"/>
  <c r="U19" i="6"/>
  <c r="T19" i="6"/>
  <c r="O19" i="6"/>
  <c r="S19" i="6"/>
  <c r="B19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AD18" i="6"/>
  <c r="W18" i="6"/>
  <c r="U18" i="6"/>
  <c r="T18" i="6"/>
  <c r="O18" i="6"/>
  <c r="S18" i="6"/>
  <c r="B18" i="6"/>
  <c r="AD17" i="6"/>
  <c r="W17" i="6"/>
  <c r="U17" i="6"/>
  <c r="T17" i="6"/>
  <c r="O17" i="6"/>
  <c r="S17" i="6"/>
  <c r="B17" i="6"/>
  <c r="AD16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W16" i="6"/>
  <c r="U16" i="6"/>
  <c r="T16" i="6"/>
  <c r="S16" i="6"/>
  <c r="B16" i="6"/>
  <c r="AD15" i="6"/>
  <c r="W15" i="6"/>
  <c r="U15" i="6"/>
  <c r="T15" i="6"/>
  <c r="S15" i="6"/>
  <c r="B15" i="6"/>
  <c r="AD14" i="6"/>
  <c r="W14" i="6"/>
  <c r="U14" i="6"/>
  <c r="T14" i="6"/>
  <c r="S14" i="6"/>
  <c r="B14" i="6"/>
  <c r="AD13" i="6"/>
  <c r="W13" i="6"/>
  <c r="U13" i="6"/>
  <c r="T13" i="6"/>
  <c r="S13" i="6"/>
  <c r="B13" i="6"/>
  <c r="W12" i="6"/>
  <c r="U12" i="6"/>
  <c r="T12" i="6"/>
  <c r="S12" i="6"/>
  <c r="B12" i="6"/>
  <c r="U11" i="6"/>
  <c r="T11" i="6"/>
  <c r="S11" i="6"/>
  <c r="B11" i="6"/>
  <c r="U10" i="6"/>
  <c r="T10" i="6"/>
  <c r="S10" i="6"/>
  <c r="B10" i="6"/>
  <c r="W9" i="6"/>
  <c r="U9" i="6"/>
  <c r="T9" i="6"/>
  <c r="S9" i="6"/>
  <c r="B9" i="6"/>
  <c r="U8" i="6"/>
  <c r="T8" i="6"/>
  <c r="S8" i="6"/>
  <c r="B8" i="6"/>
  <c r="U7" i="6"/>
  <c r="T7" i="6"/>
  <c r="S7" i="6"/>
  <c r="B7" i="6"/>
  <c r="U6" i="6"/>
  <c r="T6" i="6"/>
  <c r="S6" i="6"/>
  <c r="B6" i="6"/>
  <c r="U5" i="6"/>
  <c r="T5" i="6"/>
  <c r="S5" i="6"/>
  <c r="B5" i="6"/>
  <c r="U4" i="6"/>
  <c r="T4" i="6"/>
  <c r="S4" i="6"/>
  <c r="B4" i="6"/>
  <c r="W1" i="6"/>
  <c r="AC1" i="6" a="1"/>
  <c r="AC1" i="6"/>
  <c r="W3" i="6" a="1"/>
  <c r="X3" i="6"/>
  <c r="Y3" i="6"/>
  <c r="Z3" i="6"/>
  <c r="AA3" i="6"/>
  <c r="AB3" i="6"/>
  <c r="AC3" i="6"/>
  <c r="W4" i="6"/>
  <c r="X4" i="6"/>
  <c r="Y4" i="6"/>
  <c r="Z4" i="6"/>
  <c r="AA4" i="6"/>
  <c r="AB4" i="6"/>
  <c r="AC4" i="6"/>
  <c r="W5" i="6"/>
  <c r="X5" i="6"/>
  <c r="Y5" i="6"/>
  <c r="Z5" i="6"/>
  <c r="AA5" i="6"/>
  <c r="AB5" i="6"/>
  <c r="AC5" i="6"/>
  <c r="W6" i="6"/>
  <c r="X6" i="6"/>
  <c r="Y6" i="6"/>
  <c r="Z6" i="6"/>
  <c r="AA6" i="6"/>
  <c r="AB6" i="6"/>
  <c r="AC6" i="6"/>
  <c r="W7" i="6"/>
  <c r="X7" i="6"/>
  <c r="Y7" i="6"/>
  <c r="Z7" i="6"/>
  <c r="AA7" i="6"/>
  <c r="AB7" i="6"/>
  <c r="AC7" i="6"/>
  <c r="W8" i="6"/>
  <c r="X8" i="6"/>
  <c r="Y8" i="6"/>
  <c r="Z8" i="6"/>
  <c r="AA8" i="6"/>
  <c r="AB8" i="6"/>
  <c r="AC8" i="6"/>
  <c r="W3" i="6"/>
  <c r="U3" i="6"/>
  <c r="T3" i="6"/>
  <c r="S3" i="6"/>
  <c r="B3" i="6"/>
  <c r="W2" i="6" a="1"/>
  <c r="X2" i="6"/>
  <c r="Y2" i="6"/>
  <c r="Z2" i="6"/>
  <c r="AA2" i="6"/>
  <c r="AB2" i="6"/>
  <c r="AC2" i="6"/>
  <c r="W2" i="6"/>
  <c r="U2" i="6"/>
  <c r="T2" i="6"/>
  <c r="S2" i="6"/>
  <c r="B2" i="6"/>
  <c r="X1" i="6"/>
  <c r="U37" i="5"/>
  <c r="U36" i="5"/>
  <c r="U35" i="5"/>
  <c r="U34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V33" i="5"/>
  <c r="U33" i="5"/>
  <c r="P33" i="5"/>
  <c r="R33" i="5"/>
  <c r="T33" i="5"/>
  <c r="O33" i="5"/>
  <c r="S33" i="5"/>
  <c r="Q33" i="5"/>
  <c r="B33" i="5"/>
  <c r="V32" i="5"/>
  <c r="U32" i="5"/>
  <c r="P32" i="5"/>
  <c r="R32" i="5"/>
  <c r="T32" i="5"/>
  <c r="O32" i="5"/>
  <c r="S32" i="5"/>
  <c r="Q32" i="5"/>
  <c r="B32" i="5"/>
  <c r="V31" i="5"/>
  <c r="U31" i="5"/>
  <c r="P31" i="5"/>
  <c r="R31" i="5"/>
  <c r="T31" i="5"/>
  <c r="O31" i="5"/>
  <c r="S31" i="5"/>
  <c r="Q31" i="5"/>
  <c r="B31" i="5"/>
  <c r="V30" i="5"/>
  <c r="U30" i="5"/>
  <c r="P30" i="5"/>
  <c r="R30" i="5"/>
  <c r="T30" i="5"/>
  <c r="O30" i="5"/>
  <c r="S30" i="5"/>
  <c r="Q30" i="5"/>
  <c r="B30" i="5"/>
  <c r="V29" i="5"/>
  <c r="U29" i="5"/>
  <c r="P29" i="5"/>
  <c r="R29" i="5"/>
  <c r="T29" i="5"/>
  <c r="O29" i="5"/>
  <c r="S29" i="5"/>
  <c r="Q29" i="5"/>
  <c r="B29" i="5"/>
  <c r="V28" i="5"/>
  <c r="U28" i="5"/>
  <c r="P28" i="5"/>
  <c r="R28" i="5"/>
  <c r="T28" i="5"/>
  <c r="O28" i="5"/>
  <c r="S28" i="5"/>
  <c r="Q28" i="5"/>
  <c r="B28" i="5"/>
  <c r="V27" i="5"/>
  <c r="U27" i="5"/>
  <c r="P27" i="5"/>
  <c r="R27" i="5"/>
  <c r="T27" i="5"/>
  <c r="O27" i="5"/>
  <c r="S27" i="5"/>
  <c r="Q27" i="5"/>
  <c r="B27" i="5"/>
  <c r="V26" i="5"/>
  <c r="U26" i="5"/>
  <c r="P26" i="5"/>
  <c r="R26" i="5"/>
  <c r="T26" i="5"/>
  <c r="O26" i="5"/>
  <c r="S26" i="5"/>
  <c r="Q26" i="5"/>
  <c r="B26" i="5"/>
  <c r="V25" i="5"/>
  <c r="U25" i="5"/>
  <c r="P25" i="5"/>
  <c r="R25" i="5"/>
  <c r="T25" i="5"/>
  <c r="O25" i="5"/>
  <c r="S25" i="5"/>
  <c r="Q25" i="5"/>
  <c r="B25" i="5"/>
  <c r="V24" i="5"/>
  <c r="U24" i="5"/>
  <c r="P24" i="5"/>
  <c r="R24" i="5"/>
  <c r="T24" i="5"/>
  <c r="O24" i="5"/>
  <c r="S24" i="5"/>
  <c r="Q24" i="5"/>
  <c r="B24" i="5"/>
  <c r="V23" i="5"/>
  <c r="U23" i="5"/>
  <c r="P23" i="5"/>
  <c r="R23" i="5"/>
  <c r="T23" i="5"/>
  <c r="O23" i="5"/>
  <c r="S23" i="5"/>
  <c r="Q23" i="5"/>
  <c r="B23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W22" i="5"/>
  <c r="V22" i="5"/>
  <c r="U22" i="5"/>
  <c r="P22" i="5"/>
  <c r="R22" i="5"/>
  <c r="T22" i="5"/>
  <c r="O22" i="5"/>
  <c r="S22" i="5"/>
  <c r="B22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W21" i="5"/>
  <c r="V21" i="5"/>
  <c r="U21" i="5"/>
  <c r="T21" i="5"/>
  <c r="O21" i="5"/>
  <c r="S21" i="5"/>
  <c r="B21" i="5"/>
  <c r="W20" i="5"/>
  <c r="V20" i="5"/>
  <c r="U20" i="5"/>
  <c r="T20" i="5"/>
  <c r="O20" i="5"/>
  <c r="S20" i="5"/>
  <c r="B20" i="5"/>
  <c r="W19" i="5"/>
  <c r="V19" i="5"/>
  <c r="U19" i="5"/>
  <c r="T19" i="5"/>
  <c r="O19" i="5"/>
  <c r="S19" i="5"/>
  <c r="B19" i="5"/>
  <c r="V2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AD18" i="5"/>
  <c r="W18" i="5"/>
  <c r="U18" i="5"/>
  <c r="T18" i="5"/>
  <c r="O18" i="5"/>
  <c r="S18" i="5"/>
  <c r="B18" i="5"/>
  <c r="AD17" i="5"/>
  <c r="W17" i="5"/>
  <c r="U17" i="5"/>
  <c r="T17" i="5"/>
  <c r="O17" i="5"/>
  <c r="S17" i="5"/>
  <c r="B17" i="5"/>
  <c r="AD16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W16" i="5"/>
  <c r="U16" i="5"/>
  <c r="T16" i="5"/>
  <c r="S16" i="5"/>
  <c r="B16" i="5"/>
  <c r="AD15" i="5"/>
  <c r="W15" i="5"/>
  <c r="U15" i="5"/>
  <c r="T15" i="5"/>
  <c r="S15" i="5"/>
  <c r="B15" i="5"/>
  <c r="AD14" i="5"/>
  <c r="W14" i="5"/>
  <c r="U14" i="5"/>
  <c r="T14" i="5"/>
  <c r="S14" i="5"/>
  <c r="B14" i="5"/>
  <c r="AD13" i="5"/>
  <c r="W13" i="5"/>
  <c r="U13" i="5"/>
  <c r="T13" i="5"/>
  <c r="S13" i="5"/>
  <c r="B13" i="5"/>
  <c r="W12" i="5"/>
  <c r="U12" i="5"/>
  <c r="T12" i="5"/>
  <c r="S12" i="5"/>
  <c r="B12" i="5"/>
  <c r="U11" i="5"/>
  <c r="T11" i="5"/>
  <c r="S11" i="5"/>
  <c r="B11" i="5"/>
  <c r="U10" i="5"/>
  <c r="T10" i="5"/>
  <c r="S10" i="5"/>
  <c r="B10" i="5"/>
  <c r="W9" i="5"/>
  <c r="U9" i="5"/>
  <c r="T9" i="5"/>
  <c r="S9" i="5"/>
  <c r="B9" i="5"/>
  <c r="U8" i="5"/>
  <c r="T8" i="5"/>
  <c r="S8" i="5"/>
  <c r="B8" i="5"/>
  <c r="U7" i="5"/>
  <c r="T7" i="5"/>
  <c r="S7" i="5"/>
  <c r="B7" i="5"/>
  <c r="U6" i="5"/>
  <c r="T6" i="5"/>
  <c r="S6" i="5"/>
  <c r="B6" i="5"/>
  <c r="U5" i="5"/>
  <c r="T5" i="5"/>
  <c r="S5" i="5"/>
  <c r="B5" i="5"/>
  <c r="U4" i="5"/>
  <c r="T4" i="5"/>
  <c r="S4" i="5"/>
  <c r="B4" i="5"/>
  <c r="W1" i="5"/>
  <c r="AC1" i="5" a="1"/>
  <c r="AC1" i="5"/>
  <c r="W3" i="5" a="1"/>
  <c r="X3" i="5"/>
  <c r="Y3" i="5"/>
  <c r="Z3" i="5"/>
  <c r="AA3" i="5"/>
  <c r="AB3" i="5"/>
  <c r="AC3" i="5"/>
  <c r="W4" i="5"/>
  <c r="X4" i="5"/>
  <c r="Y4" i="5"/>
  <c r="Z4" i="5"/>
  <c r="AA4" i="5"/>
  <c r="AB4" i="5"/>
  <c r="AC4" i="5"/>
  <c r="W5" i="5"/>
  <c r="X5" i="5"/>
  <c r="Y5" i="5"/>
  <c r="Z5" i="5"/>
  <c r="AA5" i="5"/>
  <c r="AB5" i="5"/>
  <c r="AC5" i="5"/>
  <c r="W6" i="5"/>
  <c r="X6" i="5"/>
  <c r="Y6" i="5"/>
  <c r="Z6" i="5"/>
  <c r="AA6" i="5"/>
  <c r="AB6" i="5"/>
  <c r="AC6" i="5"/>
  <c r="W7" i="5"/>
  <c r="X7" i="5"/>
  <c r="Y7" i="5"/>
  <c r="Z7" i="5"/>
  <c r="AA7" i="5"/>
  <c r="AB7" i="5"/>
  <c r="AC7" i="5"/>
  <c r="W8" i="5"/>
  <c r="X8" i="5"/>
  <c r="Y8" i="5"/>
  <c r="Z8" i="5"/>
  <c r="AA8" i="5"/>
  <c r="AB8" i="5"/>
  <c r="AC8" i="5"/>
  <c r="W3" i="5"/>
  <c r="U3" i="5"/>
  <c r="T3" i="5"/>
  <c r="S3" i="5"/>
  <c r="B3" i="5"/>
  <c r="W2" i="5" a="1"/>
  <c r="X2" i="5"/>
  <c r="Y2" i="5"/>
  <c r="Z2" i="5"/>
  <c r="AA2" i="5"/>
  <c r="AB2" i="5"/>
  <c r="AC2" i="5"/>
  <c r="W2" i="5"/>
  <c r="U2" i="5"/>
  <c r="T2" i="5"/>
  <c r="S2" i="5"/>
  <c r="B2" i="5"/>
  <c r="X1" i="5"/>
  <c r="U37" i="4"/>
  <c r="U36" i="4"/>
  <c r="U35" i="4"/>
  <c r="U34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V33" i="4"/>
  <c r="U33" i="4"/>
  <c r="P33" i="4"/>
  <c r="R33" i="4"/>
  <c r="T33" i="4"/>
  <c r="O33" i="4"/>
  <c r="S33" i="4"/>
  <c r="Q33" i="4"/>
  <c r="B33" i="4"/>
  <c r="V32" i="4"/>
  <c r="U32" i="4"/>
  <c r="P32" i="4"/>
  <c r="R32" i="4"/>
  <c r="T32" i="4"/>
  <c r="O32" i="4"/>
  <c r="S32" i="4"/>
  <c r="Q32" i="4"/>
  <c r="B32" i="4"/>
  <c r="V31" i="4"/>
  <c r="U31" i="4"/>
  <c r="P31" i="4"/>
  <c r="R31" i="4"/>
  <c r="T31" i="4"/>
  <c r="O31" i="4"/>
  <c r="S31" i="4"/>
  <c r="Q31" i="4"/>
  <c r="B31" i="4"/>
  <c r="V30" i="4"/>
  <c r="U30" i="4"/>
  <c r="P30" i="4"/>
  <c r="R30" i="4"/>
  <c r="T30" i="4"/>
  <c r="O30" i="4"/>
  <c r="S30" i="4"/>
  <c r="Q30" i="4"/>
  <c r="B30" i="4"/>
  <c r="V29" i="4"/>
  <c r="U29" i="4"/>
  <c r="P29" i="4"/>
  <c r="R29" i="4"/>
  <c r="T29" i="4"/>
  <c r="O29" i="4"/>
  <c r="S29" i="4"/>
  <c r="Q29" i="4"/>
  <c r="B29" i="4"/>
  <c r="V28" i="4"/>
  <c r="U28" i="4"/>
  <c r="P28" i="4"/>
  <c r="R28" i="4"/>
  <c r="T28" i="4"/>
  <c r="O28" i="4"/>
  <c r="S28" i="4"/>
  <c r="Q28" i="4"/>
  <c r="B28" i="4"/>
  <c r="V27" i="4"/>
  <c r="U27" i="4"/>
  <c r="P27" i="4"/>
  <c r="R27" i="4"/>
  <c r="T27" i="4"/>
  <c r="O27" i="4"/>
  <c r="S27" i="4"/>
  <c r="Q27" i="4"/>
  <c r="B27" i="4"/>
  <c r="V26" i="4"/>
  <c r="U26" i="4"/>
  <c r="P26" i="4"/>
  <c r="R26" i="4"/>
  <c r="T26" i="4"/>
  <c r="O26" i="4"/>
  <c r="S26" i="4"/>
  <c r="Q26" i="4"/>
  <c r="B26" i="4"/>
  <c r="V25" i="4"/>
  <c r="U25" i="4"/>
  <c r="P25" i="4"/>
  <c r="R25" i="4"/>
  <c r="T25" i="4"/>
  <c r="O25" i="4"/>
  <c r="S25" i="4"/>
  <c r="Q25" i="4"/>
  <c r="B25" i="4"/>
  <c r="V24" i="4"/>
  <c r="U24" i="4"/>
  <c r="P24" i="4"/>
  <c r="R24" i="4"/>
  <c r="T24" i="4"/>
  <c r="O24" i="4"/>
  <c r="S24" i="4"/>
  <c r="Q24" i="4"/>
  <c r="B24" i="4"/>
  <c r="V23" i="4"/>
  <c r="U23" i="4"/>
  <c r="P23" i="4"/>
  <c r="R23" i="4"/>
  <c r="T23" i="4"/>
  <c r="O23" i="4"/>
  <c r="S23" i="4"/>
  <c r="Q23" i="4"/>
  <c r="B23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W22" i="4"/>
  <c r="V22" i="4"/>
  <c r="U22" i="4"/>
  <c r="P22" i="4"/>
  <c r="R22" i="4"/>
  <c r="T22" i="4"/>
  <c r="O22" i="4"/>
  <c r="S22" i="4"/>
  <c r="B22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W21" i="4"/>
  <c r="V21" i="4"/>
  <c r="U21" i="4"/>
  <c r="T21" i="4"/>
  <c r="O21" i="4"/>
  <c r="S21" i="4"/>
  <c r="B21" i="4"/>
  <c r="W20" i="4"/>
  <c r="V20" i="4"/>
  <c r="U20" i="4"/>
  <c r="T20" i="4"/>
  <c r="O20" i="4"/>
  <c r="S20" i="4"/>
  <c r="B20" i="4"/>
  <c r="W19" i="4"/>
  <c r="V19" i="4"/>
  <c r="U19" i="4"/>
  <c r="T19" i="4"/>
  <c r="O19" i="4"/>
  <c r="S19" i="4"/>
  <c r="B19" i="4"/>
  <c r="V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AD18" i="4"/>
  <c r="W18" i="4"/>
  <c r="U18" i="4"/>
  <c r="T18" i="4"/>
  <c r="O18" i="4"/>
  <c r="S18" i="4"/>
  <c r="B18" i="4"/>
  <c r="AD17" i="4"/>
  <c r="W17" i="4"/>
  <c r="U17" i="4"/>
  <c r="T17" i="4"/>
  <c r="O17" i="4"/>
  <c r="S17" i="4"/>
  <c r="B17" i="4"/>
  <c r="AD16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W16" i="4"/>
  <c r="U16" i="4"/>
  <c r="T16" i="4"/>
  <c r="S16" i="4"/>
  <c r="B16" i="4"/>
  <c r="AD15" i="4"/>
  <c r="W15" i="4"/>
  <c r="U15" i="4"/>
  <c r="T15" i="4"/>
  <c r="S15" i="4"/>
  <c r="B15" i="4"/>
  <c r="AD14" i="4"/>
  <c r="W14" i="4"/>
  <c r="U14" i="4"/>
  <c r="T14" i="4"/>
  <c r="S14" i="4"/>
  <c r="B14" i="4"/>
  <c r="AD13" i="4"/>
  <c r="W13" i="4"/>
  <c r="U13" i="4"/>
  <c r="T13" i="4"/>
  <c r="S13" i="4"/>
  <c r="B13" i="4"/>
  <c r="W12" i="4"/>
  <c r="U12" i="4"/>
  <c r="T12" i="4"/>
  <c r="S12" i="4"/>
  <c r="B12" i="4"/>
  <c r="U11" i="4"/>
  <c r="T11" i="4"/>
  <c r="S11" i="4"/>
  <c r="B11" i="4"/>
  <c r="U10" i="4"/>
  <c r="T10" i="4"/>
  <c r="S10" i="4"/>
  <c r="B10" i="4"/>
  <c r="W9" i="4"/>
  <c r="U9" i="4"/>
  <c r="T9" i="4"/>
  <c r="S9" i="4"/>
  <c r="B9" i="4"/>
  <c r="U8" i="4"/>
  <c r="T8" i="4"/>
  <c r="S8" i="4"/>
  <c r="B8" i="4"/>
  <c r="U7" i="4"/>
  <c r="T7" i="4"/>
  <c r="S7" i="4"/>
  <c r="B7" i="4"/>
  <c r="U6" i="4"/>
  <c r="T6" i="4"/>
  <c r="S6" i="4"/>
  <c r="B6" i="4"/>
  <c r="U5" i="4"/>
  <c r="T5" i="4"/>
  <c r="S5" i="4"/>
  <c r="B5" i="4"/>
  <c r="U4" i="4"/>
  <c r="T4" i="4"/>
  <c r="S4" i="4"/>
  <c r="B4" i="4"/>
  <c r="W1" i="4"/>
  <c r="AC1" i="4" a="1"/>
  <c r="AC1" i="4"/>
  <c r="W3" i="4" a="1"/>
  <c r="X3" i="4"/>
  <c r="Y3" i="4"/>
  <c r="Z3" i="4"/>
  <c r="AA3" i="4"/>
  <c r="AB3" i="4"/>
  <c r="AC3" i="4"/>
  <c r="W4" i="4"/>
  <c r="X4" i="4"/>
  <c r="Y4" i="4"/>
  <c r="Z4" i="4"/>
  <c r="AA4" i="4"/>
  <c r="AB4" i="4"/>
  <c r="AC4" i="4"/>
  <c r="W5" i="4"/>
  <c r="X5" i="4"/>
  <c r="Y5" i="4"/>
  <c r="Z5" i="4"/>
  <c r="AA5" i="4"/>
  <c r="AB5" i="4"/>
  <c r="AC5" i="4"/>
  <c r="W6" i="4"/>
  <c r="X6" i="4"/>
  <c r="Y6" i="4"/>
  <c r="Z6" i="4"/>
  <c r="AA6" i="4"/>
  <c r="AB6" i="4"/>
  <c r="AC6" i="4"/>
  <c r="W7" i="4"/>
  <c r="X7" i="4"/>
  <c r="Y7" i="4"/>
  <c r="Z7" i="4"/>
  <c r="AA7" i="4"/>
  <c r="AB7" i="4"/>
  <c r="AC7" i="4"/>
  <c r="W8" i="4"/>
  <c r="X8" i="4"/>
  <c r="Y8" i="4"/>
  <c r="Z8" i="4"/>
  <c r="AA8" i="4"/>
  <c r="AB8" i="4"/>
  <c r="AC8" i="4"/>
  <c r="W3" i="4"/>
  <c r="U3" i="4"/>
  <c r="T3" i="4"/>
  <c r="S3" i="4"/>
  <c r="B3" i="4"/>
  <c r="W2" i="4" a="1"/>
  <c r="X2" i="4"/>
  <c r="Y2" i="4"/>
  <c r="Z2" i="4"/>
  <c r="AA2" i="4"/>
  <c r="AB2" i="4"/>
  <c r="AC2" i="4"/>
  <c r="W2" i="4"/>
  <c r="U2" i="4"/>
  <c r="T2" i="4"/>
  <c r="S2" i="4"/>
  <c r="B2" i="4"/>
  <c r="X1" i="4"/>
  <c r="U37" i="3"/>
  <c r="U36" i="3"/>
  <c r="U35" i="3"/>
  <c r="U34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V33" i="3"/>
  <c r="U33" i="3"/>
  <c r="P33" i="3"/>
  <c r="R33" i="3"/>
  <c r="T33" i="3"/>
  <c r="O33" i="3"/>
  <c r="S33" i="3"/>
  <c r="Q33" i="3"/>
  <c r="B33" i="3"/>
  <c r="V32" i="3"/>
  <c r="U32" i="3"/>
  <c r="P32" i="3"/>
  <c r="R32" i="3"/>
  <c r="T32" i="3"/>
  <c r="O32" i="3"/>
  <c r="S32" i="3"/>
  <c r="Q32" i="3"/>
  <c r="B32" i="3"/>
  <c r="V31" i="3"/>
  <c r="U31" i="3"/>
  <c r="P31" i="3"/>
  <c r="R31" i="3"/>
  <c r="T31" i="3"/>
  <c r="O31" i="3"/>
  <c r="S31" i="3"/>
  <c r="Q31" i="3"/>
  <c r="B31" i="3"/>
  <c r="V30" i="3"/>
  <c r="U30" i="3"/>
  <c r="P30" i="3"/>
  <c r="R30" i="3"/>
  <c r="T30" i="3"/>
  <c r="O30" i="3"/>
  <c r="S30" i="3"/>
  <c r="Q30" i="3"/>
  <c r="B30" i="3"/>
  <c r="V29" i="3"/>
  <c r="U29" i="3"/>
  <c r="P29" i="3"/>
  <c r="R29" i="3"/>
  <c r="T29" i="3"/>
  <c r="O29" i="3"/>
  <c r="S29" i="3"/>
  <c r="Q29" i="3"/>
  <c r="B29" i="3"/>
  <c r="V28" i="3"/>
  <c r="U28" i="3"/>
  <c r="P28" i="3"/>
  <c r="R28" i="3"/>
  <c r="T28" i="3"/>
  <c r="O28" i="3"/>
  <c r="S28" i="3"/>
  <c r="Q28" i="3"/>
  <c r="B28" i="3"/>
  <c r="V27" i="3"/>
  <c r="U27" i="3"/>
  <c r="P27" i="3"/>
  <c r="R27" i="3"/>
  <c r="T27" i="3"/>
  <c r="O27" i="3"/>
  <c r="S27" i="3"/>
  <c r="Q27" i="3"/>
  <c r="B27" i="3"/>
  <c r="V26" i="3"/>
  <c r="U26" i="3"/>
  <c r="P26" i="3"/>
  <c r="R26" i="3"/>
  <c r="T26" i="3"/>
  <c r="O26" i="3"/>
  <c r="S26" i="3"/>
  <c r="Q26" i="3"/>
  <c r="B26" i="3"/>
  <c r="V25" i="3"/>
  <c r="U25" i="3"/>
  <c r="P25" i="3"/>
  <c r="R25" i="3"/>
  <c r="T25" i="3"/>
  <c r="O25" i="3"/>
  <c r="S25" i="3"/>
  <c r="Q25" i="3"/>
  <c r="B25" i="3"/>
  <c r="V24" i="3"/>
  <c r="U24" i="3"/>
  <c r="P24" i="3"/>
  <c r="R24" i="3"/>
  <c r="T24" i="3"/>
  <c r="O24" i="3"/>
  <c r="S24" i="3"/>
  <c r="Q24" i="3"/>
  <c r="B24" i="3"/>
  <c r="V23" i="3"/>
  <c r="U23" i="3"/>
  <c r="P23" i="3"/>
  <c r="R23" i="3"/>
  <c r="T23" i="3"/>
  <c r="O23" i="3"/>
  <c r="S23" i="3"/>
  <c r="Q23" i="3"/>
  <c r="B23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W22" i="3"/>
  <c r="V22" i="3"/>
  <c r="U22" i="3"/>
  <c r="P22" i="3"/>
  <c r="R22" i="3"/>
  <c r="T22" i="3"/>
  <c r="O22" i="3"/>
  <c r="S22" i="3"/>
  <c r="B22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W21" i="3"/>
  <c r="V21" i="3"/>
  <c r="U21" i="3"/>
  <c r="T21" i="3"/>
  <c r="O21" i="3"/>
  <c r="S21" i="3"/>
  <c r="B21" i="3"/>
  <c r="W20" i="3"/>
  <c r="V20" i="3"/>
  <c r="U20" i="3"/>
  <c r="T20" i="3"/>
  <c r="O20" i="3"/>
  <c r="S20" i="3"/>
  <c r="B20" i="3"/>
  <c r="W19" i="3"/>
  <c r="V19" i="3"/>
  <c r="U19" i="3"/>
  <c r="T19" i="3"/>
  <c r="O19" i="3"/>
  <c r="S19" i="3"/>
  <c r="B19" i="3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AD18" i="3"/>
  <c r="W18" i="3"/>
  <c r="U18" i="3"/>
  <c r="T18" i="3"/>
  <c r="O18" i="3"/>
  <c r="S18" i="3"/>
  <c r="B18" i="3"/>
  <c r="AD17" i="3"/>
  <c r="W17" i="3"/>
  <c r="U17" i="3"/>
  <c r="T17" i="3"/>
  <c r="O17" i="3"/>
  <c r="S17" i="3"/>
  <c r="B17" i="3"/>
  <c r="AD16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W16" i="3"/>
  <c r="U16" i="3"/>
  <c r="T16" i="3"/>
  <c r="S16" i="3"/>
  <c r="B16" i="3"/>
  <c r="AD15" i="3"/>
  <c r="W15" i="3"/>
  <c r="U15" i="3"/>
  <c r="T15" i="3"/>
  <c r="S15" i="3"/>
  <c r="B15" i="3"/>
  <c r="AD14" i="3"/>
  <c r="W14" i="3"/>
  <c r="U14" i="3"/>
  <c r="T14" i="3"/>
  <c r="S14" i="3"/>
  <c r="B14" i="3"/>
  <c r="AD13" i="3"/>
  <c r="W13" i="3"/>
  <c r="U13" i="3"/>
  <c r="T13" i="3"/>
  <c r="S13" i="3"/>
  <c r="B13" i="3"/>
  <c r="W12" i="3"/>
  <c r="U12" i="3"/>
  <c r="T12" i="3"/>
  <c r="S12" i="3"/>
  <c r="B12" i="3"/>
  <c r="U11" i="3"/>
  <c r="T11" i="3"/>
  <c r="S11" i="3"/>
  <c r="B11" i="3"/>
  <c r="U10" i="3"/>
  <c r="T10" i="3"/>
  <c r="S10" i="3"/>
  <c r="B10" i="3"/>
  <c r="W9" i="3"/>
  <c r="U9" i="3"/>
  <c r="T9" i="3"/>
  <c r="S9" i="3"/>
  <c r="B9" i="3"/>
  <c r="U8" i="3"/>
  <c r="T8" i="3"/>
  <c r="S8" i="3"/>
  <c r="B8" i="3"/>
  <c r="U7" i="3"/>
  <c r="T7" i="3"/>
  <c r="S7" i="3"/>
  <c r="B7" i="3"/>
  <c r="U6" i="3"/>
  <c r="T6" i="3"/>
  <c r="S6" i="3"/>
  <c r="B6" i="3"/>
  <c r="U5" i="3"/>
  <c r="T5" i="3"/>
  <c r="S5" i="3"/>
  <c r="B5" i="3"/>
  <c r="U4" i="3"/>
  <c r="T4" i="3"/>
  <c r="S4" i="3"/>
  <c r="B4" i="3"/>
  <c r="W1" i="3"/>
  <c r="AC1" i="3" a="1"/>
  <c r="AC1" i="3"/>
  <c r="W3" i="3" a="1"/>
  <c r="X3" i="3"/>
  <c r="Y3" i="3"/>
  <c r="Z3" i="3"/>
  <c r="AA3" i="3"/>
  <c r="AB3" i="3"/>
  <c r="AC3" i="3"/>
  <c r="W4" i="3"/>
  <c r="X4" i="3"/>
  <c r="Y4" i="3"/>
  <c r="Z4" i="3"/>
  <c r="AA4" i="3"/>
  <c r="AB4" i="3"/>
  <c r="AC4" i="3"/>
  <c r="W5" i="3"/>
  <c r="X5" i="3"/>
  <c r="Y5" i="3"/>
  <c r="Z5" i="3"/>
  <c r="AA5" i="3"/>
  <c r="AB5" i="3"/>
  <c r="AC5" i="3"/>
  <c r="W6" i="3"/>
  <c r="X6" i="3"/>
  <c r="Y6" i="3"/>
  <c r="Z6" i="3"/>
  <c r="AA6" i="3"/>
  <c r="AB6" i="3"/>
  <c r="AC6" i="3"/>
  <c r="W7" i="3"/>
  <c r="X7" i="3"/>
  <c r="Y7" i="3"/>
  <c r="Z7" i="3"/>
  <c r="AA7" i="3"/>
  <c r="AB7" i="3"/>
  <c r="AC7" i="3"/>
  <c r="W8" i="3"/>
  <c r="X8" i="3"/>
  <c r="Y8" i="3"/>
  <c r="Z8" i="3"/>
  <c r="AA8" i="3"/>
  <c r="AB8" i="3"/>
  <c r="AC8" i="3"/>
  <c r="W3" i="3"/>
  <c r="U3" i="3"/>
  <c r="T3" i="3"/>
  <c r="S3" i="3"/>
  <c r="B3" i="3"/>
  <c r="W2" i="3" a="1"/>
  <c r="X2" i="3"/>
  <c r="Y2" i="3"/>
  <c r="Z2" i="3"/>
  <c r="AA2" i="3"/>
  <c r="AB2" i="3"/>
  <c r="AC2" i="3"/>
  <c r="W2" i="3"/>
  <c r="U2" i="3"/>
  <c r="T2" i="3"/>
  <c r="S2" i="3"/>
  <c r="B2" i="3"/>
  <c r="X1" i="3"/>
  <c r="U37" i="2"/>
  <c r="U36" i="2"/>
  <c r="U35" i="2"/>
  <c r="U34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V33" i="2"/>
  <c r="U33" i="2"/>
  <c r="P33" i="2"/>
  <c r="R33" i="2"/>
  <c r="T33" i="2"/>
  <c r="O33" i="2"/>
  <c r="S33" i="2"/>
  <c r="Q33" i="2"/>
  <c r="B33" i="2"/>
  <c r="V32" i="2"/>
  <c r="U32" i="2"/>
  <c r="P32" i="2"/>
  <c r="R32" i="2"/>
  <c r="T32" i="2"/>
  <c r="O32" i="2"/>
  <c r="S32" i="2"/>
  <c r="Q32" i="2"/>
  <c r="B32" i="2"/>
  <c r="V31" i="2"/>
  <c r="U31" i="2"/>
  <c r="P31" i="2"/>
  <c r="R31" i="2"/>
  <c r="T31" i="2"/>
  <c r="O31" i="2"/>
  <c r="S31" i="2"/>
  <c r="Q31" i="2"/>
  <c r="B31" i="2"/>
  <c r="V30" i="2"/>
  <c r="U30" i="2"/>
  <c r="P30" i="2"/>
  <c r="R30" i="2"/>
  <c r="T30" i="2"/>
  <c r="O30" i="2"/>
  <c r="S30" i="2"/>
  <c r="Q30" i="2"/>
  <c r="B30" i="2"/>
  <c r="V29" i="2"/>
  <c r="U29" i="2"/>
  <c r="P29" i="2"/>
  <c r="R29" i="2"/>
  <c r="T29" i="2"/>
  <c r="O29" i="2"/>
  <c r="S29" i="2"/>
  <c r="Q29" i="2"/>
  <c r="B29" i="2"/>
  <c r="V28" i="2"/>
  <c r="U28" i="2"/>
  <c r="P28" i="2"/>
  <c r="R28" i="2"/>
  <c r="T28" i="2"/>
  <c r="O28" i="2"/>
  <c r="S28" i="2"/>
  <c r="Q28" i="2"/>
  <c r="B28" i="2"/>
  <c r="V27" i="2"/>
  <c r="U27" i="2"/>
  <c r="P27" i="2"/>
  <c r="R27" i="2"/>
  <c r="T27" i="2"/>
  <c r="O27" i="2"/>
  <c r="S27" i="2"/>
  <c r="Q27" i="2"/>
  <c r="B27" i="2"/>
  <c r="V26" i="2"/>
  <c r="U26" i="2"/>
  <c r="P26" i="2"/>
  <c r="R26" i="2"/>
  <c r="T26" i="2"/>
  <c r="O26" i="2"/>
  <c r="S26" i="2"/>
  <c r="Q26" i="2"/>
  <c r="B26" i="2"/>
  <c r="V25" i="2"/>
  <c r="U25" i="2"/>
  <c r="P25" i="2"/>
  <c r="R25" i="2"/>
  <c r="T25" i="2"/>
  <c r="O25" i="2"/>
  <c r="S25" i="2"/>
  <c r="Q25" i="2"/>
  <c r="B25" i="2"/>
  <c r="V24" i="2"/>
  <c r="U24" i="2"/>
  <c r="P24" i="2"/>
  <c r="R24" i="2"/>
  <c r="T24" i="2"/>
  <c r="O24" i="2"/>
  <c r="S24" i="2"/>
  <c r="Q24" i="2"/>
  <c r="B24" i="2"/>
  <c r="V23" i="2"/>
  <c r="U23" i="2"/>
  <c r="P23" i="2"/>
  <c r="R23" i="2"/>
  <c r="T23" i="2"/>
  <c r="O23" i="2"/>
  <c r="S23" i="2"/>
  <c r="Q23" i="2"/>
  <c r="B23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W22" i="2"/>
  <c r="V22" i="2"/>
  <c r="U22" i="2"/>
  <c r="P22" i="2"/>
  <c r="R22" i="2"/>
  <c r="T22" i="2"/>
  <c r="O22" i="2"/>
  <c r="S22" i="2"/>
  <c r="B2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W21" i="2"/>
  <c r="V21" i="2"/>
  <c r="U21" i="2"/>
  <c r="T21" i="2"/>
  <c r="O21" i="2"/>
  <c r="S21" i="2"/>
  <c r="B21" i="2"/>
  <c r="W20" i="2"/>
  <c r="V20" i="2"/>
  <c r="U20" i="2"/>
  <c r="T20" i="2"/>
  <c r="O20" i="2"/>
  <c r="S20" i="2"/>
  <c r="B20" i="2"/>
  <c r="W19" i="2"/>
  <c r="V19" i="2"/>
  <c r="U19" i="2"/>
  <c r="T19" i="2"/>
  <c r="O19" i="2"/>
  <c r="S19" i="2"/>
  <c r="B19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AD18" i="2"/>
  <c r="W18" i="2"/>
  <c r="U18" i="2"/>
  <c r="T18" i="2"/>
  <c r="O18" i="2"/>
  <c r="S18" i="2"/>
  <c r="B18" i="2"/>
  <c r="AD17" i="2"/>
  <c r="W17" i="2"/>
  <c r="U17" i="2"/>
  <c r="T17" i="2"/>
  <c r="O17" i="2"/>
  <c r="S17" i="2"/>
  <c r="B17" i="2"/>
  <c r="AD16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W16" i="2"/>
  <c r="U16" i="2"/>
  <c r="T16" i="2"/>
  <c r="S16" i="2"/>
  <c r="B16" i="2"/>
  <c r="AD15" i="2"/>
  <c r="W15" i="2"/>
  <c r="U15" i="2"/>
  <c r="T15" i="2"/>
  <c r="S15" i="2"/>
  <c r="B15" i="2"/>
  <c r="AD14" i="2"/>
  <c r="W14" i="2"/>
  <c r="U14" i="2"/>
  <c r="T14" i="2"/>
  <c r="S14" i="2"/>
  <c r="B14" i="2"/>
  <c r="AD13" i="2"/>
  <c r="W13" i="2"/>
  <c r="U13" i="2"/>
  <c r="T13" i="2"/>
  <c r="S13" i="2"/>
  <c r="B13" i="2"/>
  <c r="W12" i="2"/>
  <c r="U12" i="2"/>
  <c r="T12" i="2"/>
  <c r="S12" i="2"/>
  <c r="B12" i="2"/>
  <c r="U11" i="2"/>
  <c r="T11" i="2"/>
  <c r="S11" i="2"/>
  <c r="B11" i="2"/>
  <c r="U10" i="2"/>
  <c r="T10" i="2"/>
  <c r="S10" i="2"/>
  <c r="B10" i="2"/>
  <c r="W9" i="2"/>
  <c r="U9" i="2"/>
  <c r="T9" i="2"/>
  <c r="S9" i="2"/>
  <c r="B9" i="2"/>
  <c r="U8" i="2"/>
  <c r="T8" i="2"/>
  <c r="S8" i="2"/>
  <c r="B8" i="2"/>
  <c r="U7" i="2"/>
  <c r="T7" i="2"/>
  <c r="S7" i="2"/>
  <c r="B7" i="2"/>
  <c r="U6" i="2"/>
  <c r="T6" i="2"/>
  <c r="S6" i="2"/>
  <c r="B6" i="2"/>
  <c r="U5" i="2"/>
  <c r="T5" i="2"/>
  <c r="S5" i="2"/>
  <c r="B5" i="2"/>
  <c r="U4" i="2"/>
  <c r="T4" i="2"/>
  <c r="S4" i="2"/>
  <c r="B4" i="2"/>
  <c r="W1" i="2"/>
  <c r="AC1" i="2" a="1"/>
  <c r="AC1" i="2"/>
  <c r="W3" i="2" a="1"/>
  <c r="X3" i="2"/>
  <c r="Y3" i="2"/>
  <c r="Z3" i="2"/>
  <c r="AA3" i="2"/>
  <c r="AB3" i="2"/>
  <c r="AC3" i="2"/>
  <c r="W4" i="2"/>
  <c r="X4" i="2"/>
  <c r="Y4" i="2"/>
  <c r="Z4" i="2"/>
  <c r="AA4" i="2"/>
  <c r="AB4" i="2"/>
  <c r="AC4" i="2"/>
  <c r="W5" i="2"/>
  <c r="X5" i="2"/>
  <c r="Y5" i="2"/>
  <c r="Z5" i="2"/>
  <c r="AA5" i="2"/>
  <c r="AB5" i="2"/>
  <c r="AC5" i="2"/>
  <c r="W6" i="2"/>
  <c r="X6" i="2"/>
  <c r="Y6" i="2"/>
  <c r="Z6" i="2"/>
  <c r="AA6" i="2"/>
  <c r="AB6" i="2"/>
  <c r="AC6" i="2"/>
  <c r="W7" i="2"/>
  <c r="X7" i="2"/>
  <c r="Y7" i="2"/>
  <c r="Z7" i="2"/>
  <c r="AA7" i="2"/>
  <c r="AB7" i="2"/>
  <c r="AC7" i="2"/>
  <c r="W8" i="2"/>
  <c r="X8" i="2"/>
  <c r="Y8" i="2"/>
  <c r="Z8" i="2"/>
  <c r="AA8" i="2"/>
  <c r="AB8" i="2"/>
  <c r="AC8" i="2"/>
  <c r="W3" i="2"/>
  <c r="U3" i="2"/>
  <c r="T3" i="2"/>
  <c r="S3" i="2"/>
  <c r="B3" i="2"/>
  <c r="W2" i="2" a="1"/>
  <c r="X2" i="2"/>
  <c r="Y2" i="2"/>
  <c r="Z2" i="2"/>
  <c r="AA2" i="2"/>
  <c r="AB2" i="2"/>
  <c r="AC2" i="2"/>
  <c r="W2" i="2"/>
  <c r="U2" i="2"/>
  <c r="T2" i="2"/>
  <c r="S2" i="2"/>
  <c r="B2" i="2"/>
  <c r="X1" i="2"/>
  <c r="G31" i="1"/>
  <c r="D31" i="1"/>
  <c r="F29" i="1" a="1"/>
  <c r="F30" i="1"/>
  <c r="F29" i="1"/>
  <c r="D29" i="1" a="1"/>
  <c r="D30" i="1"/>
  <c r="D29" i="1"/>
  <c r="O26" i="1"/>
  <c r="I26" i="1"/>
  <c r="E13" i="1"/>
  <c r="E14" i="1"/>
  <c r="E15" i="1"/>
  <c r="E16" i="1"/>
  <c r="E17" i="1"/>
  <c r="E18" i="1"/>
  <c r="E19" i="1"/>
  <c r="E20" i="1"/>
  <c r="E21" i="1"/>
  <c r="E22" i="1"/>
  <c r="E23" i="1"/>
  <c r="E24" i="1"/>
  <c r="G13" i="1"/>
  <c r="G14" i="1"/>
  <c r="G15" i="1"/>
  <c r="G16" i="1"/>
  <c r="G17" i="1"/>
  <c r="G18" i="1"/>
  <c r="G19" i="1"/>
  <c r="G20" i="1"/>
  <c r="G21" i="1"/>
  <c r="G22" i="1"/>
  <c r="G23" i="1"/>
  <c r="G24" i="1"/>
  <c r="B26" i="1"/>
  <c r="P25" i="1"/>
  <c r="M25" i="1"/>
  <c r="G25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25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Q24" i="1"/>
  <c r="B5" i="1"/>
  <c r="C24" i="1"/>
  <c r="Q23" i="1"/>
  <c r="C23" i="1"/>
  <c r="Q22" i="1"/>
  <c r="C22" i="1"/>
  <c r="Q21" i="1"/>
  <c r="C21" i="1"/>
  <c r="Q20" i="1"/>
  <c r="C20" i="1"/>
  <c r="Q19" i="1"/>
  <c r="C19" i="1"/>
  <c r="Q18" i="1"/>
  <c r="C18" i="1"/>
  <c r="Q17" i="1"/>
  <c r="C17" i="1"/>
  <c r="Q16" i="1"/>
  <c r="C16" i="1"/>
  <c r="Q15" i="1"/>
  <c r="C15" i="1"/>
  <c r="Q14" i="1"/>
  <c r="C14" i="1"/>
  <c r="Q13" i="1"/>
  <c r="C13" i="1"/>
  <c r="Q12" i="1"/>
  <c r="Q11" i="1"/>
  <c r="Q10" i="1"/>
  <c r="C10" i="1"/>
  <c r="Q9" i="1"/>
  <c r="C9" i="1"/>
  <c r="Q8" i="1"/>
  <c r="Q7" i="1"/>
  <c r="Q6" i="1"/>
  <c r="F3" i="1"/>
</calcChain>
</file>

<file path=xl/comments1.xml><?xml version="1.0" encoding="utf-8"?>
<comments xmlns="http://schemas.openxmlformats.org/spreadsheetml/2006/main">
  <authors>
    <author>nikunjkathiria</author>
  </authors>
  <commentList>
    <comment ref="K5" authorId="0" shapeId="0">
      <text>
        <r>
          <rPr>
            <sz val="9"/>
            <rFont val="SimSun"/>
            <charset val="134"/>
          </rPr>
          <t>Input Date should be mm-dd-yy format</t>
        </r>
      </text>
    </comment>
    <comment ref="G7" authorId="0" shapeId="0">
      <text>
        <r>
          <rPr>
            <sz val="9"/>
            <rFont val="SimSun"/>
            <charset val="134"/>
          </rPr>
          <t>Default Sunday</t>
        </r>
      </text>
    </comment>
    <comment ref="G9" authorId="0" shapeId="0">
      <text>
        <r>
          <rPr>
            <sz val="9"/>
            <rFont val="SimSun"/>
            <charset val="134"/>
          </rPr>
          <t>Default Sunday</t>
        </r>
      </text>
    </comment>
    <comment ref="G10" authorId="0" shapeId="0">
      <text>
        <r>
          <rPr>
            <sz val="9"/>
            <rFont val="SimSun"/>
            <charset val="134"/>
          </rPr>
          <t>Default Sunday</t>
        </r>
      </text>
    </comment>
  </commentList>
</comments>
</file>

<file path=xl/comments2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3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4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5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6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7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8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9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10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11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12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comments13.xml><?xml version="1.0" encoding="utf-8"?>
<comments xmlns="http://schemas.openxmlformats.org/spreadsheetml/2006/main">
  <authors>
    <author>nikunjkathiria</author>
  </authors>
  <commentList>
    <comment ref="R1" authorId="0" shapeId="0">
      <text>
        <r>
          <rPr>
            <sz val="9"/>
            <rFont val="SimSun"/>
            <charset val="134"/>
          </rPr>
          <t xml:space="preserve"> Expected Hours
You can insert manualy</t>
        </r>
      </text>
    </comment>
    <comment ref="T1" authorId="0" shapeId="0">
      <text>
        <r>
          <rPr>
            <sz val="9"/>
            <rFont val="SimSun"/>
            <charset val="134"/>
          </rPr>
          <t>Difference of Work-Hour and Expected Hour</t>
        </r>
      </text>
    </comment>
  </commentList>
</comments>
</file>

<file path=xl/sharedStrings.xml><?xml version="1.0" encoding="utf-8"?>
<sst xmlns="http://schemas.openxmlformats.org/spreadsheetml/2006/main" count="366" uniqueCount="52">
  <si>
    <t>Time Calculation - Dashboard</t>
  </si>
  <si>
    <t>Developed by Nikunj Kathiriya</t>
  </si>
  <si>
    <t>Joining Date</t>
  </si>
  <si>
    <t>E-Mail</t>
  </si>
  <si>
    <t>Mobile</t>
  </si>
  <si>
    <t>Yearly Settings</t>
  </si>
  <si>
    <t>Leaves</t>
  </si>
  <si>
    <t>Calculation</t>
  </si>
  <si>
    <t>Leave Date</t>
  </si>
  <si>
    <t>Type</t>
  </si>
  <si>
    <t>Details / Reason</t>
  </si>
  <si>
    <t>Holidays</t>
  </si>
  <si>
    <t>Date</t>
  </si>
  <si>
    <t>Day</t>
  </si>
  <si>
    <t>Details</t>
  </si>
  <si>
    <t>Select Year (Use Scroll Bar)</t>
  </si>
  <si>
    <t>Sick leave</t>
  </si>
  <si>
    <t>Health isssue facing</t>
  </si>
  <si>
    <t>MakarSankranti</t>
  </si>
  <si>
    <t>Full Day Time</t>
  </si>
  <si>
    <t>First Day of week</t>
  </si>
  <si>
    <t>Monday</t>
  </si>
  <si>
    <t>26 Republican Day</t>
  </si>
  <si>
    <t>Monday,Tuesday,Wednesday,Thursday,Friday,Saturday,Sunday</t>
  </si>
  <si>
    <t>Half Day Time</t>
  </si>
  <si>
    <t>Total Yearly Leaves</t>
  </si>
  <si>
    <t>Holi/Dhuleti</t>
  </si>
  <si>
    <t>All</t>
  </si>
  <si>
    <t>Sunday</t>
  </si>
  <si>
    <t>Saturday</t>
  </si>
  <si>
    <t>Month wise hour details</t>
  </si>
  <si>
    <t>Month</t>
  </si>
  <si>
    <t>Break-Hrs</t>
  </si>
  <si>
    <t>Work-Hrs</t>
  </si>
  <si>
    <t>Total-Hrs</t>
  </si>
  <si>
    <t>Average Hrs</t>
  </si>
  <si>
    <t>Total</t>
  </si>
  <si>
    <t>-</t>
  </si>
  <si>
    <t>In</t>
  </si>
  <si>
    <t>Out</t>
  </si>
  <si>
    <t>Br-Hrs</t>
  </si>
  <si>
    <t>Total Hrs</t>
  </si>
  <si>
    <t>Exp. Hrs</t>
  </si>
  <si>
    <t>Exp.Time</t>
  </si>
  <si>
    <t>Diff</t>
  </si>
  <si>
    <t>leaves</t>
  </si>
  <si>
    <t>holy</t>
  </si>
  <si>
    <t>Yearly Time Sheet</t>
  </si>
  <si>
    <t>Extra Notes</t>
  </si>
  <si>
    <t>Time</t>
  </si>
  <si>
    <t>Note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</si>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</sst>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/mmm/yy;@"/>
    <numFmt numFmtId="165" formatCode="[$-409]h:mm\ AM/PM;@"/>
    <numFmt numFmtId="166" formatCode="dddd"/>
    <numFmt numFmtId="167" formatCode="[h]:mm"/>
    <numFmt numFmtId="168" formatCode="mmmm/yy"/>
    <numFmt numFmtId="169" formatCode="ddd"/>
    <numFmt numFmtId="170" formatCode="d"/>
    <numFmt numFmtId="171" formatCode="0.0"/>
    <numFmt numFmtId="172" formatCode="dd/mm/yyyy"/>
    <numFmt numFmtId="173" formatCode="[$-409]d/mmm/yyyy;@"/>
    <numFmt numFmtId="174" formatCode="[$-409]mmmm/yy;@"/>
    <numFmt numFmtId="175" formatCode="0;[Red]0"/>
    <numFmt numFmtId="176" formatCode="0.0;[Red]0.0"/>
    <numFmt numFmtId="177" formatCode="d/mmm/yy;@"/>
  </numFmts>
  <fonts count="34">
    <font>
      <sz val="11"/>
      <color indexed="8"/>
      <name val="Calibri"/>
      <charset val="134"/>
    </font>
    <font>
      <sz val="9"/>
      <color indexed="8"/>
      <name val="Calibri"/>
      <charset val="134"/>
    </font>
    <font>
      <b/>
      <sz val="9"/>
      <color indexed="9"/>
      <name val="Calibri"/>
      <charset val="134"/>
    </font>
    <font>
      <u/>
      <sz val="9"/>
      <color indexed="9"/>
      <name val="Calibri"/>
      <charset val="134"/>
    </font>
    <font>
      <b/>
      <i/>
      <sz val="9"/>
      <color indexed="17"/>
      <name val="Calibri"/>
      <charset val="134"/>
    </font>
    <font>
      <b/>
      <i/>
      <sz val="11"/>
      <color indexed="8"/>
      <name val="Calibri"/>
      <charset val="134"/>
    </font>
    <font>
      <b/>
      <sz val="9"/>
      <color indexed="8"/>
      <name val="Calibri"/>
      <charset val="134"/>
    </font>
    <font>
      <b/>
      <i/>
      <sz val="9"/>
      <name val="Calibri"/>
      <charset val="134"/>
    </font>
    <font>
      <b/>
      <sz val="11"/>
      <color indexed="26"/>
      <name val="Calibri"/>
      <charset val="134"/>
    </font>
    <font>
      <b/>
      <sz val="9"/>
      <name val="Calibri"/>
      <charset val="134"/>
    </font>
    <font>
      <b/>
      <i/>
      <sz val="9"/>
      <color indexed="9"/>
      <name val="Calibri"/>
      <charset val="134"/>
    </font>
    <font>
      <b/>
      <i/>
      <u/>
      <sz val="10"/>
      <color rgb="FF800080"/>
      <name val="Calibri"/>
      <charset val="134"/>
    </font>
    <font>
      <b/>
      <sz val="10"/>
      <name val="Calibri"/>
      <charset val="134"/>
    </font>
    <font>
      <sz val="8"/>
      <name val="Calibri"/>
      <charset val="134"/>
    </font>
    <font>
      <sz val="9"/>
      <color indexed="9"/>
      <name val="Calibri"/>
      <charset val="134"/>
    </font>
    <font>
      <sz val="9"/>
      <name val="Calibri"/>
      <charset val="134"/>
    </font>
    <font>
      <b/>
      <i/>
      <u/>
      <sz val="10"/>
      <color indexed="12"/>
      <name val="Calibri"/>
      <charset val="134"/>
    </font>
    <font>
      <sz val="8"/>
      <color indexed="8"/>
      <name val="Calibri"/>
      <charset val="134"/>
    </font>
    <font>
      <b/>
      <i/>
      <sz val="11"/>
      <color indexed="9"/>
      <name val="Calibri"/>
      <charset val="134"/>
    </font>
    <font>
      <b/>
      <sz val="11"/>
      <color indexed="8"/>
      <name val="Calibri"/>
      <charset val="134"/>
    </font>
    <font>
      <i/>
      <sz val="10"/>
      <color indexed="8"/>
      <name val="Calibri"/>
      <charset val="134"/>
    </font>
    <font>
      <b/>
      <i/>
      <sz val="14"/>
      <color indexed="8"/>
      <name val="Calibri"/>
      <charset val="134"/>
    </font>
    <font>
      <b/>
      <sz val="11"/>
      <color indexed="9"/>
      <name val="Calibri"/>
      <charset val="134"/>
    </font>
    <font>
      <b/>
      <sz val="10"/>
      <color indexed="8"/>
      <name val="Calibri"/>
      <charset val="134"/>
    </font>
    <font>
      <sz val="11"/>
      <color indexed="55"/>
      <name val="Calibri"/>
      <charset val="134"/>
    </font>
    <font>
      <sz val="11"/>
      <name val="Calibri"/>
      <charset val="134"/>
    </font>
    <font>
      <b/>
      <sz val="10"/>
      <color indexed="9"/>
      <name val="Calibri"/>
      <charset val="134"/>
    </font>
    <font>
      <b/>
      <sz val="11"/>
      <name val="Calibri"/>
      <charset val="134"/>
    </font>
    <font>
      <i/>
      <sz val="11"/>
      <color indexed="8"/>
      <name val="Calibri"/>
      <charset val="134"/>
    </font>
    <font>
      <sz val="11"/>
      <color indexed="9"/>
      <name val="Calibri"/>
      <charset val="134"/>
    </font>
    <font>
      <b/>
      <i/>
      <u/>
      <sz val="11"/>
      <color indexed="9"/>
      <name val="Calibri"/>
      <charset val="134"/>
    </font>
    <font>
      <u/>
      <sz val="11"/>
      <color indexed="12"/>
      <name val="Calibri"/>
      <charset val="134"/>
    </font>
    <font>
      <sz val="10"/>
      <name val="Arial"/>
      <charset val="134"/>
    </font>
    <font>
      <sz val="9"/>
      <name val="SimSun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  <fill>
      <patternFill patternType="lightGrid">
        <fgColor indexed="40"/>
      </patternFill>
    </fill>
    <fill>
      <patternFill patternType="darkGrid">
        <fgColor indexed="40"/>
        <bgColor indexed="27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mediumGray">
        <fgColor indexed="44"/>
        <bgColor indexed="4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9"/>
      </patternFill>
    </fill>
  </fills>
  <borders count="86">
    <border>
      <left/>
      <right/>
      <top/>
      <bottom/>
      <diagonal/>
    </border>
    <border>
      <left style="thin">
        <color auto="1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44"/>
      </right>
      <top style="thin">
        <color auto="1"/>
      </top>
      <bottom style="thin">
        <color indexed="44"/>
      </bottom>
      <diagonal/>
    </border>
    <border>
      <left style="thin">
        <color indexed="44"/>
      </left>
      <right style="thin">
        <color auto="1"/>
      </right>
      <top style="thin">
        <color auto="1"/>
      </top>
      <bottom style="thin">
        <color indexed="44"/>
      </bottom>
      <diagonal/>
    </border>
    <border>
      <left style="thin">
        <color auto="1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auto="1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indexed="44"/>
      </right>
      <top style="thin">
        <color indexed="44"/>
      </top>
      <bottom style="thin">
        <color auto="1"/>
      </bottom>
      <diagonal/>
    </border>
    <border>
      <left style="thin">
        <color indexed="44"/>
      </left>
      <right style="thin">
        <color auto="1"/>
      </right>
      <top style="thin">
        <color indexed="4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auto="1"/>
      </top>
      <bottom/>
      <diagonal/>
    </border>
    <border>
      <left style="thin">
        <color indexed="44"/>
      </left>
      <right style="thin">
        <color indexed="44"/>
      </right>
      <top style="thin">
        <color auto="1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/>
      <bottom style="thin">
        <color auto="1"/>
      </bottom>
      <diagonal/>
    </border>
    <border>
      <left style="thin">
        <color indexed="55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3"/>
      </bottom>
      <diagonal/>
    </border>
    <border>
      <left/>
      <right/>
      <top style="thin">
        <color auto="1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indexed="63"/>
      </top>
      <bottom style="thin">
        <color auto="1"/>
      </bottom>
      <diagonal/>
    </border>
    <border>
      <left/>
      <right/>
      <top style="thin">
        <color indexed="63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44"/>
      </bottom>
      <diagonal/>
    </border>
    <border>
      <left/>
      <right/>
      <top style="thin">
        <color auto="1"/>
      </top>
      <bottom style="thin">
        <color indexed="44"/>
      </bottom>
      <diagonal/>
    </border>
    <border>
      <left style="thin">
        <color auto="1"/>
      </left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auto="1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auto="1"/>
      </left>
      <right/>
      <top style="thin">
        <color indexed="44"/>
      </top>
      <bottom style="thin">
        <color auto="1"/>
      </bottom>
      <diagonal/>
    </border>
    <border>
      <left/>
      <right style="thin">
        <color indexed="44"/>
      </right>
      <top style="thin">
        <color indexed="44"/>
      </top>
      <bottom style="thin">
        <color auto="1"/>
      </bottom>
      <diagonal/>
    </border>
    <border>
      <left/>
      <right style="thin">
        <color auto="1"/>
      </right>
      <top/>
      <bottom style="thin">
        <color indexed="23"/>
      </bottom>
      <diagonal/>
    </border>
    <border>
      <left style="thin">
        <color indexed="23"/>
      </left>
      <right style="thin">
        <color auto="1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auto="1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auto="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auto="1"/>
      </bottom>
      <diagonal/>
    </border>
    <border>
      <left/>
      <right/>
      <top style="thin">
        <color indexed="44"/>
      </top>
      <bottom style="thin">
        <color auto="1"/>
      </bottom>
      <diagonal/>
    </border>
    <border>
      <left/>
      <right style="thin">
        <color auto="1"/>
      </right>
      <top style="thin">
        <color indexed="44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4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2" fillId="7" borderId="26" applyNumberFormat="0">
      <alignment horizontal="center" vertical="center"/>
    </xf>
  </cellStyleXfs>
  <cellXfs count="246">
    <xf numFmtId="0" fontId="0" fillId="0" borderId="0" xfId="0" applyAlignment="1"/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0" xfId="0" applyNumberFormat="1" applyFont="1" applyAlignment="1" applyProtection="1">
      <alignment horizontal="center" vertical="center" wrapText="1"/>
      <protection hidden="1"/>
    </xf>
    <xf numFmtId="165" fontId="1" fillId="0" borderId="0" xfId="0" applyNumberFormat="1" applyFont="1" applyAlignment="1" applyProtection="1">
      <alignment horizontal="center" vertical="center" wrapText="1"/>
      <protection locked="0"/>
    </xf>
    <xf numFmtId="20" fontId="1" fillId="0" borderId="0" xfId="0" applyNumberFormat="1" applyFont="1" applyAlignment="1" applyProtection="1">
      <alignment horizontal="center" vertical="center" wrapText="1"/>
      <protection hidden="1"/>
    </xf>
    <xf numFmtId="20" fontId="1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/>
      <protection hidden="1"/>
    </xf>
    <xf numFmtId="0" fontId="1" fillId="0" borderId="0" xfId="0" applyFont="1" applyAlignment="1" applyProtection="1">
      <protection hidden="1"/>
    </xf>
    <xf numFmtId="16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165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164" fontId="1" fillId="0" borderId="3" xfId="0" applyNumberFormat="1" applyFont="1" applyFill="1" applyBorder="1" applyAlignment="1" applyProtection="1">
      <alignment horizontal="center" vertical="center" wrapText="1"/>
      <protection hidden="1"/>
    </xf>
    <xf numFmtId="166" fontId="1" fillId="0" borderId="4" xfId="0" applyNumberFormat="1" applyFont="1" applyFill="1" applyBorder="1" applyAlignment="1" applyProtection="1">
      <alignment horizontal="center" vertical="center" wrapText="1"/>
      <protection hidden="1"/>
    </xf>
    <xf numFmtId="165" fontId="1" fillId="0" borderId="3" xfId="0" applyNumberFormat="1" applyFont="1" applyBorder="1" applyAlignment="1" applyProtection="1">
      <alignment horizontal="center" vertical="center" wrapText="1"/>
      <protection locked="0"/>
    </xf>
    <xf numFmtId="165" fontId="1" fillId="0" borderId="4" xfId="0" applyNumberFormat="1" applyFont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Fill="1" applyBorder="1" applyAlignment="1" applyProtection="1">
      <alignment horizontal="center" vertical="center" wrapText="1"/>
      <protection hidden="1"/>
    </xf>
    <xf numFmtId="166" fontId="1" fillId="0" borderId="6" xfId="0" applyNumberFormat="1" applyFont="1" applyFill="1" applyBorder="1" applyAlignment="1" applyProtection="1">
      <alignment horizontal="center" vertical="center" wrapText="1"/>
      <protection hidden="1"/>
    </xf>
    <xf numFmtId="165" fontId="1" fillId="0" borderId="5" xfId="0" applyNumberFormat="1" applyFont="1" applyBorder="1" applyAlignment="1" applyProtection="1">
      <alignment horizontal="center" vertical="center" wrapText="1"/>
      <protection locked="0"/>
    </xf>
    <xf numFmtId="165" fontId="1" fillId="0" borderId="6" xfId="0" applyNumberFormat="1" applyFont="1" applyBorder="1" applyAlignment="1" applyProtection="1">
      <alignment horizontal="center" vertical="center" wrapText="1"/>
      <protection locked="0"/>
    </xf>
    <xf numFmtId="164" fontId="1" fillId="0" borderId="7" xfId="0" applyNumberFormat="1" applyFont="1" applyFill="1" applyBorder="1" applyAlignment="1" applyProtection="1">
      <alignment horizontal="center" vertical="center" wrapText="1"/>
      <protection hidden="1"/>
    </xf>
    <xf numFmtId="166" fontId="1" fillId="0" borderId="8" xfId="0" applyNumberFormat="1" applyFont="1" applyFill="1" applyBorder="1" applyAlignment="1" applyProtection="1">
      <alignment horizontal="center" vertical="center" wrapText="1"/>
      <protection hidden="1"/>
    </xf>
    <xf numFmtId="165" fontId="1" fillId="0" borderId="7" xfId="0" applyNumberFormat="1" applyFont="1" applyBorder="1" applyAlignment="1" applyProtection="1">
      <alignment horizontal="center" vertical="center" wrapText="1"/>
      <protection locked="0"/>
    </xf>
    <xf numFmtId="165" fontId="1" fillId="0" borderId="8" xfId="0" applyNumberFormat="1" applyFont="1" applyBorder="1" applyAlignment="1" applyProtection="1">
      <alignment horizontal="center" vertical="center" wrapText="1"/>
      <protection locked="0"/>
    </xf>
    <xf numFmtId="164" fontId="1" fillId="0" borderId="9" xfId="0" applyNumberFormat="1" applyFont="1" applyBorder="1" applyAlignment="1" applyProtection="1">
      <alignment horizontal="center" vertical="center" wrapText="1"/>
      <protection locked="0"/>
    </xf>
    <xf numFmtId="164" fontId="1" fillId="0" borderId="9" xfId="0" applyNumberFormat="1" applyFont="1" applyBorder="1" applyAlignment="1" applyProtection="1">
      <alignment horizontal="center" vertical="center" wrapText="1"/>
      <protection hidden="1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20" fontId="2" fillId="2" borderId="10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3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11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5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12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7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13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9" xfId="0" applyNumberFormat="1" applyFont="1" applyFill="1" applyBorder="1" applyAlignment="1" applyProtection="1">
      <alignment horizontal="center" vertical="center" wrapText="1"/>
      <protection hidden="1"/>
    </xf>
    <xf numFmtId="20" fontId="2" fillId="2" borderId="14" xfId="0" applyNumberFormat="1" applyFont="1" applyFill="1" applyBorder="1" applyAlignment="1" applyProtection="1">
      <alignment horizontal="center" vertical="center" wrapText="1"/>
      <protection hidden="1"/>
    </xf>
    <xf numFmtId="20" fontId="2" fillId="2" borderId="15" xfId="0" applyNumberFormat="1" applyFont="1" applyFill="1" applyBorder="1" applyAlignment="1" applyProtection="1">
      <alignment horizontal="center" vertical="center" wrapText="1"/>
      <protection hidden="1"/>
    </xf>
    <xf numFmtId="168" fontId="4" fillId="4" borderId="18" xfId="0" applyNumberFormat="1" applyFont="1" applyFill="1" applyBorder="1" applyAlignment="1" applyProtection="1">
      <alignment vertical="center"/>
      <protection hidden="1"/>
    </xf>
    <xf numFmtId="167" fontId="1" fillId="0" borderId="4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3" xfId="0" applyNumberFormat="1" applyFont="1" applyBorder="1" applyAlignment="1" applyProtection="1">
      <alignment horizontal="center" vertical="center" wrapText="1"/>
      <protection locked="0" hidden="1"/>
    </xf>
    <xf numFmtId="165" fontId="1" fillId="0" borderId="11" xfId="0" applyNumberFormat="1" applyFont="1" applyBorder="1" applyAlignment="1" applyProtection="1">
      <alignment horizontal="center" vertical="center" wrapText="1"/>
      <protection hidden="1"/>
    </xf>
    <xf numFmtId="167" fontId="1" fillId="0" borderId="20" xfId="0" applyNumberFormat="1" applyFont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left" vertical="center"/>
      <protection hidden="1"/>
    </xf>
    <xf numFmtId="169" fontId="6" fillId="4" borderId="21" xfId="0" applyNumberFormat="1" applyFont="1" applyFill="1" applyBorder="1" applyAlignment="1" applyProtection="1">
      <alignment horizontal="center" vertical="center"/>
      <protection hidden="1"/>
    </xf>
    <xf numFmtId="167" fontId="1" fillId="0" borderId="6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5" xfId="0" applyNumberFormat="1" applyFont="1" applyBorder="1" applyAlignment="1" applyProtection="1">
      <alignment horizontal="center" vertical="center" wrapText="1"/>
      <protection locked="0" hidden="1"/>
    </xf>
    <xf numFmtId="165" fontId="1" fillId="0" borderId="12" xfId="0" applyNumberFormat="1" applyFont="1" applyBorder="1" applyAlignment="1" applyProtection="1">
      <alignment horizontal="center" vertical="center" wrapText="1"/>
      <protection hidden="1"/>
    </xf>
    <xf numFmtId="167" fontId="1" fillId="0" borderId="22" xfId="0" applyNumberFormat="1" applyFont="1" applyBorder="1" applyAlignment="1" applyProtection="1">
      <alignment horizontal="center" vertical="center"/>
      <protection hidden="1"/>
    </xf>
    <xf numFmtId="170" fontId="1" fillId="0" borderId="23" xfId="0" applyNumberFormat="1" applyFont="1" applyBorder="1" applyAlignment="1" applyProtection="1">
      <alignment horizontal="center" vertical="center"/>
      <protection hidden="1"/>
    </xf>
    <xf numFmtId="170" fontId="1" fillId="0" borderId="24" xfId="0" applyNumberFormat="1" applyFont="1" applyBorder="1" applyAlignment="1" applyProtection="1">
      <alignment horizontal="center" vertical="center"/>
      <protection hidden="1"/>
    </xf>
    <xf numFmtId="170" fontId="1" fillId="0" borderId="25" xfId="0" applyNumberFormat="1" applyFont="1" applyBorder="1" applyAlignment="1" applyProtection="1">
      <alignment horizontal="center" vertical="center"/>
      <protection hidden="1"/>
    </xf>
    <xf numFmtId="170" fontId="1" fillId="0" borderId="26" xfId="0" applyNumberFormat="1" applyFont="1" applyBorder="1" applyAlignment="1" applyProtection="1">
      <alignment horizontal="center" vertical="center"/>
      <protection hidden="1"/>
    </xf>
    <xf numFmtId="170" fontId="1" fillId="0" borderId="27" xfId="0" applyNumberFormat="1" applyFont="1" applyBorder="1" applyAlignment="1" applyProtection="1">
      <alignment horizontal="center" vertical="center"/>
      <protection hidden="1"/>
    </xf>
    <xf numFmtId="170" fontId="1" fillId="0" borderId="28" xfId="0" applyNumberFormat="1" applyFont="1" applyBorder="1" applyAlignment="1" applyProtection="1">
      <alignment horizontal="center" vertical="center"/>
      <protection hidden="1"/>
    </xf>
    <xf numFmtId="168" fontId="2" fillId="6" borderId="16" xfId="0" applyNumberFormat="1" applyFont="1" applyFill="1" applyBorder="1" applyAlignment="1" applyProtection="1">
      <alignment vertical="center" wrapText="1"/>
      <protection hidden="1"/>
    </xf>
    <xf numFmtId="167" fontId="1" fillId="0" borderId="8" xfId="0" applyNumberFormat="1" applyFont="1" applyFill="1" applyBorder="1" applyAlignment="1" applyProtection="1">
      <alignment horizontal="center" vertical="center" wrapText="1"/>
      <protection hidden="1"/>
    </xf>
    <xf numFmtId="167" fontId="1" fillId="0" borderId="7" xfId="0" applyNumberFormat="1" applyFont="1" applyFill="1" applyBorder="1" applyAlignment="1" applyProtection="1">
      <alignment horizontal="center" vertical="center" wrapText="1"/>
      <protection locked="0" hidden="1"/>
    </xf>
    <xf numFmtId="165" fontId="1" fillId="0" borderId="13" xfId="0" applyNumberFormat="1" applyFont="1" applyBorder="1" applyAlignment="1" applyProtection="1">
      <alignment horizontal="center" vertical="center" wrapText="1"/>
      <protection hidden="1"/>
    </xf>
    <xf numFmtId="167" fontId="1" fillId="0" borderId="9" xfId="0" applyNumberFormat="1" applyFont="1" applyBorder="1" applyAlignment="1" applyProtection="1">
      <alignment horizontal="center" vertical="center" wrapText="1"/>
      <protection hidden="1"/>
    </xf>
    <xf numFmtId="167" fontId="1" fillId="0" borderId="0" xfId="0" applyNumberFormat="1" applyFont="1" applyBorder="1" applyAlignment="1" applyProtection="1">
      <alignment horizontal="center" vertical="center" wrapText="1"/>
      <protection hidden="1"/>
    </xf>
    <xf numFmtId="164" fontId="14" fillId="0" borderId="9" xfId="0" applyNumberFormat="1" applyFont="1" applyFill="1" applyBorder="1" applyAlignment="1" applyProtection="1">
      <alignment vertical="top"/>
      <protection hidden="1"/>
    </xf>
    <xf numFmtId="0" fontId="1" fillId="0" borderId="9" xfId="0" applyFont="1" applyBorder="1" applyAlignment="1" applyProtection="1">
      <protection hidden="1"/>
    </xf>
    <xf numFmtId="164" fontId="14" fillId="0" borderId="0" xfId="0" applyNumberFormat="1" applyFont="1" applyFill="1" applyBorder="1" applyAlignment="1" applyProtection="1">
      <alignment vertical="top"/>
      <protection hidden="1"/>
    </xf>
    <xf numFmtId="0" fontId="1" fillId="0" borderId="0" xfId="0" applyFont="1" applyBorder="1" applyAlignment="1" applyProtection="1">
      <protection hidden="1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167" fontId="1" fillId="0" borderId="0" xfId="0" applyNumberFormat="1" applyFont="1" applyAlignment="1" applyProtection="1">
      <alignment horizontal="center" vertical="center" wrapText="1"/>
      <protection locked="0"/>
    </xf>
    <xf numFmtId="164" fontId="14" fillId="0" borderId="0" xfId="0" applyNumberFormat="1" applyFont="1" applyFill="1" applyAlignment="1" applyProtection="1">
      <alignment vertical="top"/>
      <protection hidden="1"/>
    </xf>
    <xf numFmtId="168" fontId="4" fillId="4" borderId="45" xfId="0" applyNumberFormat="1" applyFont="1" applyFill="1" applyBorder="1" applyAlignment="1" applyProtection="1">
      <alignment vertical="center"/>
      <protection hidden="1"/>
    </xf>
    <xf numFmtId="0" fontId="1" fillId="0" borderId="22" xfId="0" applyFont="1" applyBorder="1" applyAlignment="1" applyProtection="1">
      <protection hidden="1"/>
    </xf>
    <xf numFmtId="169" fontId="9" fillId="4" borderId="46" xfId="0" applyNumberFormat="1" applyFont="1" applyFill="1" applyBorder="1" applyAlignment="1" applyProtection="1">
      <alignment horizontal="center" vertical="center"/>
      <protection hidden="1"/>
    </xf>
    <xf numFmtId="170" fontId="1" fillId="0" borderId="47" xfId="0" applyNumberFormat="1" applyFont="1" applyBorder="1" applyAlignment="1" applyProtection="1">
      <alignment horizontal="center" vertical="center"/>
      <protection hidden="1"/>
    </xf>
    <xf numFmtId="170" fontId="1" fillId="0" borderId="48" xfId="0" applyNumberFormat="1" applyFont="1" applyBorder="1" applyAlignment="1" applyProtection="1">
      <alignment horizontal="center" vertical="center"/>
      <protection hidden="1"/>
    </xf>
    <xf numFmtId="170" fontId="1" fillId="0" borderId="49" xfId="0" applyNumberFormat="1" applyFont="1" applyBorder="1" applyAlignment="1" applyProtection="1">
      <alignment horizontal="center" vertical="center"/>
      <protection hidden="1"/>
    </xf>
    <xf numFmtId="20" fontId="2" fillId="6" borderId="52" xfId="0" applyNumberFormat="1" applyFont="1" applyFill="1" applyBorder="1" applyAlignment="1" applyProtection="1">
      <alignment vertical="center" wrapText="1"/>
      <protection hidden="1"/>
    </xf>
    <xf numFmtId="0" fontId="14" fillId="0" borderId="22" xfId="0" applyFont="1" applyBorder="1" applyAlignment="1" applyProtection="1">
      <protection hidden="1"/>
    </xf>
    <xf numFmtId="0" fontId="14" fillId="0" borderId="0" xfId="0" applyFont="1" applyAlignment="1" applyProtection="1">
      <protection hidden="1"/>
    </xf>
    <xf numFmtId="0" fontId="14" fillId="0" borderId="0" xfId="0" applyNumberFormat="1" applyFont="1" applyAlignment="1" applyProtection="1">
      <protection hidden="1"/>
    </xf>
    <xf numFmtId="172" fontId="15" fillId="0" borderId="22" xfId="0" applyNumberFormat="1" applyFont="1" applyBorder="1" applyAlignment="1" applyProtection="1">
      <protection hidden="1"/>
    </xf>
    <xf numFmtId="0" fontId="15" fillId="0" borderId="0" xfId="0" applyFont="1" applyAlignment="1" applyProtection="1">
      <protection hidden="1"/>
    </xf>
    <xf numFmtId="167" fontId="9" fillId="10" borderId="12" xfId="0" applyNumberFormat="1" applyFont="1" applyFill="1" applyBorder="1" applyAlignment="1" applyProtection="1">
      <alignment horizontal="center" vertical="center"/>
      <protection hidden="1"/>
    </xf>
    <xf numFmtId="167" fontId="17" fillId="0" borderId="57" xfId="0" applyNumberFormat="1" applyFont="1" applyBorder="1" applyAlignment="1" applyProtection="1">
      <alignment horizontal="center" vertical="center"/>
      <protection locked="0"/>
    </xf>
    <xf numFmtId="167" fontId="17" fillId="0" borderId="12" xfId="0" applyNumberFormat="1" applyFont="1" applyBorder="1" applyAlignment="1" applyProtection="1">
      <alignment horizontal="center" vertical="center"/>
      <protection locked="0"/>
    </xf>
    <xf numFmtId="167" fontId="17" fillId="0" borderId="13" xfId="0" applyNumberFormat="1" applyFont="1" applyBorder="1" applyAlignment="1" applyProtection="1">
      <alignment horizontal="center" vertical="center"/>
      <protection locked="0"/>
    </xf>
    <xf numFmtId="164" fontId="14" fillId="0" borderId="9" xfId="0" applyNumberFormat="1" applyFont="1" applyBorder="1" applyAlignment="1" applyProtection="1">
      <alignment vertical="top"/>
      <protection hidden="1"/>
    </xf>
    <xf numFmtId="164" fontId="14" fillId="0" borderId="0" xfId="0" applyNumberFormat="1" applyFont="1" applyBorder="1" applyAlignment="1" applyProtection="1">
      <alignment vertical="top"/>
      <protection hidden="1"/>
    </xf>
    <xf numFmtId="164" fontId="14" fillId="0" borderId="0" xfId="0" applyNumberFormat="1" applyFont="1" applyAlignment="1" applyProtection="1">
      <alignment vertical="top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protection hidden="1"/>
    </xf>
    <xf numFmtId="0" fontId="18" fillId="0" borderId="67" xfId="0" applyFont="1" applyFill="1" applyBorder="1" applyAlignment="1" applyProtection="1">
      <alignment horizontal="center" vertical="center"/>
      <protection locked="0" hidden="1"/>
    </xf>
    <xf numFmtId="0" fontId="18" fillId="12" borderId="67" xfId="0" applyFont="1" applyFill="1" applyBorder="1" applyAlignment="1" applyProtection="1">
      <alignment horizontal="center" vertical="center"/>
      <protection locked="0" hidden="1"/>
    </xf>
    <xf numFmtId="0" fontId="18" fillId="13" borderId="0" xfId="0" applyFont="1" applyFill="1" applyBorder="1" applyAlignment="1" applyProtection="1">
      <alignment horizontal="center" vertical="center"/>
      <protection locked="0" hidden="1"/>
    </xf>
    <xf numFmtId="0" fontId="18" fillId="13" borderId="30" xfId="0" applyFont="1" applyFill="1" applyBorder="1" applyAlignment="1" applyProtection="1">
      <alignment horizontal="center" vertical="center"/>
      <protection locked="0" hidden="1"/>
    </xf>
    <xf numFmtId="0" fontId="0" fillId="0" borderId="67" xfId="0" applyBorder="1" applyAlignment="1" applyProtection="1">
      <alignment horizontal="center"/>
      <protection hidden="1"/>
    </xf>
    <xf numFmtId="0" fontId="0" fillId="13" borderId="0" xfId="0" applyFill="1" applyAlignment="1" applyProtection="1">
      <protection hidden="1"/>
    </xf>
    <xf numFmtId="0" fontId="19" fillId="14" borderId="68" xfId="0" applyFont="1" applyFill="1" applyBorder="1" applyAlignment="1" applyProtection="1">
      <alignment horizontal="center" vertical="center"/>
      <protection hidden="1"/>
    </xf>
    <xf numFmtId="0" fontId="24" fillId="0" borderId="74" xfId="0" applyNumberFormat="1" applyFont="1" applyBorder="1" applyAlignment="1" applyProtection="1">
      <alignment horizontal="center" vertical="center"/>
      <protection locked="0" hidden="1"/>
    </xf>
    <xf numFmtId="167" fontId="24" fillId="0" borderId="75" xfId="0" applyNumberFormat="1" applyFont="1" applyBorder="1" applyAlignment="1" applyProtection="1">
      <alignment horizontal="center" vertical="center"/>
      <protection hidden="1"/>
    </xf>
    <xf numFmtId="175" fontId="0" fillId="0" borderId="0" xfId="0" applyNumberFormat="1" applyAlignment="1" applyProtection="1">
      <alignment horizontal="center"/>
      <protection hidden="1"/>
    </xf>
    <xf numFmtId="174" fontId="23" fillId="14" borderId="74" xfId="0" applyNumberFormat="1" applyFont="1" applyFill="1" applyBorder="1" applyAlignment="1" applyProtection="1">
      <alignment horizontal="center" vertical="center"/>
      <protection hidden="1"/>
    </xf>
    <xf numFmtId="167" fontId="25" fillId="0" borderId="74" xfId="0" applyNumberFormat="1" applyFont="1" applyBorder="1" applyAlignment="1" applyProtection="1">
      <alignment horizontal="center" vertical="center" wrapText="1"/>
      <protection locked="0" hidden="1"/>
    </xf>
    <xf numFmtId="166" fontId="25" fillId="0" borderId="75" xfId="0" applyNumberFormat="1" applyFont="1" applyBorder="1" applyAlignment="1" applyProtection="1">
      <alignment horizontal="center" vertical="center"/>
      <protection locked="0" hidden="1"/>
    </xf>
    <xf numFmtId="176" fontId="25" fillId="0" borderId="16" xfId="0" applyNumberFormat="1" applyFont="1" applyBorder="1" applyAlignment="1" applyProtection="1">
      <alignment horizontal="center" vertical="center" wrapText="1"/>
      <protection locked="0" hidden="1"/>
    </xf>
    <xf numFmtId="0" fontId="0" fillId="13" borderId="76" xfId="0" applyFill="1" applyBorder="1" applyAlignment="1" applyProtection="1">
      <protection hidden="1"/>
    </xf>
    <xf numFmtId="167" fontId="25" fillId="0" borderId="17" xfId="0" applyNumberFormat="1" applyFont="1" applyBorder="1" applyAlignment="1" applyProtection="1">
      <alignment horizontal="center" vertical="center"/>
      <protection locked="0" hidden="1"/>
    </xf>
    <xf numFmtId="0" fontId="26" fillId="16" borderId="74" xfId="0" applyNumberFormat="1" applyFont="1" applyFill="1" applyBorder="1" applyAlignment="1" applyProtection="1">
      <alignment horizontal="center" vertical="center"/>
      <protection hidden="1"/>
    </xf>
    <xf numFmtId="0" fontId="26" fillId="16" borderId="75" xfId="0" applyNumberFormat="1" applyFont="1" applyFill="1" applyBorder="1" applyAlignment="1" applyProtection="1">
      <alignment horizontal="center" vertical="center"/>
      <protection hidden="1"/>
    </xf>
    <xf numFmtId="174" fontId="27" fillId="5" borderId="74" xfId="1" applyNumberFormat="1" applyFont="1" applyFill="1" applyBorder="1" applyAlignment="1" applyProtection="1">
      <alignment horizontal="center" vertical="center"/>
      <protection hidden="1"/>
    </xf>
    <xf numFmtId="167" fontId="0" fillId="5" borderId="74" xfId="0" applyNumberFormat="1" applyFill="1" applyBorder="1" applyAlignment="1" applyProtection="1">
      <alignment horizontal="center" vertical="center"/>
      <protection hidden="1"/>
    </xf>
    <xf numFmtId="167" fontId="0" fillId="5" borderId="75" xfId="0" applyNumberFormat="1" applyFill="1" applyBorder="1" applyAlignment="1" applyProtection="1">
      <alignment horizontal="center" vertical="center"/>
      <protection hidden="1"/>
    </xf>
    <xf numFmtId="0" fontId="0" fillId="13" borderId="0" xfId="0" applyNumberFormat="1" applyFill="1" applyAlignment="1" applyProtection="1">
      <protection hidden="1"/>
    </xf>
    <xf numFmtId="174" fontId="19" fillId="5" borderId="74" xfId="0" applyNumberFormat="1" applyFont="1" applyFill="1" applyBorder="1" applyAlignment="1" applyProtection="1">
      <alignment horizontal="center" vertical="center"/>
      <protection hidden="1"/>
    </xf>
    <xf numFmtId="0" fontId="19" fillId="14" borderId="74" xfId="0" applyFont="1" applyFill="1" applyBorder="1" applyAlignment="1" applyProtection="1">
      <alignment horizontal="center" vertical="center"/>
      <protection hidden="1"/>
    </xf>
    <xf numFmtId="167" fontId="19" fillId="14" borderId="74" xfId="0" applyNumberFormat="1" applyFont="1" applyFill="1" applyBorder="1" applyAlignment="1" applyProtection="1">
      <alignment horizontal="center" vertical="center"/>
      <protection hidden="1"/>
    </xf>
    <xf numFmtId="167" fontId="19" fillId="14" borderId="75" xfId="0" applyNumberFormat="1" applyFont="1" applyFill="1" applyBorder="1" applyAlignment="1" applyProtection="1">
      <alignment horizontal="center" vertical="center"/>
      <protection hidden="1"/>
    </xf>
    <xf numFmtId="0" fontId="29" fillId="0" borderId="0" xfId="0" applyFont="1" applyAlignment="1" applyProtection="1">
      <protection hidden="1"/>
    </xf>
    <xf numFmtId="1" fontId="29" fillId="0" borderId="0" xfId="0" applyNumberFormat="1" applyFont="1" applyBorder="1" applyAlignment="1" applyProtection="1">
      <protection hidden="1"/>
    </xf>
    <xf numFmtId="1" fontId="0" fillId="0" borderId="0" xfId="0" applyNumberFormat="1" applyAlignment="1" applyProtection="1">
      <protection hidden="1"/>
    </xf>
    <xf numFmtId="0" fontId="29" fillId="0" borderId="0" xfId="0" applyFont="1" applyBorder="1" applyAlignment="1" applyProtection="1">
      <protection hidden="1"/>
    </xf>
    <xf numFmtId="18" fontId="29" fillId="0" borderId="0" xfId="0" applyNumberFormat="1" applyFont="1" applyBorder="1" applyAlignment="1" applyProtection="1">
      <protection hidden="1"/>
    </xf>
    <xf numFmtId="0" fontId="25" fillId="0" borderId="0" xfId="0" applyFont="1" applyAlignment="1" applyProtection="1">
      <protection hidden="1"/>
    </xf>
    <xf numFmtId="0" fontId="30" fillId="13" borderId="0" xfId="1" applyFont="1" applyFill="1" applyBorder="1" applyAlignment="1" applyProtection="1">
      <alignment horizontal="center" vertical="center"/>
      <protection hidden="1"/>
    </xf>
    <xf numFmtId="0" fontId="30" fillId="13" borderId="9" xfId="1" applyFont="1" applyFill="1" applyBorder="1" applyAlignment="1" applyProtection="1">
      <alignment horizontal="center" vertical="center"/>
      <protection hidden="1"/>
    </xf>
    <xf numFmtId="0" fontId="22" fillId="17" borderId="83" xfId="0" applyFont="1" applyFill="1" applyBorder="1" applyAlignment="1" applyProtection="1">
      <alignment horizontal="center" vertical="center"/>
      <protection hidden="1"/>
    </xf>
    <xf numFmtId="0" fontId="22" fillId="17" borderId="84" xfId="0" applyFont="1" applyFill="1" applyBorder="1" applyAlignment="1" applyProtection="1">
      <alignment horizontal="center" vertical="center"/>
      <protection hidden="1"/>
    </xf>
    <xf numFmtId="0" fontId="22" fillId="4" borderId="83" xfId="0" applyFont="1" applyFill="1" applyBorder="1" applyAlignment="1" applyProtection="1">
      <alignment horizontal="center" vertical="center"/>
      <protection hidden="1"/>
    </xf>
    <xf numFmtId="176" fontId="0" fillId="18" borderId="74" xfId="0" applyNumberFormat="1" applyFill="1" applyBorder="1" applyAlignment="1" applyProtection="1">
      <alignment horizontal="center" vertical="center"/>
      <protection hidden="1"/>
    </xf>
    <xf numFmtId="177" fontId="0" fillId="0" borderId="74" xfId="0" applyNumberFormat="1" applyFill="1" applyBorder="1" applyAlignment="1" applyProtection="1">
      <alignment horizontal="center" vertical="center"/>
      <protection locked="0"/>
    </xf>
    <xf numFmtId="0" fontId="0" fillId="0" borderId="74" xfId="0" applyBorder="1" applyAlignment="1" applyProtection="1">
      <alignment horizontal="center" vertical="center"/>
      <protection locked="0"/>
    </xf>
    <xf numFmtId="0" fontId="0" fillId="0" borderId="75" xfId="0" applyBorder="1" applyAlignment="1" applyProtection="1">
      <alignment horizontal="left" vertical="top"/>
      <protection locked="0"/>
    </xf>
    <xf numFmtId="176" fontId="19" fillId="14" borderId="74" xfId="0" applyNumberFormat="1" applyFont="1" applyFill="1" applyBorder="1" applyAlignment="1" applyProtection="1">
      <alignment horizontal="center" vertical="center"/>
      <protection hidden="1"/>
    </xf>
    <xf numFmtId="0" fontId="19" fillId="14" borderId="74" xfId="0" applyNumberFormat="1" applyFont="1" applyFill="1" applyBorder="1" applyAlignment="1" applyProtection="1">
      <alignment horizontal="center" vertical="center"/>
      <protection hidden="1"/>
    </xf>
    <xf numFmtId="0" fontId="0" fillId="0" borderId="73" xfId="0" applyBorder="1" applyAlignment="1" applyProtection="1">
      <protection hidden="1"/>
    </xf>
    <xf numFmtId="0" fontId="30" fillId="13" borderId="30" xfId="1" applyFont="1" applyFill="1" applyBorder="1" applyAlignment="1" applyProtection="1">
      <alignment horizontal="center" vertical="center"/>
      <protection hidden="1"/>
    </xf>
    <xf numFmtId="0" fontId="0" fillId="13" borderId="0" xfId="0" applyFill="1" applyBorder="1" applyAlignment="1" applyProtection="1">
      <protection hidden="1"/>
    </xf>
    <xf numFmtId="0" fontId="0" fillId="13" borderId="22" xfId="0" applyFill="1" applyBorder="1" applyAlignment="1" applyProtection="1">
      <protection hidden="1"/>
    </xf>
    <xf numFmtId="0" fontId="22" fillId="4" borderId="70" xfId="0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protection hidden="1"/>
    </xf>
    <xf numFmtId="166" fontId="0" fillId="18" borderId="16" xfId="0" applyNumberFormat="1" applyFill="1" applyBorder="1" applyAlignment="1" applyProtection="1">
      <alignment horizontal="center" vertical="center"/>
      <protection hidden="1"/>
    </xf>
    <xf numFmtId="0" fontId="19" fillId="14" borderId="16" xfId="0" applyNumberFormat="1" applyFont="1" applyFill="1" applyBorder="1" applyAlignment="1" applyProtection="1">
      <alignment horizontal="center" vertical="center"/>
      <protection hidden="1"/>
    </xf>
    <xf numFmtId="0" fontId="0" fillId="13" borderId="78" xfId="0" applyNumberFormat="1" applyFill="1" applyBorder="1" applyAlignment="1" applyProtection="1">
      <alignment horizontal="center"/>
      <protection hidden="1"/>
    </xf>
    <xf numFmtId="0" fontId="25" fillId="13" borderId="79" xfId="0" applyNumberFormat="1" applyFont="1" applyFill="1" applyBorder="1" applyAlignment="1" applyProtection="1">
      <alignment horizontal="center"/>
      <protection hidden="1"/>
    </xf>
    <xf numFmtId="0" fontId="0" fillId="13" borderId="79" xfId="0" applyNumberFormat="1" applyFill="1" applyBorder="1" applyAlignment="1" applyProtection="1">
      <alignment horizontal="center"/>
      <protection hidden="1"/>
    </xf>
    <xf numFmtId="0" fontId="0" fillId="13" borderId="80" xfId="0" applyNumberFormat="1" applyFill="1" applyBorder="1" applyAlignment="1" applyProtection="1">
      <alignment horizontal="center"/>
      <protection hidden="1"/>
    </xf>
    <xf numFmtId="1" fontId="21" fillId="15" borderId="69" xfId="0" applyNumberFormat="1" applyFont="1" applyFill="1" applyBorder="1" applyAlignment="1" applyProtection="1">
      <alignment horizontal="center" vertical="distributed" textRotation="255" wrapText="1"/>
      <protection hidden="1"/>
    </xf>
    <xf numFmtId="1" fontId="0" fillId="15" borderId="73" xfId="0" applyNumberFormat="1" applyFill="1" applyBorder="1" applyAlignment="1"/>
    <xf numFmtId="0" fontId="21" fillId="17" borderId="82" xfId="0" applyNumberFormat="1" applyFont="1" applyFill="1" applyBorder="1" applyAlignment="1" applyProtection="1">
      <alignment horizontal="center" vertical="distributed" textRotation="255"/>
      <protection hidden="1"/>
    </xf>
    <xf numFmtId="0" fontId="21" fillId="17" borderId="85" xfId="0" applyNumberFormat="1" applyFont="1" applyFill="1" applyBorder="1" applyAlignment="1" applyProtection="1">
      <alignment horizontal="center" vertical="distributed" textRotation="255"/>
      <protection hidden="1"/>
    </xf>
    <xf numFmtId="0" fontId="21" fillId="4" borderId="82" xfId="0" applyNumberFormat="1" applyFont="1" applyFill="1" applyBorder="1" applyAlignment="1" applyProtection="1">
      <alignment horizontal="center" vertical="distributed" textRotation="255"/>
      <protection hidden="1"/>
    </xf>
    <xf numFmtId="0" fontId="21" fillId="4" borderId="85" xfId="0" applyNumberFormat="1" applyFont="1" applyFill="1" applyBorder="1" applyAlignment="1" applyProtection="1">
      <alignment horizontal="center" vertical="distributed" textRotation="255"/>
      <protection hidden="1"/>
    </xf>
    <xf numFmtId="0" fontId="25" fillId="0" borderId="74" xfId="0" applyFont="1" applyBorder="1" applyAlignment="1" applyProtection="1">
      <alignment horizontal="center" vertical="center"/>
      <protection locked="0"/>
    </xf>
    <xf numFmtId="0" fontId="25" fillId="0" borderId="75" xfId="0" applyFont="1" applyBorder="1" applyAlignment="1" applyProtection="1">
      <alignment horizontal="center" vertical="center"/>
      <protection locked="0"/>
    </xf>
    <xf numFmtId="0" fontId="19" fillId="14" borderId="74" xfId="0" applyNumberFormat="1" applyFont="1" applyFill="1" applyBorder="1" applyAlignment="1" applyProtection="1">
      <alignment horizontal="center" vertical="center"/>
      <protection hidden="1"/>
    </xf>
    <xf numFmtId="0" fontId="19" fillId="14" borderId="75" xfId="0" applyNumberFormat="1" applyFont="1" applyFill="1" applyBorder="1" applyAlignment="1" applyProtection="1">
      <alignment horizontal="center" vertical="center"/>
      <protection hidden="1"/>
    </xf>
    <xf numFmtId="0" fontId="28" fillId="15" borderId="78" xfId="0" applyNumberFormat="1" applyFont="1" applyFill="1" applyBorder="1" applyAlignment="1" applyProtection="1">
      <alignment horizontal="center" vertical="center"/>
      <protection hidden="1"/>
    </xf>
    <xf numFmtId="0" fontId="28" fillId="15" borderId="79" xfId="0" applyNumberFormat="1" applyFont="1" applyFill="1" applyBorder="1" applyAlignment="1" applyProtection="1">
      <alignment horizontal="center" vertical="center"/>
      <protection hidden="1"/>
    </xf>
    <xf numFmtId="0" fontId="28" fillId="15" borderId="80" xfId="0" applyNumberFormat="1" applyFont="1" applyFill="1" applyBorder="1" applyAlignment="1" applyProtection="1">
      <alignment horizontal="center" vertical="center"/>
      <protection hidden="1"/>
    </xf>
    <xf numFmtId="0" fontId="28" fillId="17" borderId="78" xfId="0" applyNumberFormat="1" applyFont="1" applyFill="1" applyBorder="1" applyAlignment="1" applyProtection="1">
      <alignment horizontal="center" vertical="center"/>
      <protection hidden="1"/>
    </xf>
    <xf numFmtId="0" fontId="0" fillId="17" borderId="79" xfId="0" applyNumberFormat="1" applyFont="1" applyFill="1" applyBorder="1" applyAlignment="1" applyProtection="1">
      <alignment horizontal="center"/>
      <protection hidden="1"/>
    </xf>
    <xf numFmtId="0" fontId="0" fillId="17" borderId="80" xfId="0" applyNumberFormat="1" applyFont="1" applyFill="1" applyBorder="1" applyAlignment="1" applyProtection="1">
      <alignment horizontal="center"/>
      <protection hidden="1"/>
    </xf>
    <xf numFmtId="0" fontId="28" fillId="4" borderId="78" xfId="0" applyNumberFormat="1" applyFont="1" applyFill="1" applyBorder="1" applyAlignment="1" applyProtection="1">
      <alignment horizontal="center" vertical="center"/>
      <protection hidden="1"/>
    </xf>
    <xf numFmtId="0" fontId="28" fillId="4" borderId="79" xfId="0" applyNumberFormat="1" applyFont="1" applyFill="1" applyBorder="1" applyAlignment="1" applyProtection="1">
      <alignment horizontal="center" vertical="center"/>
      <protection hidden="1"/>
    </xf>
    <xf numFmtId="0" fontId="28" fillId="4" borderId="80" xfId="0" applyNumberFormat="1" applyFont="1" applyFill="1" applyBorder="1" applyAlignment="1" applyProtection="1">
      <alignment horizontal="center" vertical="center"/>
      <protection hidden="1"/>
    </xf>
    <xf numFmtId="0" fontId="0" fillId="0" borderId="74" xfId="0" applyBorder="1" applyAlignment="1" applyProtection="1">
      <alignment horizontal="center" vertical="center"/>
      <protection locked="0"/>
    </xf>
    <xf numFmtId="0" fontId="0" fillId="0" borderId="75" xfId="0" applyBorder="1" applyAlignment="1" applyProtection="1">
      <alignment horizontal="center" vertical="center"/>
      <protection locked="0"/>
    </xf>
    <xf numFmtId="174" fontId="23" fillId="14" borderId="16" xfId="0" applyNumberFormat="1" applyFont="1" applyFill="1" applyBorder="1" applyAlignment="1" applyProtection="1">
      <alignment horizontal="center" vertical="center"/>
      <protection hidden="1"/>
    </xf>
    <xf numFmtId="174" fontId="23" fillId="14" borderId="52" xfId="0" applyNumberFormat="1" applyFont="1" applyFill="1" applyBorder="1" applyAlignment="1" applyProtection="1">
      <alignment horizontal="center" vertical="center"/>
      <protection hidden="1"/>
    </xf>
    <xf numFmtId="167" fontId="25" fillId="0" borderId="16" xfId="0" applyNumberFormat="1" applyFont="1" applyBorder="1" applyAlignment="1" applyProtection="1">
      <alignment horizontal="center" vertical="center"/>
      <protection locked="0" hidden="1"/>
    </xf>
    <xf numFmtId="167" fontId="25" fillId="0" borderId="77" xfId="0" applyNumberFormat="1" applyFont="1" applyBorder="1" applyAlignment="1" applyProtection="1">
      <alignment horizontal="center" vertical="center"/>
      <protection locked="0" hidden="1"/>
    </xf>
    <xf numFmtId="0" fontId="22" fillId="16" borderId="16" xfId="0" applyNumberFormat="1" applyFont="1" applyFill="1" applyBorder="1" applyAlignment="1" applyProtection="1">
      <alignment horizontal="center" vertical="center"/>
      <protection hidden="1"/>
    </xf>
    <xf numFmtId="0" fontId="22" fillId="16" borderId="17" xfId="0" applyNumberFormat="1" applyFont="1" applyFill="1" applyBorder="1" applyAlignment="1" applyProtection="1">
      <alignment horizontal="center" vertical="center"/>
      <protection hidden="1"/>
    </xf>
    <xf numFmtId="0" fontId="22" fillId="16" borderId="52" xfId="0" applyNumberFormat="1" applyFont="1" applyFill="1" applyBorder="1" applyAlignment="1" applyProtection="1">
      <alignment horizontal="center" vertical="center"/>
      <protection hidden="1"/>
    </xf>
    <xf numFmtId="174" fontId="23" fillId="14" borderId="17" xfId="0" applyNumberFormat="1" applyFont="1" applyFill="1" applyBorder="1" applyAlignment="1" applyProtection="1">
      <alignment horizontal="center" vertical="center"/>
      <protection hidden="1"/>
    </xf>
    <xf numFmtId="0" fontId="22" fillId="15" borderId="70" xfId="0" applyNumberFormat="1" applyFont="1" applyFill="1" applyBorder="1" applyAlignment="1" applyProtection="1">
      <alignment horizontal="center" vertical="center"/>
      <protection hidden="1"/>
    </xf>
    <xf numFmtId="0" fontId="22" fillId="15" borderId="71" xfId="0" applyNumberFormat="1" applyFont="1" applyFill="1" applyBorder="1" applyAlignment="1" applyProtection="1">
      <alignment horizontal="center" vertical="center"/>
      <protection hidden="1"/>
    </xf>
    <xf numFmtId="0" fontId="22" fillId="15" borderId="72" xfId="0" applyNumberFormat="1" applyFont="1" applyFill="1" applyBorder="1" applyAlignment="1" applyProtection="1">
      <alignment horizontal="center" vertical="center"/>
      <protection hidden="1"/>
    </xf>
    <xf numFmtId="0" fontId="22" fillId="4" borderId="83" xfId="0" applyFont="1" applyFill="1" applyBorder="1" applyAlignment="1" applyProtection="1">
      <alignment horizontal="center" vertical="center"/>
      <protection hidden="1"/>
    </xf>
    <xf numFmtId="0" fontId="22" fillId="4" borderId="84" xfId="0" applyFont="1" applyFill="1" applyBorder="1" applyAlignment="1" applyProtection="1">
      <alignment horizontal="center" vertical="center"/>
      <protection hidden="1"/>
    </xf>
    <xf numFmtId="0" fontId="18" fillId="11" borderId="0" xfId="0" applyFont="1" applyFill="1" applyBorder="1" applyAlignment="1" applyProtection="1">
      <alignment horizontal="center" vertical="center"/>
      <protection locked="0" hidden="1"/>
    </xf>
    <xf numFmtId="0" fontId="18" fillId="11" borderId="81" xfId="0" applyFont="1" applyFill="1" applyBorder="1" applyAlignment="1" applyProtection="1">
      <alignment horizontal="center" vertical="center"/>
      <protection locked="0" hidden="1"/>
    </xf>
    <xf numFmtId="0" fontId="30" fillId="11" borderId="22" xfId="1" applyFont="1" applyFill="1" applyBorder="1" applyAlignment="1" applyProtection="1">
      <alignment horizontal="center" vertical="center"/>
      <protection hidden="1"/>
    </xf>
    <xf numFmtId="0" fontId="30" fillId="11" borderId="0" xfId="1" applyFont="1" applyFill="1" applyBorder="1" applyAlignment="1" applyProtection="1">
      <alignment horizontal="center" vertical="center"/>
      <protection hidden="1"/>
    </xf>
    <xf numFmtId="173" fontId="0" fillId="0" borderId="30" xfId="0" applyNumberFormat="1" applyBorder="1" applyAlignment="1" applyProtection="1">
      <alignment horizontal="center" vertical="center"/>
      <protection locked="0" hidden="1"/>
    </xf>
    <xf numFmtId="173" fontId="0" fillId="0" borderId="51" xfId="0" applyNumberFormat="1" applyBorder="1" applyAlignment="1" applyProtection="1">
      <alignment horizontal="center" vertical="center"/>
      <protection locked="0" hidden="1"/>
    </xf>
    <xf numFmtId="0" fontId="20" fillId="5" borderId="30" xfId="0" applyNumberFormat="1" applyFont="1" applyFill="1" applyBorder="1" applyAlignment="1" applyProtection="1">
      <alignment horizontal="center" vertical="center"/>
      <protection hidden="1"/>
    </xf>
    <xf numFmtId="0" fontId="20" fillId="5" borderId="51" xfId="0" applyNumberFormat="1" applyFont="1" applyFill="1" applyBorder="1" applyAlignment="1" applyProtection="1">
      <alignment horizontal="center" vertical="center"/>
      <protection hidden="1"/>
    </xf>
    <xf numFmtId="0" fontId="31" fillId="0" borderId="16" xfId="1" applyBorder="1" applyAlignment="1" applyProtection="1">
      <alignment horizontal="center" vertical="center"/>
      <protection locked="0" hidden="1"/>
    </xf>
    <xf numFmtId="0" fontId="31" fillId="0" borderId="17" xfId="1" applyBorder="1" applyAlignment="1" applyProtection="1">
      <alignment horizontal="center" vertical="center"/>
      <protection locked="0" hidden="1"/>
    </xf>
    <xf numFmtId="0" fontId="31" fillId="0" borderId="52" xfId="1" applyBorder="1" applyAlignment="1" applyProtection="1">
      <alignment horizontal="center" vertical="center"/>
      <protection locked="0" hidden="1"/>
    </xf>
    <xf numFmtId="0" fontId="19" fillId="14" borderId="16" xfId="0" applyFont="1" applyFill="1" applyBorder="1" applyAlignment="1" applyProtection="1">
      <alignment horizontal="center" vertical="center"/>
      <protection hidden="1"/>
    </xf>
    <xf numFmtId="0" fontId="19" fillId="14" borderId="17" xfId="0" applyFont="1" applyFill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locked="0" hidden="1"/>
    </xf>
    <xf numFmtId="0" fontId="0" fillId="0" borderId="17" xfId="0" applyBorder="1" applyAlignment="1" applyProtection="1">
      <alignment horizontal="center" vertical="center"/>
      <protection locked="0" hidden="1"/>
    </xf>
    <xf numFmtId="164" fontId="13" fillId="0" borderId="43" xfId="0" applyNumberFormat="1" applyFont="1" applyFill="1" applyBorder="1" applyAlignment="1" applyProtection="1">
      <alignment horizontal="center" vertical="center"/>
      <protection locked="0"/>
    </xf>
    <xf numFmtId="164" fontId="13" fillId="0" borderId="44" xfId="0" applyNumberFormat="1" applyFont="1" applyFill="1" applyBorder="1" applyAlignment="1" applyProtection="1">
      <alignment horizontal="center" vertical="center"/>
      <protection locked="0"/>
    </xf>
    <xf numFmtId="0" fontId="17" fillId="0" borderId="64" xfId="0" applyNumberFormat="1" applyFont="1" applyBorder="1" applyAlignment="1" applyProtection="1">
      <alignment horizontal="left" vertical="center"/>
      <protection locked="0"/>
    </xf>
    <xf numFmtId="0" fontId="17" fillId="0" borderId="65" xfId="0" applyNumberFormat="1" applyFont="1" applyBorder="1" applyAlignment="1" applyProtection="1">
      <alignment horizontal="left" vertical="center"/>
      <protection locked="0"/>
    </xf>
    <xf numFmtId="0" fontId="17" fillId="0" borderId="66" xfId="0" applyNumberFormat="1" applyFont="1" applyBorder="1" applyAlignment="1" applyProtection="1">
      <alignment horizontal="left" vertical="center"/>
      <protection locked="0"/>
    </xf>
    <xf numFmtId="0" fontId="7" fillId="5" borderId="20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9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50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29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30" xfId="0" applyNumberFormat="1" applyFont="1" applyFill="1" applyBorder="1" applyAlignment="1" applyProtection="1">
      <alignment horizontal="center" vertical="center" wrapText="1"/>
      <protection hidden="1"/>
    </xf>
    <xf numFmtId="0" fontId="7" fillId="5" borderId="51" xfId="0" applyNumberFormat="1" applyFont="1" applyFill="1" applyBorder="1" applyAlignment="1" applyProtection="1">
      <alignment horizontal="center" vertical="center" wrapText="1"/>
      <protection hidden="1"/>
    </xf>
    <xf numFmtId="164" fontId="13" fillId="0" borderId="41" xfId="0" applyNumberFormat="1" applyFont="1" applyFill="1" applyBorder="1" applyAlignment="1" applyProtection="1">
      <alignment horizontal="center" vertical="center"/>
      <protection locked="0"/>
    </xf>
    <xf numFmtId="164" fontId="13" fillId="0" borderId="42" xfId="0" applyNumberFormat="1" applyFont="1" applyFill="1" applyBorder="1" applyAlignment="1" applyProtection="1">
      <alignment horizontal="center" vertical="center"/>
      <protection locked="0"/>
    </xf>
    <xf numFmtId="0" fontId="17" fillId="0" borderId="61" xfId="0" applyNumberFormat="1" applyFont="1" applyBorder="1" applyAlignment="1" applyProtection="1">
      <alignment horizontal="left" vertical="center"/>
      <protection locked="0"/>
    </xf>
    <xf numFmtId="0" fontId="17" fillId="0" borderId="62" xfId="0" applyNumberFormat="1" applyFont="1" applyBorder="1" applyAlignment="1" applyProtection="1">
      <alignment horizontal="left" vertical="center"/>
      <protection locked="0"/>
    </xf>
    <xf numFmtId="0" fontId="17" fillId="0" borderId="63" xfId="0" applyNumberFormat="1" applyFont="1" applyBorder="1" applyAlignment="1" applyProtection="1">
      <alignment horizontal="left" vertical="center"/>
      <protection locked="0"/>
    </xf>
    <xf numFmtId="0" fontId="12" fillId="10" borderId="37" xfId="0" applyNumberFormat="1" applyFont="1" applyFill="1" applyBorder="1" applyAlignment="1" applyProtection="1">
      <alignment horizontal="center" vertical="center" wrapText="1"/>
      <protection hidden="1"/>
    </xf>
    <xf numFmtId="0" fontId="12" fillId="10" borderId="38" xfId="0" applyNumberFormat="1" applyFont="1" applyFill="1" applyBorder="1" applyAlignment="1" applyProtection="1">
      <alignment horizontal="center" vertical="center" wrapText="1"/>
      <protection hidden="1"/>
    </xf>
    <xf numFmtId="0" fontId="12" fillId="10" borderId="56" xfId="0" applyNumberFormat="1" applyFont="1" applyFill="1" applyBorder="1" applyAlignment="1" applyProtection="1">
      <alignment horizontal="center" vertical="center" wrapText="1"/>
      <protection hidden="1"/>
    </xf>
    <xf numFmtId="164" fontId="9" fillId="10" borderId="5" xfId="0" applyNumberFormat="1" applyFont="1" applyFill="1" applyBorder="1" applyAlignment="1" applyProtection="1">
      <alignment horizontal="center" vertical="center"/>
      <protection hidden="1"/>
    </xf>
    <xf numFmtId="164" fontId="9" fillId="10" borderId="12" xfId="0" applyNumberFormat="1" applyFont="1" applyFill="1" applyBorder="1" applyAlignment="1" applyProtection="1">
      <alignment horizontal="center" vertical="center"/>
      <protection hidden="1"/>
    </xf>
    <xf numFmtId="0" fontId="9" fillId="10" borderId="12" xfId="0" applyNumberFormat="1" applyFont="1" applyFill="1" applyBorder="1" applyAlignment="1" applyProtection="1">
      <alignment horizontal="center" vertical="center"/>
      <protection hidden="1"/>
    </xf>
    <xf numFmtId="0" fontId="9" fillId="10" borderId="6" xfId="0" applyNumberFormat="1" applyFont="1" applyFill="1" applyBorder="1" applyAlignment="1" applyProtection="1">
      <alignment horizontal="center" vertical="center"/>
      <protection hidden="1"/>
    </xf>
    <xf numFmtId="164" fontId="13" fillId="0" borderId="39" xfId="0" applyNumberFormat="1" applyFont="1" applyFill="1" applyBorder="1" applyAlignment="1" applyProtection="1">
      <alignment horizontal="center" vertical="center"/>
      <protection locked="0"/>
    </xf>
    <xf numFmtId="164" fontId="13" fillId="0" borderId="40" xfId="0" applyNumberFormat="1" applyFont="1" applyFill="1" applyBorder="1" applyAlignment="1" applyProtection="1">
      <alignment horizontal="center" vertical="center"/>
      <protection locked="0"/>
    </xf>
    <xf numFmtId="0" fontId="17" fillId="0" borderId="58" xfId="0" applyNumberFormat="1" applyFont="1" applyBorder="1" applyAlignment="1" applyProtection="1">
      <alignment horizontal="left" vertical="center"/>
      <protection locked="0"/>
    </xf>
    <xf numFmtId="0" fontId="17" fillId="0" borderId="59" xfId="0" applyNumberFormat="1" applyFont="1" applyBorder="1" applyAlignment="1" applyProtection="1">
      <alignment horizontal="left" vertical="center"/>
      <protection locked="0"/>
    </xf>
    <xf numFmtId="0" fontId="17" fillId="0" borderId="60" xfId="0" applyNumberFormat="1" applyFont="1" applyBorder="1" applyAlignment="1" applyProtection="1">
      <alignment horizontal="left" vertical="center"/>
      <protection locked="0"/>
    </xf>
    <xf numFmtId="0" fontId="10" fillId="8" borderId="16" xfId="0" applyNumberFormat="1" applyFont="1" applyFill="1" applyBorder="1" applyAlignment="1" applyProtection="1">
      <alignment horizontal="center" vertical="center"/>
      <protection hidden="1"/>
    </xf>
    <xf numFmtId="0" fontId="10" fillId="8" borderId="17" xfId="0" applyNumberFormat="1" applyFont="1" applyFill="1" applyBorder="1" applyAlignment="1" applyProtection="1">
      <alignment horizontal="center" vertical="center"/>
      <protection hidden="1"/>
    </xf>
    <xf numFmtId="0" fontId="10" fillId="8" borderId="52" xfId="0" applyNumberFormat="1" applyFont="1" applyFill="1" applyBorder="1" applyAlignment="1" applyProtection="1">
      <alignment horizontal="center" vertical="center"/>
      <protection hidden="1"/>
    </xf>
    <xf numFmtId="167" fontId="10" fillId="6" borderId="35" xfId="0" applyNumberFormat="1" applyFont="1" applyFill="1" applyBorder="1" applyAlignment="1" applyProtection="1">
      <alignment horizontal="center" vertical="center"/>
      <protection hidden="1"/>
    </xf>
    <xf numFmtId="167" fontId="10" fillId="6" borderId="36" xfId="0" applyNumberFormat="1" applyFont="1" applyFill="1" applyBorder="1" applyAlignment="1" applyProtection="1">
      <alignment horizontal="center" vertical="center"/>
      <protection hidden="1"/>
    </xf>
    <xf numFmtId="167" fontId="10" fillId="6" borderId="55" xfId="0" applyNumberFormat="1" applyFont="1" applyFill="1" applyBorder="1" applyAlignment="1" applyProtection="1">
      <alignment horizontal="center" vertical="center"/>
      <protection hidden="1"/>
    </xf>
    <xf numFmtId="167" fontId="10" fillId="6" borderId="16" xfId="0" applyNumberFormat="1" applyFont="1" applyFill="1" applyBorder="1" applyAlignment="1" applyProtection="1">
      <alignment horizontal="center" vertical="center"/>
      <protection hidden="1"/>
    </xf>
    <xf numFmtId="167" fontId="10" fillId="6" borderId="17" xfId="0" applyNumberFormat="1" applyFont="1" applyFill="1" applyBorder="1" applyAlignment="1" applyProtection="1">
      <alignment horizontal="center" vertical="center"/>
      <protection hidden="1"/>
    </xf>
    <xf numFmtId="167" fontId="10" fillId="6" borderId="52" xfId="0" applyNumberFormat="1" applyFont="1" applyFill="1" applyBorder="1" applyAlignment="1" applyProtection="1">
      <alignment horizontal="center" vertical="center"/>
      <protection hidden="1"/>
    </xf>
    <xf numFmtId="0" fontId="11" fillId="9" borderId="16" xfId="1" applyFont="1" applyFill="1" applyBorder="1" applyAlignment="1" applyProtection="1">
      <alignment horizontal="center" vertical="center"/>
      <protection hidden="1"/>
    </xf>
    <xf numFmtId="0" fontId="11" fillId="9" borderId="17" xfId="1" applyFont="1" applyFill="1" applyBorder="1" applyAlignment="1" applyProtection="1">
      <alignment horizontal="center" vertical="center"/>
      <protection hidden="1"/>
    </xf>
    <xf numFmtId="0" fontId="16" fillId="9" borderId="17" xfId="1" applyFont="1" applyFill="1" applyBorder="1" applyAlignment="1" applyProtection="1">
      <alignment horizontal="center" vertical="center"/>
      <protection hidden="1"/>
    </xf>
    <xf numFmtId="0" fontId="16" fillId="9" borderId="52" xfId="1" applyFont="1" applyFill="1" applyBorder="1" applyAlignment="1" applyProtection="1">
      <alignment horizontal="center" vertical="center"/>
      <protection hidden="1"/>
    </xf>
    <xf numFmtId="0" fontId="7" fillId="7" borderId="33" xfId="0" applyFont="1" applyFill="1" applyBorder="1" applyAlignment="1" applyProtection="1">
      <alignment horizontal="center" vertical="center" wrapText="1"/>
      <protection hidden="1"/>
    </xf>
    <xf numFmtId="0" fontId="7" fillId="7" borderId="34" xfId="0" applyFont="1" applyFill="1" applyBorder="1" applyAlignment="1" applyProtection="1">
      <alignment horizontal="center" vertical="center" wrapText="1"/>
      <protection hidden="1"/>
    </xf>
    <xf numFmtId="0" fontId="7" fillId="7" borderId="54" xfId="0" applyFont="1" applyFill="1" applyBorder="1" applyAlignment="1" applyProtection="1">
      <alignment horizontal="center" vertical="center" wrapText="1"/>
      <protection hidden="1"/>
    </xf>
    <xf numFmtId="171" fontId="7" fillId="7" borderId="35" xfId="0" applyNumberFormat="1" applyFont="1" applyFill="1" applyBorder="1" applyAlignment="1" applyProtection="1">
      <alignment horizontal="center" vertical="center"/>
      <protection hidden="1"/>
    </xf>
    <xf numFmtId="171" fontId="7" fillId="7" borderId="36" xfId="0" applyNumberFormat="1" applyFont="1" applyFill="1" applyBorder="1" applyAlignment="1" applyProtection="1">
      <alignment horizontal="center" vertical="center"/>
      <protection hidden="1"/>
    </xf>
    <xf numFmtId="171" fontId="7" fillId="7" borderId="55" xfId="0" applyNumberFormat="1" applyFont="1" applyFill="1" applyBorder="1" applyAlignment="1" applyProtection="1">
      <alignment horizontal="center" vertical="center"/>
      <protection hidden="1"/>
    </xf>
    <xf numFmtId="20" fontId="3" fillId="3" borderId="16" xfId="1" applyNumberFormat="1" applyFont="1" applyFill="1" applyBorder="1" applyAlignment="1" applyProtection="1">
      <alignment horizontal="center" vertical="center" wrapText="1"/>
      <protection hidden="1"/>
    </xf>
    <xf numFmtId="20" fontId="3" fillId="3" borderId="17" xfId="1" applyNumberFormat="1" applyFont="1" applyFill="1" applyBorder="1" applyAlignment="1" applyProtection="1">
      <alignment horizontal="center" vertical="center" wrapText="1"/>
      <protection hidden="1"/>
    </xf>
    <xf numFmtId="168" fontId="5" fillId="4" borderId="19" xfId="0" applyNumberFormat="1" applyFont="1" applyFill="1" applyBorder="1" applyAlignment="1" applyProtection="1">
      <alignment horizontal="center" vertical="center"/>
      <protection hidden="1"/>
    </xf>
    <xf numFmtId="168" fontId="8" fillId="6" borderId="17" xfId="0" applyNumberFormat="1" applyFont="1" applyFill="1" applyBorder="1" applyAlignment="1" applyProtection="1">
      <alignment horizontal="center" vertical="center" wrapText="1"/>
      <protection locked="0" hidden="1"/>
    </xf>
    <xf numFmtId="20" fontId="9" fillId="7" borderId="31" xfId="0" applyNumberFormat="1" applyFont="1" applyFill="1" applyBorder="1" applyAlignment="1" applyProtection="1">
      <alignment horizontal="center" vertical="center" wrapText="1"/>
      <protection hidden="1"/>
    </xf>
    <xf numFmtId="20" fontId="9" fillId="7" borderId="32" xfId="0" applyNumberFormat="1" applyFont="1" applyFill="1" applyBorder="1" applyAlignment="1" applyProtection="1">
      <alignment horizontal="center" vertical="center" wrapText="1"/>
      <protection hidden="1"/>
    </xf>
    <xf numFmtId="20" fontId="9" fillId="7" borderId="53" xfId="0" applyNumberFormat="1" applyFont="1" applyFill="1" applyBorder="1" applyAlignment="1" applyProtection="1">
      <alignment horizontal="center" vertical="center" wrapText="1"/>
      <protection hidden="1"/>
    </xf>
    <xf numFmtId="0" fontId="16" fillId="9" borderId="16" xfId="1" applyFont="1" applyFill="1" applyBorder="1" applyAlignment="1" applyProtection="1">
      <alignment horizontal="center" vertical="center"/>
      <protection hidden="1"/>
    </xf>
  </cellXfs>
  <cellStyles count="3">
    <cellStyle name="DayNames" xfId="2"/>
    <cellStyle name="Hyperlink" xfId="1" builtinId="8"/>
    <cellStyle name="Normal" xfId="0" builtinId="0"/>
  </cellStyles>
  <dxfs count="149"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9"/>
        </patternFill>
      </fill>
      <border>
        <left style="thin">
          <color indexed="23"/>
        </left>
        <right style="thin">
          <color indexed="23"/>
        </right>
        <top style="thin">
          <color indexed="23"/>
        </top>
        <bottom style="thin">
          <color indexed="23"/>
        </bottom>
      </border>
    </dxf>
    <dxf>
      <fill>
        <patternFill patternType="solid">
          <fgColor indexed="10"/>
          <bgColor indexed="10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fill>
        <patternFill patternType="solid">
          <fgColor indexed="10"/>
          <bgColor indexed="17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strike/>
      </font>
      <fill>
        <patternFill patternType="solid">
          <fgColor indexed="10"/>
          <bgColor indexed="21"/>
        </patternFill>
      </fill>
      <border>
        <left style="thin">
          <color indexed="23"/>
        </left>
        <right style="thin">
          <color indexed="23"/>
        </right>
        <top style="thin">
          <color auto="1"/>
        </top>
        <bottom style="thin">
          <color auto="1"/>
        </bottom>
      </border>
    </dxf>
    <dxf>
      <font>
        <b val="0"/>
        <i val="0"/>
        <color indexed="9"/>
      </font>
      <fill>
        <patternFill patternType="none"/>
      </fill>
      <border>
        <left/>
        <right/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ont>
        <b/>
        <i/>
        <color indexed="9"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</font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1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/>
        <color indexed="9"/>
      </font>
      <fill>
        <patternFill patternType="solid">
          <fgColor indexed="10"/>
          <bgColor indexed="1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10"/>
          <bgColor indexed="4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$F$6" max="2030" min="2013" page="10" val="2024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mailto:nikunjkathiria@gmail.com?subject=Time%20Calculation%20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9525</xdr:rowOff>
        </xdr:from>
        <xdr:to>
          <xdr:col>6</xdr:col>
          <xdr:colOff>742950</xdr:colOff>
          <xdr:row>5</xdr:row>
          <xdr:rowOff>180975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2049" name="Bevel 3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3073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4097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5121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6145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7169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8193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9217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10241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11265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12289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0</xdr:row>
      <xdr:rowOff>19050</xdr:rowOff>
    </xdr:from>
    <xdr:to>
      <xdr:col>22</xdr:col>
      <xdr:colOff>0</xdr:colOff>
      <xdr:row>0</xdr:row>
      <xdr:rowOff>171450</xdr:rowOff>
    </xdr:to>
    <xdr:sp macro="" textlink="">
      <xdr:nvSpPr>
        <xdr:cNvPr id="13313" name="Bevel 1" descr="Developed by Nikunj Kathiriya">
          <a:hlinkClick xmlns:r="http://schemas.openxmlformats.org/officeDocument/2006/relationships" r:id="rId1"/>
        </xdr:cNvPr>
        <xdr:cNvSpPr/>
      </xdr:nvSpPr>
      <xdr:spPr>
        <a:xfrm>
          <a:off x="10439400" y="19050"/>
          <a:ext cx="2305050" cy="152400"/>
        </a:xfrm>
        <a:prstGeom prst="bevel">
          <a:avLst>
            <a:gd name="adj" fmla="val 12500"/>
          </a:avLst>
        </a:prstGeom>
        <a:solidFill>
          <a:srgbClr val="4617B4"/>
        </a:solidFill>
        <a:ln w="9525">
          <a:noFill/>
        </a:ln>
        <a:effectLst>
          <a:outerShdw dist="50800" dir="3779978" algn="ctr" rotWithShape="0">
            <a:srgbClr val="000000">
              <a:alpha val="24001"/>
            </a:srgbClr>
          </a:outerShdw>
        </a:effectLst>
      </xdr:spPr>
      <xdr:txBody>
        <a:bodyPr vertOverflow="clip" vert="horz" wrap="square" lIns="27432" tIns="18288" rIns="27432" bIns="18288" anchor="ctr" upright="1"/>
        <a:lstStyle/>
        <a:p>
          <a:pPr algn="ctr" rtl="0"/>
          <a:r>
            <a:rPr lang="zh-CN" altLang="en-US" sz="900" b="1">
              <a:solidFill>
                <a:srgbClr val="FFFFFF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Developed by Nikunj Kathiriya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nikunjkathiria@gmail.com?subject=Time%20Calculation%20Sheet" TargetMode="External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showGridLines="0" showZeros="0" zoomScale="130" zoomScaleNormal="130" workbookViewId="0">
      <pane ySplit="1" topLeftCell="A2" activePane="bottomLeft" state="frozen"/>
      <selection pane="bottomLeft" activeCell="C7" sqref="C7"/>
    </sheetView>
  </sheetViews>
  <sheetFormatPr defaultColWidth="9.140625" defaultRowHeight="15"/>
  <cols>
    <col min="1" max="1" width="0.28515625" style="85" customWidth="1"/>
    <col min="2" max="2" width="5.140625" style="86" customWidth="1"/>
    <col min="3" max="3" width="13.7109375" style="86" customWidth="1"/>
    <col min="4" max="4" width="9.28515625" style="86" customWidth="1"/>
    <col min="5" max="5" width="9.85546875" style="86" customWidth="1"/>
    <col min="6" max="6" width="8.85546875" style="86" customWidth="1"/>
    <col min="7" max="7" width="11.5703125" style="86" customWidth="1"/>
    <col min="8" max="8" width="5.28515625" style="86" customWidth="1"/>
    <col min="9" max="9" width="5.140625" style="86" customWidth="1"/>
    <col min="10" max="10" width="10.85546875" style="86" customWidth="1"/>
    <col min="11" max="11" width="13" style="86" customWidth="1"/>
    <col min="12" max="12" width="10.7109375" style="86" customWidth="1"/>
    <col min="13" max="13" width="23.85546875" style="86" customWidth="1"/>
    <col min="14" max="14" width="5.28515625" style="86" customWidth="1"/>
    <col min="15" max="15" width="5.140625" style="86" customWidth="1"/>
    <col min="16" max="16" width="11.5703125" style="86" customWidth="1"/>
    <col min="17" max="17" width="11.42578125" style="86" customWidth="1"/>
    <col min="18" max="18" width="21" style="86" customWidth="1"/>
    <col min="19" max="19" width="5.7109375" style="86" customWidth="1"/>
    <col min="20" max="20" width="2.5703125" style="86" customWidth="1"/>
    <col min="21" max="16384" width="9.140625" style="86"/>
  </cols>
  <sheetData>
    <row r="1" spans="1:20">
      <c r="A1" s="87"/>
      <c r="B1" s="176" t="s">
        <v>0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7"/>
      <c r="O1" s="178" t="s">
        <v>1</v>
      </c>
      <c r="P1" s="179"/>
      <c r="Q1" s="179"/>
      <c r="R1" s="179"/>
      <c r="S1" s="179"/>
      <c r="T1" s="130"/>
    </row>
    <row r="2" spans="1:20" ht="4.5" customHeight="1">
      <c r="A2" s="88"/>
      <c r="B2" s="89"/>
      <c r="C2" s="90"/>
      <c r="D2" s="90"/>
      <c r="E2" s="90"/>
      <c r="F2" s="90"/>
      <c r="G2" s="90"/>
      <c r="H2" s="90"/>
      <c r="I2" s="89"/>
      <c r="J2" s="89"/>
      <c r="K2" s="89"/>
      <c r="L2" s="89"/>
      <c r="M2" s="89"/>
      <c r="N2" s="89"/>
      <c r="O2" s="119"/>
      <c r="P2" s="120"/>
      <c r="Q2" s="120"/>
      <c r="R2" s="131"/>
      <c r="S2" s="132"/>
      <c r="T2" s="130"/>
    </row>
    <row r="3" spans="1:20">
      <c r="A3" s="91"/>
      <c r="B3" s="92"/>
      <c r="C3" s="93" t="s">
        <v>2</v>
      </c>
      <c r="D3" s="180"/>
      <c r="E3" s="181"/>
      <c r="F3" s="182" t="str">
        <f ca="1">IF($D$3="","Insert Joining Date",IF((DATEDIF(D3,TODAY(),"Y"))=0,"",DATEDIF(D3,TODAY(),"Y"))&amp;IF((DATEDIF(D3,TODAY(),"Y"))=0,""," Years, ")&amp;IF((DATEDIF(D3,TODAY(),"YM"))=0,"",DATEDIF(D3,TODAY(),"YM"))&amp;IF((DATEDIF(D3,TODAY(),"YM"))=0,""," Months ")&amp;IF((DATEDIF(D3,TODAY(),"MD"))=0,"","&amp; "&amp;DATEDIF(D3,TODAY(),"MD"))&amp;IF((DATEDIF(D3,TODAY(),"MD"))=0,""," Days"))</f>
        <v>Insert Joining Date</v>
      </c>
      <c r="G3" s="182"/>
      <c r="H3" s="183"/>
      <c r="I3" s="92"/>
      <c r="J3" s="110" t="s">
        <v>3</v>
      </c>
      <c r="K3" s="184"/>
      <c r="L3" s="185"/>
      <c r="M3" s="186"/>
      <c r="N3" s="92"/>
      <c r="O3" s="187" t="s">
        <v>4</v>
      </c>
      <c r="P3" s="188"/>
      <c r="Q3" s="189"/>
      <c r="R3" s="190"/>
      <c r="S3" s="133"/>
      <c r="T3" s="130"/>
    </row>
    <row r="4" spans="1:20" ht="5.25" customHeight="1">
      <c r="A4" s="91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132"/>
      <c r="T4" s="130"/>
    </row>
    <row r="5" spans="1:20" ht="15.75" customHeight="1">
      <c r="B5" s="142">
        <f>$F$6</f>
        <v>2024</v>
      </c>
      <c r="C5" s="171" t="s">
        <v>5</v>
      </c>
      <c r="D5" s="172"/>
      <c r="E5" s="172"/>
      <c r="F5" s="172"/>
      <c r="G5" s="173"/>
      <c r="H5" s="92"/>
      <c r="I5" s="144" t="s">
        <v>6</v>
      </c>
      <c r="J5" s="121" t="s">
        <v>7</v>
      </c>
      <c r="K5" s="121" t="s">
        <v>8</v>
      </c>
      <c r="L5" s="121" t="s">
        <v>9</v>
      </c>
      <c r="M5" s="122" t="s">
        <v>10</v>
      </c>
      <c r="N5" s="92"/>
      <c r="O5" s="146" t="s">
        <v>11</v>
      </c>
      <c r="P5" s="123" t="s">
        <v>12</v>
      </c>
      <c r="Q5" s="134" t="s">
        <v>13</v>
      </c>
      <c r="R5" s="174" t="s">
        <v>14</v>
      </c>
      <c r="S5" s="175"/>
      <c r="T5" s="135"/>
    </row>
    <row r="6" spans="1:20">
      <c r="B6" s="143"/>
      <c r="C6" s="163" t="s">
        <v>15</v>
      </c>
      <c r="D6" s="170"/>
      <c r="E6" s="164"/>
      <c r="F6" s="94">
        <v>2024</v>
      </c>
      <c r="G6" s="95"/>
      <c r="H6" s="92"/>
      <c r="I6" s="145"/>
      <c r="J6" s="124">
        <f>IF(OR(ISBLANK($K6),ISBLANK($L6)),"",IF($L6="Half Leave",0.5,1))</f>
        <v>1</v>
      </c>
      <c r="K6" s="125">
        <v>44942</v>
      </c>
      <c r="L6" s="126" t="s">
        <v>16</v>
      </c>
      <c r="M6" s="127" t="s">
        <v>17</v>
      </c>
      <c r="N6" s="92"/>
      <c r="O6" s="147"/>
      <c r="P6" s="125">
        <v>44940</v>
      </c>
      <c r="Q6" s="136">
        <f t="shared" ref="Q6:Q24" si="0">IF($P6="","",WEEKDAY($P6))</f>
        <v>7</v>
      </c>
      <c r="R6" s="161" t="s">
        <v>18</v>
      </c>
      <c r="S6" s="162"/>
      <c r="T6" s="135"/>
    </row>
    <row r="7" spans="1:20">
      <c r="A7" s="96">
        <f>IF(OR(FirstWeekDay="",FirstWeekDay="Sunday"),0,IF(FirstWeekDay="Monday",1,IF(FirstWeekDay="Tuesday",2,IF(FirstWeekDay="Wednesday",3,IF(FirstWeekDay="Thursday",4,IF(FirstWeekDay="Friday",5,IF(FirstWeekDay="Saturday",6,"")))))))</f>
        <v>1</v>
      </c>
      <c r="B7" s="143"/>
      <c r="C7" s="97" t="s">
        <v>19</v>
      </c>
      <c r="D7" s="98">
        <v>0.35416666666666702</v>
      </c>
      <c r="E7" s="163" t="s">
        <v>20</v>
      </c>
      <c r="F7" s="164"/>
      <c r="G7" s="99" t="s">
        <v>21</v>
      </c>
      <c r="H7" s="92"/>
      <c r="I7" s="145"/>
      <c r="J7" s="124" t="str">
        <f>IF(OR(ISBLANK($K7),ISBLANK($L7)),"",IF($L7="Half Leave",0.5,1))</f>
        <v/>
      </c>
      <c r="K7" s="125"/>
      <c r="L7" s="126"/>
      <c r="M7" s="127"/>
      <c r="N7" s="92"/>
      <c r="O7" s="147"/>
      <c r="P7" s="125">
        <v>44952</v>
      </c>
      <c r="Q7" s="136">
        <f t="shared" si="0"/>
        <v>5</v>
      </c>
      <c r="R7" s="161" t="s">
        <v>22</v>
      </c>
      <c r="S7" s="162"/>
      <c r="T7" s="135"/>
    </row>
    <row r="8" spans="1:20">
      <c r="A8" s="85" t="s">
        <v>23</v>
      </c>
      <c r="B8" s="143"/>
      <c r="C8" s="97" t="s">
        <v>24</v>
      </c>
      <c r="D8" s="98">
        <v>0.1875</v>
      </c>
      <c r="E8" s="163" t="s">
        <v>25</v>
      </c>
      <c r="F8" s="164"/>
      <c r="G8" s="100"/>
      <c r="H8" s="101"/>
      <c r="I8" s="145"/>
      <c r="J8" s="124" t="str">
        <f t="shared" ref="J8:J24" si="1">IF(OR(ISBLANK($K8),ISBLANK($L8)),"",IF($L8="Half Leave",0.5,1))</f>
        <v/>
      </c>
      <c r="K8" s="125"/>
      <c r="L8" s="126"/>
      <c r="M8" s="127"/>
      <c r="N8" s="92"/>
      <c r="O8" s="147"/>
      <c r="P8" s="125">
        <v>44993</v>
      </c>
      <c r="Q8" s="136">
        <f t="shared" si="0"/>
        <v>4</v>
      </c>
      <c r="R8" s="161" t="s">
        <v>26</v>
      </c>
      <c r="S8" s="162"/>
      <c r="T8" s="135"/>
    </row>
    <row r="9" spans="1:20">
      <c r="B9" s="143"/>
      <c r="C9" s="163" t="str">
        <f>IF($G$9&lt;&gt;$G$10,"1. Weekend Off","Values from the Day List box")</f>
        <v>1. Weekend Off</v>
      </c>
      <c r="D9" s="170"/>
      <c r="E9" s="165" t="s">
        <v>27</v>
      </c>
      <c r="F9" s="166"/>
      <c r="G9" s="102" t="s">
        <v>28</v>
      </c>
      <c r="H9" s="101"/>
      <c r="I9" s="145"/>
      <c r="J9" s="124" t="str">
        <f t="shared" si="1"/>
        <v/>
      </c>
      <c r="K9" s="125"/>
      <c r="L9" s="126"/>
      <c r="M9" s="127"/>
      <c r="N9" s="92"/>
      <c r="O9" s="147"/>
      <c r="P9" s="125"/>
      <c r="Q9" s="136" t="str">
        <f t="shared" si="0"/>
        <v/>
      </c>
      <c r="R9" s="161"/>
      <c r="S9" s="162"/>
      <c r="T9" s="135"/>
    </row>
    <row r="10" spans="1:20">
      <c r="B10" s="143"/>
      <c r="C10" s="163" t="str">
        <f>IF($G$9&lt;&gt;$G$10,"2. Weekend Off","must be different.")</f>
        <v>2. Weekend Off</v>
      </c>
      <c r="D10" s="164"/>
      <c r="E10" s="165" t="s">
        <v>27</v>
      </c>
      <c r="F10" s="166"/>
      <c r="G10" s="102" t="s">
        <v>29</v>
      </c>
      <c r="H10" s="101"/>
      <c r="I10" s="145"/>
      <c r="J10" s="124" t="str">
        <f t="shared" si="1"/>
        <v/>
      </c>
      <c r="K10" s="125"/>
      <c r="L10" s="126"/>
      <c r="M10" s="127"/>
      <c r="N10" s="92"/>
      <c r="O10" s="147"/>
      <c r="P10" s="125"/>
      <c r="Q10" s="136" t="str">
        <f t="shared" si="0"/>
        <v/>
      </c>
      <c r="R10" s="161"/>
      <c r="S10" s="162"/>
      <c r="T10" s="135"/>
    </row>
    <row r="11" spans="1:20" ht="15" customHeight="1">
      <c r="B11" s="143"/>
      <c r="C11" s="167" t="s">
        <v>30</v>
      </c>
      <c r="D11" s="168"/>
      <c r="E11" s="168"/>
      <c r="F11" s="168"/>
      <c r="G11" s="169"/>
      <c r="H11" s="92"/>
      <c r="I11" s="145"/>
      <c r="J11" s="124" t="str">
        <f t="shared" si="1"/>
        <v/>
      </c>
      <c r="K11" s="125"/>
      <c r="L11" s="126"/>
      <c r="M11" s="127"/>
      <c r="N11" s="92"/>
      <c r="O11" s="147"/>
      <c r="P11" s="125"/>
      <c r="Q11" s="136" t="str">
        <f t="shared" si="0"/>
        <v/>
      </c>
      <c r="R11" s="161"/>
      <c r="S11" s="162"/>
      <c r="T11" s="135"/>
    </row>
    <row r="12" spans="1:20">
      <c r="B12" s="143"/>
      <c r="C12" s="103" t="s">
        <v>31</v>
      </c>
      <c r="D12" s="103" t="s">
        <v>32</v>
      </c>
      <c r="E12" s="103" t="s">
        <v>33</v>
      </c>
      <c r="F12" s="103" t="s">
        <v>34</v>
      </c>
      <c r="G12" s="104" t="s">
        <v>35</v>
      </c>
      <c r="H12" s="92"/>
      <c r="I12" s="145"/>
      <c r="J12" s="124" t="str">
        <f t="shared" si="1"/>
        <v/>
      </c>
      <c r="K12" s="125"/>
      <c r="L12" s="126"/>
      <c r="M12" s="127"/>
      <c r="N12" s="92"/>
      <c r="O12" s="147"/>
      <c r="P12" s="125"/>
      <c r="Q12" s="136" t="str">
        <f t="shared" si="0"/>
        <v/>
      </c>
      <c r="R12" s="161"/>
      <c r="S12" s="162"/>
      <c r="T12" s="135"/>
    </row>
    <row r="13" spans="1:20">
      <c r="B13" s="143"/>
      <c r="C13" s="105">
        <f>DATE(year,1,1)</f>
        <v>45292</v>
      </c>
      <c r="D13" s="106">
        <f>SUM('1'!$O2:$O33)</f>
        <v>0.61736111111111136</v>
      </c>
      <c r="E13" s="106">
        <f>SUM('1'!$P2:$P33)</f>
        <v>5.9756944444444446</v>
      </c>
      <c r="F13" s="106">
        <f>SUM('1'!$Q2:$Q33)</f>
        <v>6.5930555555555568</v>
      </c>
      <c r="G13" s="107">
        <f>IFERROR(AVERAGEIF('1'!$P2:$P33,"&lt;&gt;0",'1'!$P2:$P33),"")</f>
        <v>0.35151143790849676</v>
      </c>
      <c r="H13" s="92"/>
      <c r="I13" s="145"/>
      <c r="J13" s="124" t="str">
        <f t="shared" si="1"/>
        <v/>
      </c>
      <c r="K13" s="125"/>
      <c r="L13" s="126"/>
      <c r="M13" s="127"/>
      <c r="N13" s="92"/>
      <c r="O13" s="147"/>
      <c r="P13" s="125"/>
      <c r="Q13" s="136" t="str">
        <f t="shared" si="0"/>
        <v/>
      </c>
      <c r="R13" s="161"/>
      <c r="S13" s="162"/>
      <c r="T13" s="135"/>
    </row>
    <row r="14" spans="1:20">
      <c r="B14" s="143"/>
      <c r="C14" s="105">
        <f>DATE(year,2,1)</f>
        <v>45323</v>
      </c>
      <c r="D14" s="106">
        <f>SUM('2'!$O2:$O33)</f>
        <v>0.50069444444444255</v>
      </c>
      <c r="E14" s="106">
        <f>SUM('2'!$P2:$P33)</f>
        <v>6.689583333333335</v>
      </c>
      <c r="F14" s="106">
        <f>SUM('2'!$Q2:$Q33)</f>
        <v>7.1902777777777764</v>
      </c>
      <c r="G14" s="107">
        <f>IFERROR(AVERAGEIF('2'!$P2:$P33,"&lt;&gt;0",'2'!$P2:$P33),"")</f>
        <v>0.31855158730158739</v>
      </c>
      <c r="H14" s="92"/>
      <c r="I14" s="145"/>
      <c r="J14" s="124" t="str">
        <f t="shared" si="1"/>
        <v/>
      </c>
      <c r="K14" s="125"/>
      <c r="L14" s="126"/>
      <c r="M14" s="127"/>
      <c r="N14" s="92"/>
      <c r="O14" s="147"/>
      <c r="P14" s="125"/>
      <c r="Q14" s="136" t="str">
        <f t="shared" si="0"/>
        <v/>
      </c>
      <c r="R14" s="161"/>
      <c r="S14" s="162"/>
      <c r="T14" s="135"/>
    </row>
    <row r="15" spans="1:20">
      <c r="B15" s="143"/>
      <c r="C15" s="105">
        <f>DATE(year,3,1)</f>
        <v>45352</v>
      </c>
      <c r="D15" s="106">
        <f>SUM('3'!$O2:$O33)</f>
        <v>0.35902777777778028</v>
      </c>
      <c r="E15" s="106">
        <f>SUM('3'!$P2:$P33)</f>
        <v>5.58958333333333</v>
      </c>
      <c r="F15" s="106">
        <f>SUM('3'!$Q2:$Q33)</f>
        <v>5.9486111111111128</v>
      </c>
      <c r="G15" s="107">
        <f>IFERROR(AVERAGEIF('3'!$P2:$P33,"&lt;&gt;0",'3'!$P2:$P33),"")</f>
        <v>0.31053240740740723</v>
      </c>
      <c r="H15" s="92"/>
      <c r="I15" s="145"/>
      <c r="J15" s="124" t="str">
        <f t="shared" si="1"/>
        <v/>
      </c>
      <c r="K15" s="125"/>
      <c r="L15" s="126"/>
      <c r="M15" s="127"/>
      <c r="N15" s="92"/>
      <c r="O15" s="147"/>
      <c r="P15" s="125"/>
      <c r="Q15" s="136" t="str">
        <f t="shared" si="0"/>
        <v/>
      </c>
      <c r="R15" s="161"/>
      <c r="S15" s="162"/>
      <c r="T15" s="135"/>
    </row>
    <row r="16" spans="1:20">
      <c r="B16" s="143"/>
      <c r="C16" s="105">
        <f>DATE(year,4,1)</f>
        <v>45383</v>
      </c>
      <c r="D16" s="106">
        <f>SUM('4'!$O2:$O33)</f>
        <v>0.37569444444444322</v>
      </c>
      <c r="E16" s="106">
        <f>SUM('4'!$P2:$P33)</f>
        <v>4.9784722222222237</v>
      </c>
      <c r="F16" s="106">
        <f>SUM('4'!$Q2:$Q33)</f>
        <v>5.3541666666666661</v>
      </c>
      <c r="G16" s="107">
        <f>IFERROR(AVERAGEIF('4'!$P2:$P33,"&lt;&gt;0",'4'!$P2:$P33),"")</f>
        <v>0.31115451388888898</v>
      </c>
      <c r="H16" s="92"/>
      <c r="I16" s="145"/>
      <c r="J16" s="124" t="str">
        <f t="shared" si="1"/>
        <v/>
      </c>
      <c r="K16" s="125"/>
      <c r="L16" s="126"/>
      <c r="M16" s="127"/>
      <c r="N16" s="92"/>
      <c r="O16" s="147"/>
      <c r="P16" s="125"/>
      <c r="Q16" s="136" t="str">
        <f t="shared" si="0"/>
        <v/>
      </c>
      <c r="R16" s="161"/>
      <c r="S16" s="162"/>
      <c r="T16" s="135"/>
    </row>
    <row r="17" spans="2:20">
      <c r="B17" s="143"/>
      <c r="C17" s="105">
        <f>DATE(year,5,1)</f>
        <v>45413</v>
      </c>
      <c r="D17" s="106">
        <f>SUM('5'!$O2:$O33)</f>
        <v>0.51527777777778139</v>
      </c>
      <c r="E17" s="106">
        <f>SUM('5'!$P2:$P33)</f>
        <v>5.8513888888888843</v>
      </c>
      <c r="F17" s="106">
        <f>SUM('5'!$Q2:$Q33)</f>
        <v>6.3666666666666654</v>
      </c>
      <c r="G17" s="107">
        <f>IFERROR(AVERAGEIF('5'!$P2:$P33,"&lt;&gt;0",'5'!$P2:$P33),"")</f>
        <v>0.30796783625730972</v>
      </c>
      <c r="H17" s="92"/>
      <c r="I17" s="145"/>
      <c r="J17" s="124" t="str">
        <f t="shared" si="1"/>
        <v/>
      </c>
      <c r="K17" s="125"/>
      <c r="L17" s="126"/>
      <c r="M17" s="127"/>
      <c r="N17" s="92"/>
      <c r="O17" s="147"/>
      <c r="P17" s="125"/>
      <c r="Q17" s="136" t="str">
        <f t="shared" si="0"/>
        <v/>
      </c>
      <c r="R17" s="161"/>
      <c r="S17" s="162"/>
      <c r="T17" s="135"/>
    </row>
    <row r="18" spans="2:20">
      <c r="B18" s="143"/>
      <c r="C18" s="105">
        <f>DATE(year,6,1)</f>
        <v>45444</v>
      </c>
      <c r="D18" s="106">
        <f>SUM('6'!$O2:$O33)</f>
        <v>0.51180555555555729</v>
      </c>
      <c r="E18" s="106">
        <f>SUM('6'!$P2:$P33)</f>
        <v>6.4805555555555552</v>
      </c>
      <c r="F18" s="106">
        <f>SUM('6'!$Q2:$Q33)</f>
        <v>6.992361111111113</v>
      </c>
      <c r="G18" s="107">
        <f>IFERROR(AVERAGEIF('6'!$P2:$P33,"&lt;&gt;0",'6'!$P2:$P33),"")</f>
        <v>0.30859788359788359</v>
      </c>
      <c r="H18" s="92"/>
      <c r="I18" s="145"/>
      <c r="J18" s="124" t="str">
        <f t="shared" si="1"/>
        <v/>
      </c>
      <c r="K18" s="125"/>
      <c r="L18" s="126"/>
      <c r="M18" s="127"/>
      <c r="N18" s="92"/>
      <c r="O18" s="147"/>
      <c r="P18" s="125"/>
      <c r="Q18" s="136" t="str">
        <f t="shared" si="0"/>
        <v/>
      </c>
      <c r="R18" s="148"/>
      <c r="S18" s="149"/>
      <c r="T18" s="135"/>
    </row>
    <row r="19" spans="2:20">
      <c r="B19" s="143"/>
      <c r="C19" s="105">
        <f>DATE(year,7,1)</f>
        <v>45474</v>
      </c>
      <c r="D19" s="106">
        <f>SUM('7'!$O2:$O33)</f>
        <v>0.35347222222222369</v>
      </c>
      <c r="E19" s="106">
        <f>SUM('7'!$P2:$P33)</f>
        <v>6.4000000000000021</v>
      </c>
      <c r="F19" s="106">
        <f>SUM('7'!$Q2:$Q33)</f>
        <v>6.753472222222225</v>
      </c>
      <c r="G19" s="107">
        <f>IFERROR(AVERAGEIF('7'!$P2:$P33,"&lt;&gt;0",'7'!$P2:$P33),"")</f>
        <v>0.336842105263158</v>
      </c>
      <c r="H19" s="92"/>
      <c r="I19" s="145"/>
      <c r="J19" s="124" t="str">
        <f t="shared" si="1"/>
        <v/>
      </c>
      <c r="K19" s="125"/>
      <c r="L19" s="126"/>
      <c r="M19" s="127"/>
      <c r="N19" s="92"/>
      <c r="O19" s="147"/>
      <c r="P19" s="125"/>
      <c r="Q19" s="136" t="str">
        <f t="shared" si="0"/>
        <v/>
      </c>
      <c r="R19" s="148"/>
      <c r="S19" s="149"/>
      <c r="T19" s="135"/>
    </row>
    <row r="20" spans="2:20">
      <c r="B20" s="143"/>
      <c r="C20" s="105">
        <f>DATE(year,8,1)</f>
        <v>45505</v>
      </c>
      <c r="D20" s="106" t="e">
        <f>SUM('8'!$O2:$O33)</f>
        <v>#VALUE!</v>
      </c>
      <c r="E20" s="106">
        <f>SUM('8'!$P2:$P33)</f>
        <v>6.9236111111111125</v>
      </c>
      <c r="F20" s="106">
        <f>SUM('8'!$Q2:$Q33)</f>
        <v>7.7868055555555564</v>
      </c>
      <c r="G20" s="107">
        <f>IFERROR(AVERAGEIF('8'!$P2:$P33,"&lt;&gt;0",'8'!$P2:$P33),"")</f>
        <v>0.3461805555555556</v>
      </c>
      <c r="H20" s="92"/>
      <c r="I20" s="145"/>
      <c r="J20" s="124" t="str">
        <f t="shared" si="1"/>
        <v/>
      </c>
      <c r="K20" s="125"/>
      <c r="L20" s="126"/>
      <c r="M20" s="127"/>
      <c r="N20" s="92"/>
      <c r="O20" s="147"/>
      <c r="P20" s="125"/>
      <c r="Q20" s="136" t="str">
        <f t="shared" si="0"/>
        <v/>
      </c>
      <c r="R20" s="148"/>
      <c r="S20" s="149"/>
      <c r="T20" s="135"/>
    </row>
    <row r="21" spans="2:20">
      <c r="B21" s="143"/>
      <c r="C21" s="105">
        <f>DATE(year,9,1)</f>
        <v>45536</v>
      </c>
      <c r="D21" s="106">
        <f>SUM('9'!$O2:$O33)</f>
        <v>5.9722222222222121E-2</v>
      </c>
      <c r="E21" s="106">
        <f>SUM('9'!$P2:$P33)</f>
        <v>0.62847222222222232</v>
      </c>
      <c r="F21" s="106">
        <f>SUM('9'!$Q2:$Q33)</f>
        <v>0.68819444444444433</v>
      </c>
      <c r="G21" s="107">
        <f>IFERROR(AVERAGEIF('9'!$P2:$P33,"&lt;&gt;0",'9'!$P2:$P33),"")</f>
        <v>0.31423611111111116</v>
      </c>
      <c r="H21" s="108"/>
      <c r="I21" s="145"/>
      <c r="J21" s="124" t="str">
        <f t="shared" si="1"/>
        <v/>
      </c>
      <c r="K21" s="125"/>
      <c r="L21" s="126"/>
      <c r="M21" s="127"/>
      <c r="N21" s="92"/>
      <c r="O21" s="147"/>
      <c r="P21" s="125"/>
      <c r="Q21" s="136" t="str">
        <f t="shared" si="0"/>
        <v/>
      </c>
      <c r="R21" s="148"/>
      <c r="S21" s="149"/>
      <c r="T21" s="135"/>
    </row>
    <row r="22" spans="2:20">
      <c r="B22" s="143"/>
      <c r="C22" s="105">
        <f>DATE(year,10,1)</f>
        <v>45566</v>
      </c>
      <c r="D22" s="106">
        <f>SUM('10'!$O2:$O33)</f>
        <v>0.60138888888888908</v>
      </c>
      <c r="E22" s="106">
        <f>SUM('10'!$P2:$P33)</f>
        <v>6.6069444444444443</v>
      </c>
      <c r="F22" s="106">
        <f>SUM('10'!$Q2:$Q33)</f>
        <v>7.208333333333333</v>
      </c>
      <c r="G22" s="107">
        <f>IFERROR(AVERAGEIF('10'!$P2:$P33,"&lt;&gt;0",'10'!$P2:$P33),"")</f>
        <v>0.34773391812865495</v>
      </c>
      <c r="H22" s="92"/>
      <c r="I22" s="145"/>
      <c r="J22" s="124" t="str">
        <f t="shared" si="1"/>
        <v/>
      </c>
      <c r="K22" s="125"/>
      <c r="L22" s="126"/>
      <c r="M22" s="127"/>
      <c r="N22" s="92"/>
      <c r="O22" s="147"/>
      <c r="P22" s="125"/>
      <c r="Q22" s="136" t="str">
        <f t="shared" si="0"/>
        <v/>
      </c>
      <c r="R22" s="148"/>
      <c r="S22" s="149"/>
      <c r="T22" s="135"/>
    </row>
    <row r="23" spans="2:20">
      <c r="B23" s="143"/>
      <c r="C23" s="105">
        <f>DATE(year,11,1)</f>
        <v>45597</v>
      </c>
      <c r="D23" s="106">
        <f>SUM('11'!$O2:$O33)</f>
        <v>7.5694444444444398E-2</v>
      </c>
      <c r="E23" s="106">
        <f>SUM('11'!$P2:$P33)</f>
        <v>0.29791666666666672</v>
      </c>
      <c r="F23" s="106">
        <f>SUM('11'!$Q2:$Q33)</f>
        <v>0.37361111111111112</v>
      </c>
      <c r="G23" s="107">
        <f>IFERROR(AVERAGEIF('11'!$P2:$P33,"&lt;&gt;0",'11'!$P2:$P33),"")</f>
        <v>0.29791666666666672</v>
      </c>
      <c r="H23" s="92"/>
      <c r="I23" s="145"/>
      <c r="J23" s="124" t="str">
        <f t="shared" si="1"/>
        <v/>
      </c>
      <c r="K23" s="125"/>
      <c r="L23" s="126"/>
      <c r="M23" s="127"/>
      <c r="N23" s="92"/>
      <c r="O23" s="147"/>
      <c r="P23" s="125"/>
      <c r="Q23" s="136" t="str">
        <f t="shared" si="0"/>
        <v/>
      </c>
      <c r="R23" s="148"/>
      <c r="S23" s="149"/>
      <c r="T23" s="135"/>
    </row>
    <row r="24" spans="2:20">
      <c r="B24" s="143"/>
      <c r="C24" s="109">
        <f>DATE(year,12,1)</f>
        <v>45627</v>
      </c>
      <c r="D24" s="106">
        <f>SUM('12'!$O2:$O33)</f>
        <v>0</v>
      </c>
      <c r="E24" s="106">
        <f>SUM('12'!$P2:$P33)</f>
        <v>1.0354166666666669</v>
      </c>
      <c r="F24" s="106">
        <f>SUM('12'!$Q2:$Q33)</f>
        <v>1.0354166666666669</v>
      </c>
      <c r="G24" s="107">
        <f>IFERROR(AVERAGEIF('12'!$P2:$P33,"&lt;&gt;0",'12'!$P2:$P33),"")</f>
        <v>0.20708333333333337</v>
      </c>
      <c r="H24" s="92"/>
      <c r="I24" s="145"/>
      <c r="J24" s="124" t="str">
        <f t="shared" si="1"/>
        <v/>
      </c>
      <c r="K24" s="125"/>
      <c r="L24" s="126"/>
      <c r="M24" s="127"/>
      <c r="N24" s="92"/>
      <c r="O24" s="147"/>
      <c r="P24" s="125"/>
      <c r="Q24" s="136" t="str">
        <f t="shared" si="0"/>
        <v/>
      </c>
      <c r="R24" s="148"/>
      <c r="S24" s="149"/>
      <c r="T24" s="135"/>
    </row>
    <row r="25" spans="2:20">
      <c r="B25" s="143"/>
      <c r="C25" s="110" t="s">
        <v>36</v>
      </c>
      <c r="D25" s="111" t="e">
        <f>SUM($D$13:$D$24)</f>
        <v>#VALUE!</v>
      </c>
      <c r="E25" s="111">
        <f>SUM($E$13:$E$24)</f>
        <v>57.457638888888887</v>
      </c>
      <c r="F25" s="111">
        <f>SUM($F$13:$F$24)</f>
        <v>62.290972222222237</v>
      </c>
      <c r="G25" s="112">
        <f>IFERROR(AVERAGEIF($G$13:$G$24,"&lt;&gt;0",$G$13:$G$24),"")</f>
        <v>0.31319236303500442</v>
      </c>
      <c r="H25" s="92"/>
      <c r="I25" s="145"/>
      <c r="J25" s="128">
        <f>SUM($J6:$J24)</f>
        <v>1</v>
      </c>
      <c r="K25" s="111" t="s">
        <v>37</v>
      </c>
      <c r="L25" s="111" t="s">
        <v>37</v>
      </c>
      <c r="M25" s="112" t="str">
        <f>Yearly_Leaves-TotalLeave&amp;" Leaves remaining"</f>
        <v>-1 Leaves remaining</v>
      </c>
      <c r="N25" s="92"/>
      <c r="O25" s="147"/>
      <c r="P25" s="129">
        <f>COUNTA(hdate)</f>
        <v>3</v>
      </c>
      <c r="Q25" s="137"/>
      <c r="R25" s="150" t="s">
        <v>37</v>
      </c>
      <c r="S25" s="151"/>
      <c r="T25" s="135"/>
    </row>
    <row r="26" spans="2:20">
      <c r="B26" s="152" t="str">
        <f>IF(SUM($E$13:$E$24)=TIME(0,0,0),"No","Total ")&amp;IF(SUM($E$13:$E$24)=TIME(0,0,0),"",TEXT(SUM($E$13:$E$24),"[h]:mm"))&amp;" Work Hours and "&amp;TEXT(IFERROR(AVERAGEIF($G$13:$G$24,"&lt;&gt;0",$G$13:$G$24),"No"),"[h]:mm")&amp;" Average Hours are done."</f>
        <v>Total 1378:59 Work Hours and 7:31 Average Hours are done.</v>
      </c>
      <c r="C26" s="153"/>
      <c r="D26" s="153"/>
      <c r="E26" s="153"/>
      <c r="F26" s="153"/>
      <c r="G26" s="154"/>
      <c r="H26" s="101"/>
      <c r="I26" s="155" t="str">
        <f>IF((SUM(COUNTIF($L$6:$L$24,"Paid Leave"),(COUNTIF($L$6:$L$24,"Half Leave")/2)))=0,"No","Total ")&amp;IF((SUM(COUNTIF($L$6:$L$24,"Paid Leave"),(COUNTIF($L$6:$L$24,"Half Leave")/2)))=0,"",(SUM(COUNTIF($L$6:$L$24,"Paid Leave"),(COUNTIF($L$6:$L$24,"Half Leave")/2))))&amp;" Paid Leave, "&amp;IF((COUNTIF($L$6:$L$24,"Sick Leave"))=0,"No",COUNTIF($L$6:$L$24,"Sick Leave"))&amp;" Sick Leave and "&amp;IF((COUNTIF($L$6:$L$24,"Other"))=0,"No",COUNTIF($L$6:$L$24,"Other"))&amp;" Other Leave are taken."</f>
        <v>No Paid Leave, 1 Sick Leave and No Other Leave are taken.</v>
      </c>
      <c r="J26" s="156"/>
      <c r="K26" s="156"/>
      <c r="L26" s="156"/>
      <c r="M26" s="157"/>
      <c r="N26" s="92"/>
      <c r="O26" s="158" t="str">
        <f ca="1">IF((COUNTIF(hdate,"&gt;"&amp;TODAY()))&lt;1,"",COUNTIF(hdate,"&gt;"&amp;TODAY()))&amp;IF((COUNTIF(hdate,"&gt;"&amp;TODAY()))&lt;1," There are no Holidays remains.",IF((COUNTIF(hdate,"&gt;"&amp;TODAY()))=1," Holiday is remaining."," Holidays are remaining."))</f>
        <v xml:space="preserve"> There are no Holidays remains.</v>
      </c>
      <c r="P26" s="159"/>
      <c r="Q26" s="159"/>
      <c r="R26" s="159"/>
      <c r="S26" s="160"/>
      <c r="T26" s="135"/>
    </row>
    <row r="27" spans="2:20">
      <c r="B27" s="138"/>
      <c r="C27" s="139"/>
      <c r="D27" s="139"/>
      <c r="E27" s="139"/>
      <c r="F27" s="139"/>
      <c r="G27" s="139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1"/>
    </row>
    <row r="28" spans="2:20">
      <c r="C28" s="113"/>
      <c r="D28" s="114" t="str">
        <f>IF($G$9="","Sunday",$G$9)</f>
        <v>Sunday</v>
      </c>
      <c r="E28" s="114">
        <f>IF($G$9="Monday",2,IF($G$9="Tuesday",3,IF($G$9="Wednesday",4,IF($G$9="Thursday",5,IF($G$9="Friday",6,IF($G$9="Saturday",7,IF($G$9="Sunday",1,1)))))))</f>
        <v>1</v>
      </c>
      <c r="F28" s="114" t="str">
        <f>IF($G$10="","Sunday",$G$10)</f>
        <v>Saturday</v>
      </c>
      <c r="G28" s="114">
        <f>IF($G$10="Monday",2,IF($G$10="Tuesday",3,IF($G$10="Wednesday",4,IF($G$10="Thursday",5,IF($G$10="Friday",6,IF($G$10="Saturday",7,IF($G$10="Sunday",1,1)))))))</f>
        <v>7</v>
      </c>
      <c r="H28" s="115"/>
      <c r="I28" s="115"/>
      <c r="J28" s="115"/>
    </row>
    <row r="29" spans="2:20">
      <c r="C29" s="113"/>
      <c r="D29" s="116" t="str">
        <f t="array" ref="D29:D30">IF($G$9&lt;&gt;$G$10,IF($E$9="First",TRANSPOSE({"First","First"}),IF($E$9="Second",TRANSPOSE({"Second","Second"}),IF($E$9="Third",TRANSPOSE({"Third","Third"}),IF($E$9="Fourth",TRANSPOSE({"Fourth","Fourth"}),IF($E$9="Fifth",TRANSPOSE({"Fifth","Fifth"}),IF($E$9="First &amp; Second",TRANSPOSE({"First","Second"}),IF($E$9="First &amp; Third",TRANSPOSE({"First","Third"}),IF($E$9="First &amp; Fourth",TRANSPOSE({"First","Fourth"}),IF($E$9="First &amp; Fifth",TRANSPOSE({"First","Fifth"}),IF($E$9="Second &amp; Third",TRANSPOSE({"Second","Third"}),IF($E$9="Second &amp; Fourth",TRANSPOSE({"Second","Fourth"}),IF($E$9="Second &amp; Fifth",TRANSPOSE({"Second","Fifth"}),IF($E$9="Third &amp; Fourth",TRANSPOSE({"Third","Fourth"}),IF($E$9="Third &amp; Fifth",TRANSPOSE({"Third","Fifth"}),IF($E$9="Fourth &amp; Fifth",TRANSPOSE({"Fourth","Fifth"}),IF($E$9="None",TRANSPOSE({"",""}),"")))))))))))))))),"")</f>
        <v/>
      </c>
      <c r="E29" s="116">
        <f t="array" ref="E29:E30">IF($G$9&lt;&gt;$G$10,IF($E$9="First",TRANSPOSE({1,1}),IF($E$9="Second",TRANSPOSE({2,2}),IF($E$9="Third",TRANSPOSE({3,3}),IF($E$9="Fourth",TRANSPOSE({4,4}),IF($E$9="Fifth",TRANSPOSE({5,5}),IF($E$9="First &amp; Second",TRANSPOSE({1,2}),IF($E$9="First &amp; Third",TRANSPOSE({1,3}),IF($E$9="First &amp; Fourth",TRANSPOSE({1,4}),IF($E$9="First &amp; Fifth",TRANSPOSE({1,5}),IF($E$9="Second &amp; Third",TRANSPOSE({2,3}),IF($E$9="Second &amp; Fourth",TRANSPOSE({2,4}),IF($E$9="Second &amp; Fifth",TRANSPOSE({2,5}),IF($E$9="Third &amp; Fourth",TRANSPOSE({3,4}),IF($E$9="Third &amp; Fifth",TRANSPOSE({3,5}),IF($E$9="Fourth &amp; Fifth",TRANSPOSE({4,5}),))))))))))))))),"")</f>
        <v>0</v>
      </c>
      <c r="F29" s="117" t="str">
        <f t="array" ref="F29:F30">IF($G$9&lt;&gt;$G$10,IF($E$10="First",TRANSPOSE({"First","First"}),IF($E$10="Second",TRANSPOSE({"Second","Second"}),IF($E$10="Third",TRANSPOSE({"Third","Third"}),IF($E$10="Fourth",TRANSPOSE({"Fourth","Fourth"}),IF($E$10="Fifth",TRANSPOSE({"Fifth","Fifth"}),IF($E$10="First &amp; Second",TRANSPOSE({"First","Second"}),IF($E$10="First &amp; Third",TRANSPOSE({"First","Third"}),IF($E$10="First &amp; Fourth",TRANSPOSE({"First","Fourth"}),IF($E$10="First &amp; Fifth",TRANSPOSE({"First","Fifth"}),IF($E$10="Second &amp; Third",TRANSPOSE({"Second","Third"}),IF($E$10="Second &amp; Fourth",TRANSPOSE({"Second","Fourth"}),IF($E$10="Second &amp; Fifth",TRANSPOSE({"Second","Fifth"}),IF($E$10="Third &amp; Fourth",TRANSPOSE({"Third","Fourth"}),IF($E$10="Third &amp; Fifth",TRANSPOSE({"Third","Fifth"}),IF($E$10="Fourth &amp; Fifth",TRANSPOSE({"Fourth","Fifth"}),IF($E$10="None",TRANSPOSE({"",""}),"")))))))))))))))),"")</f>
        <v/>
      </c>
      <c r="G29" s="116">
        <f t="array" ref="G29:G30">IF($G$9&lt;&gt;$G$10,IF($E$10="First",TRANSPOSE({1,1}),IF($E$10="Second",TRANSPOSE({2,2}),IF($E$10="Third",TRANSPOSE({3,3}),IF($E$10="Fourth",TRANSPOSE({4,4}),IF($E$10="Fifth",TRANSPOSE({5,5}),IF($E$10="First &amp; Second",TRANSPOSE({1,2}),IF($E$10="First &amp; Third",TRANSPOSE({1,3}),IF($E$10="First &amp; Fourth",TRANSPOSE({1,4}),IF($E$10="First &amp; Fifth",TRANSPOSE({1,5}),IF($E$10="Second &amp; Third",TRANSPOSE({2,3}),IF($E$10="Second &amp; Fourth",TRANSPOSE({2,4}),IF($E$10="Second &amp; Fifth",TRANSPOSE({2,5}),IF($E$10="Third &amp; Fourth",TRANSPOSE({3,4}),IF($E$10="Third &amp; Fifth",TRANSPOSE({3,5}),IF($E$10="Fourth &amp; Fifth",TRANSPOSE({4,5}),))))))))))))))),"")</f>
        <v>0</v>
      </c>
    </row>
    <row r="30" spans="2:20">
      <c r="C30" s="113"/>
      <c r="D30" s="116" t="str">
        <v/>
      </c>
      <c r="E30" s="116">
        <v>0</v>
      </c>
      <c r="F30" s="116" t="str">
        <v/>
      </c>
      <c r="G30" s="116">
        <v>0</v>
      </c>
    </row>
    <row r="31" spans="2:20">
      <c r="C31" s="113"/>
      <c r="D31" s="116">
        <f>IF($G$9&lt;&gt;$G$10,IF($G$9="Monday",6,IF($G$9="Tuesday",5,IF($G$9="Wednesday",4,IF($G$9="Thursday",3,IF($G$9="Friday",2,IF($G$9="Saturday",1,IF($G$9="Sunday",0,0))))))),"")</f>
        <v>0</v>
      </c>
      <c r="E31" s="116"/>
      <c r="F31" s="116"/>
      <c r="G31" s="116">
        <f>IF($G$9&lt;&gt;$G$10,IF($G$10="Monday",6,IF($G$10="Tuesday",5,IF($G$10="Wednesday",4,IF($G$10="Thursday",3,IF($G$10="Friday",2,IF($G$10="Saturday",1,IF($G$10="Sunday",0,0))))))),"")</f>
        <v>1</v>
      </c>
    </row>
    <row r="32" spans="2:20">
      <c r="C32" s="118"/>
      <c r="D32" s="118"/>
      <c r="E32" s="118"/>
      <c r="F32" s="118"/>
      <c r="G32" s="118"/>
    </row>
    <row r="33" spans="3:7">
      <c r="C33" s="118"/>
      <c r="D33" s="118"/>
      <c r="E33" s="118"/>
      <c r="F33" s="118"/>
      <c r="G33" s="118"/>
    </row>
  </sheetData>
  <sheetProtection password="FD3F" sheet="1" objects="1"/>
  <sortState ref="P5:R22">
    <sortCondition ref="P5:P22"/>
  </sortState>
  <mergeCells count="44">
    <mergeCell ref="B1:N1"/>
    <mergeCell ref="O1:S1"/>
    <mergeCell ref="D3:E3"/>
    <mergeCell ref="F3:H3"/>
    <mergeCell ref="K3:M3"/>
    <mergeCell ref="O3:P3"/>
    <mergeCell ref="Q3:R3"/>
    <mergeCell ref="C5:G5"/>
    <mergeCell ref="R5:S5"/>
    <mergeCell ref="C6:E6"/>
    <mergeCell ref="R6:S6"/>
    <mergeCell ref="E7:F7"/>
    <mergeCell ref="R7:S7"/>
    <mergeCell ref="E8:F8"/>
    <mergeCell ref="R8:S8"/>
    <mergeCell ref="C9:D9"/>
    <mergeCell ref="E9:F9"/>
    <mergeCell ref="R9:S9"/>
    <mergeCell ref="C10:D10"/>
    <mergeCell ref="E10:F10"/>
    <mergeCell ref="R10:S10"/>
    <mergeCell ref="C11:G11"/>
    <mergeCell ref="R11:S11"/>
    <mergeCell ref="R12:S12"/>
    <mergeCell ref="R13:S13"/>
    <mergeCell ref="R14:S14"/>
    <mergeCell ref="R15:S15"/>
    <mergeCell ref="R16:S16"/>
    <mergeCell ref="B27:S27"/>
    <mergeCell ref="B5:B25"/>
    <mergeCell ref="I5:I25"/>
    <mergeCell ref="O5:O25"/>
    <mergeCell ref="R22:S22"/>
    <mergeCell ref="R23:S23"/>
    <mergeCell ref="R24:S24"/>
    <mergeCell ref="R25:S25"/>
    <mergeCell ref="B26:G26"/>
    <mergeCell ref="I26:M26"/>
    <mergeCell ref="O26:S26"/>
    <mergeCell ref="R17:S17"/>
    <mergeCell ref="R18:S18"/>
    <mergeCell ref="R19:S19"/>
    <mergeCell ref="R20:S20"/>
    <mergeCell ref="R21:S21"/>
  </mergeCells>
  <conditionalFormatting sqref="P6">
    <cfRule type="expression" dxfId="148" priority="9" stopIfTrue="1">
      <formula>AND($P6&lt;=TODAY(),$P6&lt;&gt;"",$R6&lt;&gt;"")</formula>
    </cfRule>
    <cfRule type="expression" dxfId="147" priority="8" stopIfTrue="1">
      <formula>AND($P6&gt;=TODAY(),MONTH(NOW())=MONTH($P6),YEAR(NOW())=YEAR($P6),$R6&lt;&gt;"")</formula>
    </cfRule>
    <cfRule type="expression" dxfId="146" priority="7" stopIfTrue="1">
      <formula>NOT(ISNA(MATCH($P6,ldate,0)))</formula>
    </cfRule>
  </conditionalFormatting>
  <conditionalFormatting sqref="P7">
    <cfRule type="expression" dxfId="145" priority="6" stopIfTrue="1">
      <formula>AND($P7&lt;=TODAY(),$P7&lt;&gt;"",$R7&lt;&gt;"")</formula>
    </cfRule>
    <cfRule type="expression" dxfId="144" priority="5" stopIfTrue="1">
      <formula>AND($P7&gt;=TODAY(),MONTH(NOW())=MONTH($P7),YEAR(NOW())=YEAR($P7),$R7&lt;&gt;"")</formula>
    </cfRule>
    <cfRule type="expression" dxfId="143" priority="4" stopIfTrue="1">
      <formula>NOT(ISNA(MATCH($P7,ldate,0)))</formula>
    </cfRule>
  </conditionalFormatting>
  <conditionalFormatting sqref="P8:P18">
    <cfRule type="expression" dxfId="142" priority="15" stopIfTrue="1">
      <formula>AND($P8&lt;=TODAY(),$P8&lt;&gt;"",$R8&lt;&gt;"")</formula>
    </cfRule>
    <cfRule type="expression" dxfId="141" priority="14" stopIfTrue="1">
      <formula>AND($P8&gt;=TODAY(),MONTH(NOW())=MONTH($P8),YEAR(NOW())=YEAR($P8),$R8&lt;&gt;"")</formula>
    </cfRule>
    <cfRule type="expression" dxfId="140" priority="13" stopIfTrue="1">
      <formula>NOT(ISNA(MATCH($P8,ldate,0)))</formula>
    </cfRule>
  </conditionalFormatting>
  <conditionalFormatting sqref="R6:R7">
    <cfRule type="expression" dxfId="139" priority="3" stopIfTrue="1">
      <formula>AND($P6&lt;=TODAY(),$P6&lt;&gt;"",$R6&lt;&gt;"")</formula>
    </cfRule>
    <cfRule type="expression" dxfId="138" priority="2" stopIfTrue="1">
      <formula>AND($P6&gt;=TODAY(),MONTH(NOW())=MONTH($P6),YEAR(NOW())=YEAR($P6),$R6&lt;&gt;"")</formula>
    </cfRule>
    <cfRule type="expression" dxfId="137" priority="1" stopIfTrue="1">
      <formula>NOT(ISNA(MATCH($P6,ldate,0)))</formula>
    </cfRule>
  </conditionalFormatting>
  <conditionalFormatting sqref="R8:R18">
    <cfRule type="expression" dxfId="136" priority="12" stopIfTrue="1">
      <formula>AND($P8&lt;=TODAY(),$P8&lt;&gt;"",$R8&lt;&gt;"")</formula>
    </cfRule>
    <cfRule type="expression" dxfId="135" priority="11" stopIfTrue="1">
      <formula>AND($P8&gt;=TODAY(),MONTH(NOW())=MONTH($P8),YEAR(NOW())=YEAR($P8),$R8&lt;&gt;"")</formula>
    </cfRule>
    <cfRule type="expression" dxfId="134" priority="10" stopIfTrue="1">
      <formula>NOT(ISNA(MATCH($P8,ldate,0)))</formula>
    </cfRule>
  </conditionalFormatting>
  <conditionalFormatting sqref="J6:M24">
    <cfRule type="expression" dxfId="133" priority="23" stopIfTrue="1">
      <formula>AND($K6&lt;&gt;"",OR(OR(AND(WOFF1_DAYNAME&lt;&gt;WOFF2_DAYNAME,OR($K6=(DATE(YEAR($K6),MONTH($K6),1+7*WOFF1_CONFIG_NO1)-WEEKDAY(DATE(YEAR($K6),MONTH($K6),8-WOFF1_DAYNO))),$K6=(DATE(YEAR($K6),MONTH($K6),1+7*WOFF1_CONFIG_NO2)-WEEKDAY(DATE(YEAR($K6),MONTH($K6),8-WOFF1_DAYNO))))),AND(WOFF1_DAYNAME&lt;&gt;WOFF2_DAYNAME,OR($K6=(DATE(YEAR($K6),MONTH($K6),1+7*WOFF2_CONFIG_NO1)-WEEKDAY(DATE(YEAR($K6),MONTH($K6),8-WOFF2_DAYNO))),$K6=(DATE(YEAR($K6),MONTH($K6),1+7*WOFF2_CONFIG_NO2)-WEEKDAY(DATE(YEAR($K6),MONTH($K6),8-WOFF2_DAYNO)))))),OR(AND(WOFF1_DAYNAME&lt;&gt;WOFF2_DAYNAME,WOFF1_SELECT="All",WEEKDAY($K6)=WOFF1_DAYNO),AND(WOFF1_DAYNAME&lt;&gt;WOFF2_DAYNAME,WOFF2_SELECT="All",WEEKDAY($K6)=WOFF2_DAYNO)),OR(AND(WOFF1_DAYNAME&lt;&gt;WOFF2_DAYNAME,WOFF1_SELECT="Last",$K6=EOMONTH($K6,0)-WEEKDAY(EOMONTH($K6,0)+WOFF1_LASTDAYNO)+1),AND(WOFF1_DAYNAME&lt;&gt;WOFF2_DAYNAME,WOFF2_SELECT="Last",$K6=EOMONTH($K6,0)-WEEKDAY(EOMONTH($K6,0)+WOFF2_LASTDAYNO)+1)),NOT(ISNA(MATCH($K6,hdate,0)))))</formula>
    </cfRule>
    <cfRule type="expression" dxfId="132" priority="24" stopIfTrue="1">
      <formula>AND(MONTH(NOW())=MONTH($K6),YEAR(NOW())=YEAR($K6),$L6&lt;&gt;"")</formula>
    </cfRule>
  </conditionalFormatting>
  <conditionalFormatting sqref="Q6:Q18 P19:R24">
    <cfRule type="expression" dxfId="131" priority="19" stopIfTrue="1">
      <formula>NOT(ISNA(MATCH($P6,ldate,0)))</formula>
    </cfRule>
    <cfRule type="expression" dxfId="130" priority="20" stopIfTrue="1">
      <formula>AND($P6&gt;=TODAY(),MONTH(NOW())=MONTH($P6),YEAR(NOW())=YEAR($P6),$R6&lt;&gt;"")</formula>
    </cfRule>
    <cfRule type="expression" dxfId="129" priority="21" stopIfTrue="1">
      <formula>AND($P6&lt;=TODAY(),$P6&lt;&gt;"",$R6&lt;&gt;"")</formula>
    </cfRule>
  </conditionalFormatting>
  <conditionalFormatting sqref="J25 I26 E8:G8">
    <cfRule type="expression" dxfId="128" priority="25" stopIfTrue="1">
      <formula>TotalLeave&gt;=Yearly_Leaves</formula>
    </cfRule>
  </conditionalFormatting>
  <conditionalFormatting sqref="C9:D10 G9:G10">
    <cfRule type="expression" dxfId="127" priority="26" stopIfTrue="1">
      <formula>$G$9=$G$10</formula>
    </cfRule>
  </conditionalFormatting>
  <conditionalFormatting sqref="C13:G24">
    <cfRule type="expression" dxfId="126" priority="22" stopIfTrue="1">
      <formula>AND(MONTH(NOW())=MONTH($C13),YEAR(NOW())=YEAR($C13))</formula>
    </cfRule>
  </conditionalFormatting>
  <dataValidations count="9">
    <dataValidation type="date" operator="lessThanOrEqual" allowBlank="1" showInputMessage="1" showErrorMessage="1" errorTitle="Invalid Date" error="Invalid Date Inserted!_x000a__x000a_Joining Date must be Less than or Equal to current date." sqref="D3:E3">
      <formula1>TODAY()</formula1>
    </dataValidation>
    <dataValidation type="time" allowBlank="1" showInputMessage="1" showErrorMessage="1" errorTitle="Invalid Time" error="Invalid Time is Inserted!_x000a__x000a_Expected Hours must be Between 3:00 hours and 23:59 hours." sqref="D7">
      <formula1>0.125</formula1>
      <formula2>0.999988425925926</formula2>
    </dataValidation>
    <dataValidation type="list" showInputMessage="1" showErrorMessage="1" errorTitle="Invalid selection" error="Invalid selection_x000a__x000a_You must select value from List box." sqref="G7">
      <formula1>"Monday,Tuesday,Wednesday,Thursday,Friday,Saturday,Sunday"</formula1>
    </dataValidation>
    <dataValidation type="time" allowBlank="1" showInputMessage="1" showErrorMessage="1" errorTitle="Invalid Time" error="Invalid Time is Inserted!_x000a__x000a_Expected Hours must be Between 3:00 Hours and Full Day Time." sqref="D8">
      <formula1>0.125</formula1>
      <formula2>Full_Day_Time</formula2>
    </dataValidation>
    <dataValidation type="custom" allowBlank="1" showInputMessage="1" showErrorMessage="1" errorTitle="Insufficient Number" error="Insufficient Number Inserted!_x000a__x000a_Total Yearly Leaves must be between 0 and 19. Its format must be 0.5 as decimal value." sqref="G8">
      <formula1>AND(Yearly_Leaves&gt;=0,Yearly_Leaves&lt;=19,OR(MOD(Yearly_Leaves,1)=0.5,MOD(Yearly_Leaves,1)=0))</formula1>
    </dataValidation>
    <dataValidation type="list" allowBlank="1" showInputMessage="1" showErrorMessage="1" sqref="E9:F9 E10">
      <formula1>"All,None,Last,First,Second,Third,Fourth,Fifth,First &amp; Second,First &amp; Third,First &amp; Fourth,First &amp; Fifth,Second &amp; Third,Second &amp; Fourth,Second &amp; Fifth,Third &amp; Fourth,Third &amp; Fifth,Fourth &amp; Fifth"</formula1>
    </dataValidation>
    <dataValidation type="list" allowBlank="1" showInputMessage="1" showErrorMessage="1" errorTitle="Invalid selection" error="Invalid selection_x000a__x000a_You must select value from List box." sqref="G9:G10">
      <formula1>"Monday,Tuesday,Wednesday,Thursday,Friday,Saturday,Sunday"</formula1>
    </dataValidation>
    <dataValidation type="custom" allowBlank="1" showInputMessage="1" showErrorMessage="1" errorTitle="Invalid Date" error="Invalid Date Inserted!_x000a__x000a_You cannot take leave on Holiday." sqref="K6:K24">
      <formula1>ISNA(MATCH($K6,hdate,0))</formula1>
    </dataValidation>
    <dataValidation type="list" allowBlank="1" showInputMessage="1" showErrorMessage="1" sqref="L6:L24">
      <formula1>"Paid Leave,Half Leave,Sick leave, Other"</formula1>
    </dataValidation>
  </dataValidations>
  <hyperlinks>
    <hyperlink ref="O1:R1" r:id="rId1" display="Developed by Nikunj Kathiriya"/>
  </hyperlinks>
  <pageMargins left="0.69930555555555596" right="0.69930555555555596" top="0.75" bottom="0.75" header="0.3" footer="0.3"/>
  <pageSetup orientation="portrait" horizontalDpi="3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9525</xdr:colOff>
                    <xdr:row>5</xdr:row>
                    <xdr:rowOff>9525</xdr:rowOff>
                  </from>
                  <to>
                    <xdr:col>6</xdr:col>
                    <xdr:colOff>742950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11" activePane="bottomLeft" state="frozen"/>
      <selection pane="bottomLeft" activeCell="I17" sqref="I17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44927</v>
      </c>
      <c r="X1" s="240">
        <f>$X$11</f>
        <v>44927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44928</v>
      </c>
      <c r="AD1" s="67"/>
    </row>
    <row r="2" spans="1:31" ht="15" customHeight="1">
      <c r="A2" s="11">
        <f>IF($X$11="","",DATE(YEAR($X$11),MONTH($X$11),1))</f>
        <v>44927</v>
      </c>
      <c r="B2" s="12">
        <f>IF($A2="","",WEEKDAY(A2))</f>
        <v>1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Sunday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44928</v>
      </c>
      <c r="B3" s="16">
        <f>IF($A3="","",WEEKDAY(A3))</f>
        <v>2</v>
      </c>
      <c r="C3" s="17">
        <v>0.41666666666666669</v>
      </c>
      <c r="D3" s="18">
        <v>0.50694444444444442</v>
      </c>
      <c r="E3" s="17">
        <v>0.5395833333333333</v>
      </c>
      <c r="F3" s="18">
        <v>0.80555555555555547</v>
      </c>
      <c r="G3" s="17"/>
      <c r="H3" s="18"/>
      <c r="I3" s="17"/>
      <c r="J3" s="18"/>
      <c r="K3" s="17"/>
      <c r="L3" s="18"/>
      <c r="M3" s="17"/>
      <c r="N3" s="18"/>
      <c r="O3" s="29">
        <f>IF(ISBLANK($E3),"",IF(ISBLANK($G3),SUM($E3-$D3),IF(ISBLANK($I3),SUM(($E3-$D3),($G3-$F3)),IF(ISBLANK($K3),SUM(($E3-$D3),($G3-$F3),($I3-$H3)),IF(ISBLANK($M3),SUM(($E3-$D3),($G3-$F3),($I3-$H3),($K3-$J3)),SUM(($E3-$D3),($G3-$F3),($I3-$H3),($K3-$J3),($M3-$L3)))))))</f>
        <v>3.2638888888888884E-2</v>
      </c>
      <c r="P3" s="30">
        <f t="shared" ref="P3:P33" si="4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0.3562499999999999</v>
      </c>
      <c r="Q3" s="43">
        <f t="shared" ref="Q3:Q33" si="5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0.38888888888888878</v>
      </c>
      <c r="R3" s="44">
        <f t="shared" si="0"/>
        <v>0.35416666666666702</v>
      </c>
      <c r="S3" s="45">
        <f t="shared" ref="S3:S33" si="6">IF(AND($C3&lt;&gt;"",$O3=""),($C3+$R3),IF($C3&lt;&gt;"",($C3+($R3+$O3)),""))</f>
        <v>0.80347222222222259</v>
      </c>
      <c r="T3" s="43" t="str">
        <f t="shared" ref="T3:T33" si="7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+ 0:03</v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 t="str">
        <v/>
      </c>
      <c r="AC3" s="69">
        <v>44927</v>
      </c>
      <c r="AD3" s="67"/>
    </row>
    <row r="4" spans="1:31" ht="15" customHeight="1">
      <c r="A4" s="15">
        <f t="shared" si="3"/>
        <v>44929</v>
      </c>
      <c r="B4" s="16">
        <f t="shared" ref="B4:B33" si="8">IF($A4="","",WEEKDAY(A4))</f>
        <v>3</v>
      </c>
      <c r="C4" s="17">
        <v>0.41805555555555557</v>
      </c>
      <c r="D4" s="18">
        <v>0.55555555555555558</v>
      </c>
      <c r="E4" s="17">
        <v>0.58333333333333337</v>
      </c>
      <c r="F4" s="18">
        <v>0.7895833333333333</v>
      </c>
      <c r="G4" s="17">
        <v>0.86875000000000002</v>
      </c>
      <c r="H4" s="18">
        <v>0.96597222222222223</v>
      </c>
      <c r="I4" s="17"/>
      <c r="J4" s="18"/>
      <c r="K4" s="17"/>
      <c r="L4" s="18"/>
      <c r="M4" s="17"/>
      <c r="N4" s="18"/>
      <c r="O4" s="29">
        <f>IF(ISBLANK($E4),"",IF(ISBLANK($G4),SUM($E4-$D4),IF(ISBLANK($I4),SUM(($E4-$D4),($G4-$F4)),IF(ISBLANK($K4),SUM(($E4-$D4),($G4-$F4),($I4-$H4)),IF(ISBLANK($M4),SUM(($E4-$D4),($G4-$F4),($I4-$H4),($K4-$J4)),SUM(($E4-$D4),($G4-$F4),($I4-$H4),($K4-$J4),($M4-$L4)))))))</f>
        <v>0.10694444444444451</v>
      </c>
      <c r="P4" s="30">
        <f t="shared" si="4"/>
        <v>0.44097222222222215</v>
      </c>
      <c r="Q4" s="43">
        <f t="shared" si="5"/>
        <v>0.54791666666666661</v>
      </c>
      <c r="R4" s="44">
        <f t="shared" si="0"/>
        <v>0.35416666666666702</v>
      </c>
      <c r="S4" s="45">
        <f t="shared" si="6"/>
        <v>0.8791666666666671</v>
      </c>
      <c r="T4" s="43" t="str">
        <f t="shared" si="7"/>
        <v>+ 2:05</v>
      </c>
      <c r="U4" s="46" t="str">
        <f t="shared" si="1"/>
        <v/>
      </c>
      <c r="V4" s="41" t="str">
        <f t="shared" si="2"/>
        <v xml:space="preserve">  </v>
      </c>
      <c r="W4" s="49">
        <v>44928</v>
      </c>
      <c r="X4" s="50">
        <v>44929</v>
      </c>
      <c r="Y4" s="50">
        <v>44930</v>
      </c>
      <c r="Z4" s="50">
        <v>44931</v>
      </c>
      <c r="AA4" s="50">
        <v>44932</v>
      </c>
      <c r="AB4" s="50">
        <v>44933</v>
      </c>
      <c r="AC4" s="70">
        <v>44934</v>
      </c>
      <c r="AD4" s="67"/>
    </row>
    <row r="5" spans="1:31" ht="15" customHeight="1">
      <c r="A5" s="15">
        <f t="shared" si="3"/>
        <v>44930</v>
      </c>
      <c r="B5" s="16">
        <f t="shared" si="8"/>
        <v>4</v>
      </c>
      <c r="C5" s="17">
        <v>0.42777777777777781</v>
      </c>
      <c r="D5" s="18">
        <v>0.55694444444444446</v>
      </c>
      <c r="E5" s="17">
        <v>0.58333333333333337</v>
      </c>
      <c r="F5" s="18">
        <v>0.79861111111111116</v>
      </c>
      <c r="G5" s="17"/>
      <c r="H5" s="18"/>
      <c r="I5" s="17"/>
      <c r="J5" s="18"/>
      <c r="K5" s="17"/>
      <c r="L5" s="18"/>
      <c r="M5" s="17"/>
      <c r="N5" s="18"/>
      <c r="O5" s="29">
        <f t="shared" ref="O5:O33" si="9">IF(ISBLANK($E5),"",IF(ISBLANK($G5),SUM($E5-$D5),IF(ISBLANK($I5),SUM(($E5-$D5),($G5-$F5)),IF(ISBLANK($K5),SUM(($E5-$D5),($G5-$F5),($I5-$H5)),IF(ISBLANK($M5),SUM(($E5-$D5),($G5-$F5),($I5-$H5),($K5-$J5)),SUM(($E5-$D5),($G5-$F5),($I5-$H5),($K5-$J5),($M5-$L5)))))))</f>
        <v>2.6388888888888906E-2</v>
      </c>
      <c r="P5" s="30">
        <f t="shared" si="4"/>
        <v>0.34444444444444444</v>
      </c>
      <c r="Q5" s="43">
        <f t="shared" si="5"/>
        <v>0.37083333333333335</v>
      </c>
      <c r="R5" s="44">
        <f t="shared" si="0"/>
        <v>0.35416666666666702</v>
      </c>
      <c r="S5" s="45">
        <f t="shared" si="6"/>
        <v>0.80833333333333379</v>
      </c>
      <c r="T5" s="43" t="str">
        <f t="shared" si="7"/>
        <v>- 0:14</v>
      </c>
      <c r="U5" s="46" t="str">
        <f t="shared" si="1"/>
        <v/>
      </c>
      <c r="V5" s="41" t="str">
        <f t="shared" si="2"/>
        <v xml:space="preserve">  </v>
      </c>
      <c r="W5" s="49">
        <v>44935</v>
      </c>
      <c r="X5" s="50">
        <v>44936</v>
      </c>
      <c r="Y5" s="50">
        <v>44937</v>
      </c>
      <c r="Z5" s="50">
        <v>44938</v>
      </c>
      <c r="AA5" s="50">
        <v>44939</v>
      </c>
      <c r="AB5" s="50">
        <v>44940</v>
      </c>
      <c r="AC5" s="70">
        <v>44941</v>
      </c>
      <c r="AD5" s="67"/>
    </row>
    <row r="6" spans="1:31" ht="15" customHeight="1">
      <c r="A6" s="15">
        <f t="shared" si="3"/>
        <v>44931</v>
      </c>
      <c r="B6" s="16">
        <f t="shared" si="8"/>
        <v>5</v>
      </c>
      <c r="C6" s="17">
        <v>0.4368055555555555</v>
      </c>
      <c r="D6" s="18">
        <v>0.55555555555555558</v>
      </c>
      <c r="E6" s="17">
        <v>0.57638888888888895</v>
      </c>
      <c r="F6" s="18">
        <v>0.79166666666666663</v>
      </c>
      <c r="G6" s="17"/>
      <c r="H6" s="18"/>
      <c r="I6" s="17"/>
      <c r="J6" s="18"/>
      <c r="K6" s="17"/>
      <c r="L6" s="18"/>
      <c r="M6" s="17"/>
      <c r="N6" s="18"/>
      <c r="O6" s="29">
        <f t="shared" si="9"/>
        <v>2.083333333333337E-2</v>
      </c>
      <c r="P6" s="30">
        <f t="shared" si="4"/>
        <v>0.33402777777777776</v>
      </c>
      <c r="Q6" s="43">
        <f t="shared" si="5"/>
        <v>0.35486111111111113</v>
      </c>
      <c r="R6" s="44">
        <f t="shared" si="0"/>
        <v>0.35416666666666702</v>
      </c>
      <c r="S6" s="45">
        <f t="shared" si="6"/>
        <v>0.81180555555555589</v>
      </c>
      <c r="T6" s="43" t="str">
        <f t="shared" si="7"/>
        <v>- 0:29</v>
      </c>
      <c r="U6" s="46" t="str">
        <f t="shared" si="1"/>
        <v/>
      </c>
      <c r="V6" s="41" t="str">
        <f t="shared" si="2"/>
        <v xml:space="preserve">  </v>
      </c>
      <c r="W6" s="49">
        <v>44942</v>
      </c>
      <c r="X6" s="50">
        <v>44943</v>
      </c>
      <c r="Y6" s="50">
        <v>44944</v>
      </c>
      <c r="Z6" s="50">
        <v>44945</v>
      </c>
      <c r="AA6" s="50">
        <v>44946</v>
      </c>
      <c r="AB6" s="50">
        <v>44947</v>
      </c>
      <c r="AC6" s="70">
        <v>44948</v>
      </c>
      <c r="AD6" s="67"/>
    </row>
    <row r="7" spans="1:31" ht="15" customHeight="1">
      <c r="A7" s="15">
        <f t="shared" si="3"/>
        <v>44932</v>
      </c>
      <c r="B7" s="16">
        <f t="shared" si="8"/>
        <v>6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9"/>
        <v/>
      </c>
      <c r="P7" s="30" t="str">
        <f t="shared" si="4"/>
        <v/>
      </c>
      <c r="Q7" s="43" t="str">
        <f t="shared" si="5"/>
        <v/>
      </c>
      <c r="R7" s="44" t="str">
        <f t="shared" si="0"/>
        <v/>
      </c>
      <c r="S7" s="45" t="str">
        <f t="shared" si="6"/>
        <v/>
      </c>
      <c r="T7" s="43" t="str">
        <f t="shared" si="7"/>
        <v/>
      </c>
      <c r="U7" s="46" t="str">
        <f t="shared" si="1"/>
        <v/>
      </c>
      <c r="V7" s="41" t="str">
        <f t="shared" si="2"/>
        <v xml:space="preserve">  </v>
      </c>
      <c r="W7" s="49">
        <v>44949</v>
      </c>
      <c r="X7" s="50">
        <v>44950</v>
      </c>
      <c r="Y7" s="50">
        <v>44951</v>
      </c>
      <c r="Z7" s="50">
        <v>44952</v>
      </c>
      <c r="AA7" s="50">
        <v>44953</v>
      </c>
      <c r="AB7" s="50">
        <v>44954</v>
      </c>
      <c r="AC7" s="70">
        <v>44955</v>
      </c>
      <c r="AD7" s="67"/>
    </row>
    <row r="8" spans="1:31" ht="15" customHeight="1">
      <c r="A8" s="15">
        <f t="shared" si="3"/>
        <v>44933</v>
      </c>
      <c r="B8" s="16">
        <f t="shared" si="8"/>
        <v>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9"/>
        <v/>
      </c>
      <c r="P8" s="30" t="str">
        <f t="shared" si="4"/>
        <v/>
      </c>
      <c r="Q8" s="43" t="str">
        <f t="shared" si="5"/>
        <v/>
      </c>
      <c r="R8" s="44" t="str">
        <f t="shared" si="0"/>
        <v/>
      </c>
      <c r="S8" s="45" t="str">
        <f t="shared" si="6"/>
        <v/>
      </c>
      <c r="T8" s="43" t="str">
        <f t="shared" si="7"/>
        <v/>
      </c>
      <c r="U8" s="46" t="str">
        <f t="shared" si="1"/>
        <v/>
      </c>
      <c r="V8" s="41" t="str">
        <f t="shared" si="2"/>
        <v xml:space="preserve">Saturday  </v>
      </c>
      <c r="W8" s="51">
        <v>44956</v>
      </c>
      <c r="X8" s="52">
        <v>44957</v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44934</v>
      </c>
      <c r="B9" s="16">
        <f t="shared" si="8"/>
        <v>1</v>
      </c>
      <c r="C9" s="17">
        <v>0.41875000000000001</v>
      </c>
      <c r="D9" s="18">
        <v>0.55902777777777779</v>
      </c>
      <c r="E9" s="17">
        <v>0.58680555555555558</v>
      </c>
      <c r="F9" s="18">
        <v>0.79513888888888884</v>
      </c>
      <c r="G9" s="17"/>
      <c r="H9" s="18"/>
      <c r="I9" s="17"/>
      <c r="J9" s="18"/>
      <c r="K9" s="17"/>
      <c r="L9" s="18"/>
      <c r="M9" s="17"/>
      <c r="N9" s="18"/>
      <c r="O9" s="29">
        <f t="shared" si="9"/>
        <v>2.777777777777779E-2</v>
      </c>
      <c r="P9" s="30">
        <f t="shared" si="4"/>
        <v>0.34861111111111104</v>
      </c>
      <c r="Q9" s="43">
        <f t="shared" si="5"/>
        <v>0.37638888888888883</v>
      </c>
      <c r="R9" s="44">
        <f t="shared" si="0"/>
        <v>0.35416666666666702</v>
      </c>
      <c r="S9" s="45">
        <f t="shared" si="6"/>
        <v>0.80069444444444482</v>
      </c>
      <c r="T9" s="43" t="str">
        <f t="shared" si="7"/>
        <v>- 0:08</v>
      </c>
      <c r="U9" s="46" t="str">
        <f t="shared" si="1"/>
        <v/>
      </c>
      <c r="V9" s="41" t="str">
        <f t="shared" si="2"/>
        <v xml:space="preserve">Sunday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You can change month from the below List box.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44935</v>
      </c>
      <c r="B10" s="16">
        <f t="shared" si="8"/>
        <v>2</v>
      </c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9"/>
        <v/>
      </c>
      <c r="P10" s="30" t="str">
        <f t="shared" si="4"/>
        <v/>
      </c>
      <c r="Q10" s="43" t="str">
        <f t="shared" si="5"/>
        <v/>
      </c>
      <c r="R10" s="44" t="str">
        <f t="shared" si="0"/>
        <v/>
      </c>
      <c r="S10" s="45" t="str">
        <f t="shared" si="6"/>
        <v/>
      </c>
      <c r="T10" s="43" t="str">
        <f t="shared" si="7"/>
        <v/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44936</v>
      </c>
      <c r="B11" s="16">
        <f t="shared" si="8"/>
        <v>3</v>
      </c>
      <c r="C11" s="17">
        <v>0.4236111111111111</v>
      </c>
      <c r="D11" s="18">
        <v>0.55555555555555558</v>
      </c>
      <c r="E11" s="17">
        <v>0.58472222222222225</v>
      </c>
      <c r="F11" s="18">
        <v>0.82013888888888886</v>
      </c>
      <c r="G11" s="17"/>
      <c r="H11" s="18"/>
      <c r="I11" s="17"/>
      <c r="J11" s="18"/>
      <c r="K11" s="17"/>
      <c r="L11" s="18"/>
      <c r="M11" s="17"/>
      <c r="N11" s="18"/>
      <c r="O11" s="29">
        <f t="shared" si="9"/>
        <v>2.9166666666666674E-2</v>
      </c>
      <c r="P11" s="30">
        <f t="shared" si="4"/>
        <v>0.36736111111111108</v>
      </c>
      <c r="Q11" s="43">
        <f t="shared" si="5"/>
        <v>0.39652777777777776</v>
      </c>
      <c r="R11" s="44">
        <f t="shared" si="0"/>
        <v>0.35416666666666702</v>
      </c>
      <c r="S11" s="45">
        <f t="shared" si="6"/>
        <v>0.8069444444444448</v>
      </c>
      <c r="T11" s="43" t="str">
        <f t="shared" si="7"/>
        <v>+ 0:19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44927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44937</v>
      </c>
      <c r="B12" s="16">
        <f t="shared" si="8"/>
        <v>4</v>
      </c>
      <c r="C12" s="17">
        <v>0.42777777777777781</v>
      </c>
      <c r="D12" s="18">
        <v>0.5541666666666667</v>
      </c>
      <c r="E12" s="17">
        <v>0.58333333333333337</v>
      </c>
      <c r="F12" s="18">
        <v>0.8125</v>
      </c>
      <c r="G12" s="17"/>
      <c r="H12" s="18"/>
      <c r="I12" s="17"/>
      <c r="J12" s="18"/>
      <c r="K12" s="17"/>
      <c r="L12" s="18"/>
      <c r="M12" s="17"/>
      <c r="N12" s="18"/>
      <c r="O12" s="29">
        <f t="shared" si="9"/>
        <v>2.9166666666666674E-2</v>
      </c>
      <c r="P12" s="30">
        <f t="shared" si="4"/>
        <v>0.35555555555555551</v>
      </c>
      <c r="Q12" s="43">
        <f t="shared" si="5"/>
        <v>0.38472222222222219</v>
      </c>
      <c r="R12" s="44">
        <f t="shared" si="0"/>
        <v>0.35416666666666702</v>
      </c>
      <c r="S12" s="45">
        <f t="shared" si="6"/>
        <v>0.81111111111111156</v>
      </c>
      <c r="T12" s="43" t="str">
        <f t="shared" si="7"/>
        <v>+ 0:02</v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44938</v>
      </c>
      <c r="B13" s="16">
        <f t="shared" si="8"/>
        <v>5</v>
      </c>
      <c r="C13" s="17">
        <v>0.42499999999999999</v>
      </c>
      <c r="D13" s="18">
        <v>0.56319444444444444</v>
      </c>
      <c r="E13" s="17">
        <v>0.58680555555555558</v>
      </c>
      <c r="F13" s="18">
        <v>0.79861111111111116</v>
      </c>
      <c r="G13" s="17"/>
      <c r="H13" s="18"/>
      <c r="I13" s="17"/>
      <c r="J13" s="18"/>
      <c r="K13" s="17"/>
      <c r="L13" s="18"/>
      <c r="M13" s="17"/>
      <c r="N13" s="18"/>
      <c r="O13" s="29">
        <f t="shared" si="9"/>
        <v>2.3611111111111138E-2</v>
      </c>
      <c r="P13" s="30">
        <f t="shared" si="4"/>
        <v>0.35000000000000003</v>
      </c>
      <c r="Q13" s="43">
        <f t="shared" si="5"/>
        <v>0.37361111111111117</v>
      </c>
      <c r="R13" s="44">
        <f t="shared" si="0"/>
        <v>0.35416666666666702</v>
      </c>
      <c r="S13" s="45">
        <f t="shared" si="6"/>
        <v>0.80277777777777815</v>
      </c>
      <c r="T13" s="43" t="str">
        <f t="shared" si="7"/>
        <v>- 0:06</v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3*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44939</v>
      </c>
      <c r="B14" s="16">
        <f t="shared" si="8"/>
        <v>6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9"/>
        <v/>
      </c>
      <c r="P14" s="30" t="str">
        <f t="shared" si="4"/>
        <v/>
      </c>
      <c r="Q14" s="43" t="str">
        <f t="shared" si="5"/>
        <v/>
      </c>
      <c r="R14" s="44" t="str">
        <f t="shared" si="0"/>
        <v/>
      </c>
      <c r="S14" s="45" t="str">
        <f t="shared" si="6"/>
        <v/>
      </c>
      <c r="T14" s="43" t="str">
        <f t="shared" si="7"/>
        <v/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9 weekends off and 2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44940</v>
      </c>
      <c r="B15" s="16">
        <f t="shared" si="8"/>
        <v>7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9"/>
        <v/>
      </c>
      <c r="P15" s="30" t="str">
        <f t="shared" si="4"/>
        <v/>
      </c>
      <c r="Q15" s="43" t="str">
        <f t="shared" si="5"/>
        <v/>
      </c>
      <c r="R15" s="44" t="str">
        <f t="shared" si="0"/>
        <v/>
      </c>
      <c r="S15" s="45" t="str">
        <f t="shared" si="6"/>
        <v/>
      </c>
      <c r="T15" s="43" t="str">
        <f t="shared" si="7"/>
        <v/>
      </c>
      <c r="U15" s="46" t="str">
        <f t="shared" si="1"/>
        <v/>
      </c>
      <c r="V15" s="41" t="str">
        <f t="shared" si="2"/>
        <v xml:space="preserve">Saturday MakarSankranti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1 Leave in Jan-23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44941</v>
      </c>
      <c r="B16" s="16">
        <f t="shared" si="8"/>
        <v>1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9"/>
        <v/>
      </c>
      <c r="P16" s="30" t="str">
        <f t="shared" si="4"/>
        <v/>
      </c>
      <c r="Q16" s="43" t="str">
        <f t="shared" si="5"/>
        <v/>
      </c>
      <c r="R16" s="44" t="str">
        <f t="shared" si="0"/>
        <v/>
      </c>
      <c r="S16" s="45" t="str">
        <f t="shared" si="6"/>
        <v/>
      </c>
      <c r="T16" s="43" t="str">
        <f t="shared" si="7"/>
        <v/>
      </c>
      <c r="U16" s="46" t="str">
        <f t="shared" si="1"/>
        <v/>
      </c>
      <c r="V16" s="41" t="str">
        <f t="shared" si="2"/>
        <v xml:space="preserve">Sunday  </v>
      </c>
      <c r="W16" s="225" t="str">
        <f>"Break Hours "&amp;TEXT(SUM($O2:$O33),"[h]:mm")</f>
        <v>Break Hours 14:49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1</v>
      </c>
      <c r="AE16" s="74" t="s">
        <v>45</v>
      </c>
    </row>
    <row r="17" spans="1:31" ht="15" customHeight="1">
      <c r="A17" s="15">
        <f t="shared" si="3"/>
        <v>44942</v>
      </c>
      <c r="B17" s="16">
        <f t="shared" si="8"/>
        <v>2</v>
      </c>
      <c r="C17" s="17">
        <v>0.41875000000000001</v>
      </c>
      <c r="D17" s="18">
        <v>0.56111111111111112</v>
      </c>
      <c r="E17" s="17">
        <v>0.59513888888888888</v>
      </c>
      <c r="F17" s="18">
        <v>0.75624999999999998</v>
      </c>
      <c r="G17" s="17"/>
      <c r="H17" s="18"/>
      <c r="I17" s="17"/>
      <c r="J17" s="18"/>
      <c r="K17" s="17"/>
      <c r="L17" s="18"/>
      <c r="M17" s="17"/>
      <c r="N17" s="18"/>
      <c r="O17" s="29">
        <f t="shared" si="9"/>
        <v>3.4027777777777768E-2</v>
      </c>
      <c r="P17" s="30">
        <f t="shared" si="4"/>
        <v>0.3034722222222222</v>
      </c>
      <c r="Q17" s="43">
        <f t="shared" si="5"/>
        <v>0.33749999999999997</v>
      </c>
      <c r="R17" s="44">
        <f t="shared" si="0"/>
        <v>0.35416666666666702</v>
      </c>
      <c r="S17" s="45">
        <f t="shared" si="6"/>
        <v>0.8069444444444448</v>
      </c>
      <c r="T17" s="43" t="str">
        <f t="shared" si="7"/>
        <v>- 1:13</v>
      </c>
      <c r="U17" s="46" t="str">
        <f t="shared" si="1"/>
        <v/>
      </c>
      <c r="V17" s="41" t="str">
        <f t="shared" si="2"/>
        <v xml:space="preserve"> Sick leave-Health isssue facing </v>
      </c>
      <c r="W17" s="219" t="str">
        <f>"Actual work Hours "&amp;TEXT(SUM($P2:$P33),"[h]:mm")</f>
        <v>Actual work Hours 143:25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2</v>
      </c>
      <c r="AE17" s="74" t="s">
        <v>46</v>
      </c>
    </row>
    <row r="18" spans="1:31" ht="15" customHeight="1">
      <c r="A18" s="15">
        <f t="shared" si="3"/>
        <v>44943</v>
      </c>
      <c r="B18" s="16">
        <f t="shared" si="8"/>
        <v>3</v>
      </c>
      <c r="C18" s="17">
        <v>0.4291666666666667</v>
      </c>
      <c r="D18" s="18">
        <v>0.55625000000000002</v>
      </c>
      <c r="E18" s="17">
        <v>0.58750000000000002</v>
      </c>
      <c r="F18" s="18">
        <v>0.81944444444444453</v>
      </c>
      <c r="G18" s="17"/>
      <c r="H18" s="18"/>
      <c r="I18" s="17"/>
      <c r="J18" s="18"/>
      <c r="K18" s="17"/>
      <c r="L18" s="18"/>
      <c r="M18" s="17"/>
      <c r="N18" s="18"/>
      <c r="O18" s="29">
        <f t="shared" si="9"/>
        <v>3.125E-2</v>
      </c>
      <c r="P18" s="30">
        <f t="shared" si="4"/>
        <v>0.35902777777777783</v>
      </c>
      <c r="Q18" s="43">
        <f t="shared" si="5"/>
        <v>0.39027777777777783</v>
      </c>
      <c r="R18" s="44">
        <f t="shared" si="0"/>
        <v>0.35416666666666702</v>
      </c>
      <c r="S18" s="45">
        <f t="shared" si="6"/>
        <v>0.81458333333333366</v>
      </c>
      <c r="T18" s="43" t="str">
        <f t="shared" si="7"/>
        <v>+ 0:07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144:30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44944</v>
      </c>
      <c r="B19" s="16">
        <f t="shared" si="8"/>
        <v>4</v>
      </c>
      <c r="C19" s="17">
        <v>0.4236111111111111</v>
      </c>
      <c r="D19" s="18">
        <v>0.55902777777777779</v>
      </c>
      <c r="E19" s="17">
        <v>0.58333333333333337</v>
      </c>
      <c r="F19" s="18">
        <v>0.82152777777777775</v>
      </c>
      <c r="G19" s="17">
        <v>0.83750000000000002</v>
      </c>
      <c r="H19" s="18">
        <v>0.84375</v>
      </c>
      <c r="I19" s="17"/>
      <c r="J19" s="18"/>
      <c r="K19" s="17"/>
      <c r="L19" s="18"/>
      <c r="M19" s="17"/>
      <c r="N19" s="18"/>
      <c r="O19" s="29">
        <f t="shared" si="9"/>
        <v>4.0277777777777857E-2</v>
      </c>
      <c r="P19" s="30">
        <f t="shared" si="4"/>
        <v>0.37986111111111104</v>
      </c>
      <c r="Q19" s="43">
        <f t="shared" si="5"/>
        <v>0.4201388888888889</v>
      </c>
      <c r="R19" s="44">
        <f t="shared" si="0"/>
        <v>0.35416666666666702</v>
      </c>
      <c r="S19" s="45">
        <f t="shared" si="6"/>
        <v>0.81805555555555598</v>
      </c>
      <c r="T19" s="43" t="str">
        <f t="shared" si="7"/>
        <v>+ 0:37</v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8:26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44945</v>
      </c>
      <c r="B20" s="16">
        <f t="shared" si="8"/>
        <v>5</v>
      </c>
      <c r="C20" s="17">
        <v>0.42430555555555555</v>
      </c>
      <c r="D20" s="18">
        <v>0.55902777777777779</v>
      </c>
      <c r="E20" s="17">
        <v>0.58333333333333337</v>
      </c>
      <c r="F20" s="18">
        <v>0.80972222222222223</v>
      </c>
      <c r="G20" s="17"/>
      <c r="H20" s="18"/>
      <c r="I20" s="17"/>
      <c r="J20" s="18"/>
      <c r="K20" s="17"/>
      <c r="L20" s="18"/>
      <c r="M20" s="17"/>
      <c r="N20" s="18"/>
      <c r="O20" s="29">
        <f t="shared" si="9"/>
        <v>2.430555555555558E-2</v>
      </c>
      <c r="P20" s="30">
        <f t="shared" si="4"/>
        <v>0.3611111111111111</v>
      </c>
      <c r="Q20" s="43">
        <f t="shared" si="5"/>
        <v>0.38541666666666669</v>
      </c>
      <c r="R20" s="44">
        <f t="shared" si="0"/>
        <v>0.35416666666666702</v>
      </c>
      <c r="S20" s="45">
        <f t="shared" si="6"/>
        <v>0.80277777777777815</v>
      </c>
      <c r="T20" s="43" t="str">
        <f t="shared" si="7"/>
        <v>+ 0:10</v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44946</v>
      </c>
      <c r="B21" s="16">
        <f t="shared" si="8"/>
        <v>6</v>
      </c>
      <c r="C21" s="17">
        <v>0.41319444444444442</v>
      </c>
      <c r="D21" s="18">
        <v>0.55555555555555558</v>
      </c>
      <c r="E21" s="17">
        <v>0.58333333333333337</v>
      </c>
      <c r="F21" s="18">
        <v>0.79513888888888884</v>
      </c>
      <c r="G21" s="17"/>
      <c r="H21" s="18"/>
      <c r="I21" s="17"/>
      <c r="J21" s="18"/>
      <c r="K21" s="17"/>
      <c r="L21" s="18"/>
      <c r="M21" s="17"/>
      <c r="N21" s="18"/>
      <c r="O21" s="29">
        <f t="shared" si="9"/>
        <v>2.777777777777779E-2</v>
      </c>
      <c r="P21" s="30">
        <f t="shared" si="4"/>
        <v>0.35416666666666663</v>
      </c>
      <c r="Q21" s="43">
        <f t="shared" si="5"/>
        <v>0.38194444444444442</v>
      </c>
      <c r="R21" s="44">
        <f t="shared" si="0"/>
        <v>0.35416666666666702</v>
      </c>
      <c r="S21" s="45">
        <f t="shared" si="6"/>
        <v>0.79513888888888928</v>
      </c>
      <c r="T21" s="43" t="str">
        <f t="shared" si="7"/>
        <v/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1:05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44947</v>
      </c>
      <c r="B22" s="16">
        <f t="shared" si="8"/>
        <v>7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9"/>
        <v/>
      </c>
      <c r="P22" s="30" t="str">
        <f t="shared" si="4"/>
        <v/>
      </c>
      <c r="Q22" s="43" t="str">
        <f t="shared" si="5"/>
        <v/>
      </c>
      <c r="R22" s="44" t="str">
        <f t="shared" si="0"/>
        <v/>
      </c>
      <c r="S22" s="45" t="str">
        <f t="shared" si="6"/>
        <v/>
      </c>
      <c r="T22" s="43" t="str">
        <f t="shared" si="7"/>
        <v/>
      </c>
      <c r="U22" s="46" t="str">
        <f t="shared" si="1"/>
        <v/>
      </c>
      <c r="V22" s="41" t="str">
        <f t="shared" si="2"/>
        <v xml:space="preserve">Saturday  </v>
      </c>
      <c r="W22" s="225" t="str">
        <f>"Total Hours "&amp;TEXT(SUM($Q2:$Q33),"[h]:mm")</f>
        <v>Total Hours 158:14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44948</v>
      </c>
      <c r="B23" s="16">
        <f t="shared" si="8"/>
        <v>1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9"/>
        <v/>
      </c>
      <c r="P23" s="30" t="str">
        <f t="shared" si="4"/>
        <v/>
      </c>
      <c r="Q23" s="43" t="str">
        <f t="shared" si="5"/>
        <v/>
      </c>
      <c r="R23" s="44" t="str">
        <f t="shared" si="0"/>
        <v/>
      </c>
      <c r="S23" s="45" t="str">
        <f t="shared" si="6"/>
        <v/>
      </c>
      <c r="T23" s="43" t="str">
        <f t="shared" si="7"/>
        <v/>
      </c>
      <c r="U23" s="46" t="str">
        <f t="shared" si="1"/>
        <v/>
      </c>
      <c r="V23" s="41" t="str">
        <f t="shared" si="2"/>
        <v xml:space="preserve">Sunday  </v>
      </c>
      <c r="W23" s="228" t="s">
        <v>47</v>
      </c>
      <c r="X23" s="229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44949</v>
      </c>
      <c r="B24" s="16">
        <f t="shared" si="8"/>
        <v>2</v>
      </c>
      <c r="C24" s="17">
        <v>0.42777777777777781</v>
      </c>
      <c r="D24" s="18">
        <v>0.55277777777777781</v>
      </c>
      <c r="E24" s="17">
        <v>0.5805555555555556</v>
      </c>
      <c r="F24" s="18">
        <v>0.81666666666666676</v>
      </c>
      <c r="G24" s="17"/>
      <c r="H24" s="18"/>
      <c r="I24" s="17"/>
      <c r="J24" s="18"/>
      <c r="K24" s="17"/>
      <c r="L24" s="18"/>
      <c r="M24" s="17"/>
      <c r="N24" s="18"/>
      <c r="O24" s="29">
        <f t="shared" si="9"/>
        <v>2.777777777777779E-2</v>
      </c>
      <c r="P24" s="30">
        <f t="shared" si="4"/>
        <v>0.36111111111111116</v>
      </c>
      <c r="Q24" s="43">
        <f t="shared" si="5"/>
        <v>0.38888888888888895</v>
      </c>
      <c r="R24" s="44">
        <f t="shared" si="0"/>
        <v>0.35416666666666702</v>
      </c>
      <c r="S24" s="45">
        <f t="shared" si="6"/>
        <v>0.80972222222222268</v>
      </c>
      <c r="T24" s="43" t="str">
        <f t="shared" si="7"/>
        <v>+ 0:10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44950</v>
      </c>
      <c r="B25" s="16">
        <f t="shared" si="8"/>
        <v>3</v>
      </c>
      <c r="C25" s="17">
        <v>0.42638888888888887</v>
      </c>
      <c r="D25" s="18">
        <v>0.46180555555555558</v>
      </c>
      <c r="E25" s="17">
        <v>0.53819444444444442</v>
      </c>
      <c r="F25" s="18">
        <v>0.81597222222222221</v>
      </c>
      <c r="G25" s="17"/>
      <c r="H25" s="18"/>
      <c r="I25" s="17"/>
      <c r="J25" s="18"/>
      <c r="K25" s="17"/>
      <c r="L25" s="18"/>
      <c r="M25" s="17"/>
      <c r="N25" s="18"/>
      <c r="O25" s="29">
        <f t="shared" si="9"/>
        <v>7.638888888888884E-2</v>
      </c>
      <c r="P25" s="30">
        <f t="shared" si="4"/>
        <v>0.3131944444444445</v>
      </c>
      <c r="Q25" s="43">
        <f t="shared" si="5"/>
        <v>0.38958333333333334</v>
      </c>
      <c r="R25" s="44">
        <f t="shared" si="0"/>
        <v>0.35416666666666702</v>
      </c>
      <c r="S25" s="45">
        <f t="shared" si="6"/>
        <v>0.85694444444444473</v>
      </c>
      <c r="T25" s="43" t="str">
        <f t="shared" si="7"/>
        <v>- 0:59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44951</v>
      </c>
      <c r="B26" s="16">
        <f t="shared" si="8"/>
        <v>4</v>
      </c>
      <c r="C26" s="17">
        <v>0.4236111111111111</v>
      </c>
      <c r="D26" s="18">
        <v>0.55555555555555558</v>
      </c>
      <c r="E26" s="17">
        <v>0.58402777777777781</v>
      </c>
      <c r="F26" s="18">
        <v>0.79305555555555562</v>
      </c>
      <c r="G26" s="17"/>
      <c r="H26" s="18"/>
      <c r="I26" s="17"/>
      <c r="J26" s="18"/>
      <c r="K26" s="17"/>
      <c r="L26" s="18"/>
      <c r="M26" s="17"/>
      <c r="N26" s="18"/>
      <c r="O26" s="29">
        <f t="shared" si="9"/>
        <v>2.8472222222222232E-2</v>
      </c>
      <c r="P26" s="30">
        <f t="shared" si="4"/>
        <v>0.34097222222222229</v>
      </c>
      <c r="Q26" s="43">
        <f t="shared" si="5"/>
        <v>0.36944444444444452</v>
      </c>
      <c r="R26" s="44">
        <f t="shared" si="0"/>
        <v>0.35416666666666702</v>
      </c>
      <c r="S26" s="45">
        <f t="shared" si="6"/>
        <v>0.80625000000000036</v>
      </c>
      <c r="T26" s="43" t="str">
        <f t="shared" si="7"/>
        <v>- 0:19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44952</v>
      </c>
      <c r="B27" s="16">
        <f t="shared" si="8"/>
        <v>5</v>
      </c>
      <c r="C27" s="17">
        <v>0.4381944444444445</v>
      </c>
      <c r="D27" s="18">
        <v>0.56666666666666665</v>
      </c>
      <c r="E27" s="17">
        <v>0.59722222222222221</v>
      </c>
      <c r="F27" s="18">
        <v>0.77430555555555547</v>
      </c>
      <c r="G27" s="17"/>
      <c r="H27" s="18"/>
      <c r="I27" s="17"/>
      <c r="J27" s="18"/>
      <c r="K27" s="17"/>
      <c r="L27" s="18"/>
      <c r="M27" s="17"/>
      <c r="N27" s="18"/>
      <c r="O27" s="29">
        <f t="shared" si="9"/>
        <v>3.0555555555555558E-2</v>
      </c>
      <c r="P27" s="30">
        <f t="shared" si="4"/>
        <v>0.30555555555555541</v>
      </c>
      <c r="Q27" s="43">
        <f t="shared" si="5"/>
        <v>0.33611111111111097</v>
      </c>
      <c r="R27" s="44">
        <f t="shared" si="0"/>
        <v>0.35416666666666702</v>
      </c>
      <c r="S27" s="45">
        <f t="shared" si="6"/>
        <v>0.82291666666666707</v>
      </c>
      <c r="T27" s="43" t="str">
        <f t="shared" si="7"/>
        <v>- 1:10</v>
      </c>
      <c r="U27" s="46" t="str">
        <f t="shared" si="1"/>
        <v/>
      </c>
      <c r="V27" s="41" t="str">
        <f t="shared" si="2"/>
        <v xml:space="preserve"> 26 Republican Day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44953</v>
      </c>
      <c r="B28" s="16">
        <f t="shared" si="8"/>
        <v>6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9"/>
        <v/>
      </c>
      <c r="P28" s="30" t="str">
        <f t="shared" si="4"/>
        <v/>
      </c>
      <c r="Q28" s="43" t="str">
        <f t="shared" si="5"/>
        <v/>
      </c>
      <c r="R28" s="44" t="str">
        <f t="shared" si="0"/>
        <v/>
      </c>
      <c r="S28" s="45" t="str">
        <f t="shared" si="6"/>
        <v/>
      </c>
      <c r="T28" s="43" t="str">
        <f t="shared" si="7"/>
        <v/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44954</v>
      </c>
      <c r="B29" s="16">
        <f t="shared" si="8"/>
        <v>7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9"/>
        <v/>
      </c>
      <c r="P29" s="30" t="str">
        <f t="shared" si="4"/>
        <v/>
      </c>
      <c r="Q29" s="43" t="str">
        <f t="shared" si="5"/>
        <v/>
      </c>
      <c r="R29" s="44" t="str">
        <f t="shared" si="0"/>
        <v/>
      </c>
      <c r="S29" s="45" t="str">
        <f t="shared" si="6"/>
        <v/>
      </c>
      <c r="T29" s="43" t="str">
        <f t="shared" si="7"/>
        <v/>
      </c>
      <c r="U29" s="46" t="str">
        <f t="shared" si="1"/>
        <v/>
      </c>
      <c r="V29" s="41" t="str">
        <f t="shared" si="2"/>
        <v xml:space="preserve">Saturday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44955</v>
      </c>
      <c r="B30" s="16">
        <f t="shared" si="8"/>
        <v>1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9"/>
        <v/>
      </c>
      <c r="P30" s="30" t="str">
        <f t="shared" si="4"/>
        <v/>
      </c>
      <c r="Q30" s="43" t="str">
        <f t="shared" si="5"/>
        <v/>
      </c>
      <c r="R30" s="44" t="str">
        <f t="shared" si="0"/>
        <v/>
      </c>
      <c r="S30" s="45" t="str">
        <f t="shared" si="6"/>
        <v/>
      </c>
      <c r="T30" s="43" t="str">
        <f t="shared" si="7"/>
        <v/>
      </c>
      <c r="U30" s="46" t="str">
        <f t="shared" si="1"/>
        <v/>
      </c>
      <c r="V30" s="41" t="str">
        <f t="shared" si="2"/>
        <v xml:space="preserve">Sunday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44956</v>
      </c>
      <c r="B31" s="16">
        <f t="shared" si="8"/>
        <v>2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9"/>
        <v/>
      </c>
      <c r="P31" s="30" t="str">
        <f t="shared" si="4"/>
        <v/>
      </c>
      <c r="Q31" s="43" t="str">
        <f t="shared" si="5"/>
        <v/>
      </c>
      <c r="R31" s="44" t="str">
        <f t="shared" si="0"/>
        <v/>
      </c>
      <c r="S31" s="45" t="str">
        <f t="shared" si="6"/>
        <v/>
      </c>
      <c r="T31" s="43" t="str">
        <f t="shared" si="7"/>
        <v/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44957</v>
      </c>
      <c r="B32" s="16">
        <f t="shared" si="8"/>
        <v>3</v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9"/>
        <v/>
      </c>
      <c r="P32" s="30" t="str">
        <f t="shared" si="4"/>
        <v/>
      </c>
      <c r="Q32" s="43" t="str">
        <f t="shared" si="5"/>
        <v/>
      </c>
      <c r="R32" s="44" t="str">
        <f t="shared" si="0"/>
        <v/>
      </c>
      <c r="S32" s="45" t="str">
        <f t="shared" si="6"/>
        <v/>
      </c>
      <c r="T32" s="43" t="str">
        <f t="shared" si="7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8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9"/>
        <v/>
      </c>
      <c r="P33" s="32" t="str">
        <f t="shared" si="4"/>
        <v/>
      </c>
      <c r="Q33" s="54" t="str">
        <f t="shared" si="5"/>
        <v/>
      </c>
      <c r="R33" s="55" t="str">
        <f t="shared" si="0"/>
        <v/>
      </c>
      <c r="S33" s="56" t="str">
        <f t="shared" si="6"/>
        <v/>
      </c>
      <c r="T33" s="54" t="str">
        <f t="shared" si="7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82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83">
        <f t="shared" si="10"/>
        <v>0</v>
      </c>
      <c r="V35" s="62"/>
      <c r="W35" s="62"/>
      <c r="X35" s="62"/>
    </row>
    <row r="36" spans="1:30">
      <c r="R36" s="63"/>
      <c r="S36" s="64"/>
      <c r="U36" s="84">
        <f t="shared" si="10"/>
        <v>0</v>
      </c>
      <c r="V36" s="62"/>
      <c r="W36" s="62"/>
      <c r="X36" s="62"/>
    </row>
    <row r="37" spans="1:30">
      <c r="R37" s="63"/>
      <c r="S37" s="63"/>
      <c r="U37" s="84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125" priority="9" stopIfTrue="1">
      <formula>OR($X$11="",MONTH(NOW())&lt;&gt;MONTH($X$11))</formula>
    </cfRule>
  </conditionalFormatting>
  <conditionalFormatting sqref="W15">
    <cfRule type="expression" dxfId="124" priority="4" stopIfTrue="1">
      <formula>TotalLeave&gt;=Yearly_Leaves</formula>
    </cfRule>
  </conditionalFormatting>
  <conditionalFormatting sqref="W1:AC8 W11 AC11 W12:AC22 W24:AC33 U2:V33">
    <cfRule type="expression" dxfId="123" priority="8" stopIfTrue="1">
      <formula>$X$11=""</formula>
    </cfRule>
  </conditionalFormatting>
  <conditionalFormatting sqref="A2:V33">
    <cfRule type="expression" dxfId="122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121" priority="2" stopIfTrue="1">
      <formula>AND(NOT(ISNA(MATCH($A2,hdate,0))),COUNTIF($V2,"*Optional*")&lt;1)</formula>
    </cfRule>
    <cfRule type="expression" dxfId="120" priority="3" stopIfTrue="1">
      <formula>AND($P2&lt;&gt;$R2,$P2&lt;$R2,$D2&lt;&gt;"")</formula>
    </cfRule>
  </conditionalFormatting>
  <conditionalFormatting sqref="U2:V33">
    <cfRule type="expression" dxfId="119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118" priority="5" stopIfTrue="1">
      <formula>W3=TODAY()</formula>
    </cfRule>
    <cfRule type="expression" dxfId="117" priority="6" stopIfTrue="1">
      <formula>NOT(ISNA(MATCH(W3,ldate,0)))</formula>
    </cfRule>
    <cfRule type="expression" dxfId="116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2" activePane="bottomLeft" state="frozen"/>
      <selection pane="bottomLeft" activeCell="E24" sqref="E24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44958</v>
      </c>
      <c r="X1" s="240">
        <f>$X$11</f>
        <v>44958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44956</v>
      </c>
      <c r="AD1" s="67"/>
    </row>
    <row r="2" spans="1:31" ht="15" customHeight="1">
      <c r="A2" s="11">
        <f>IF($X$11="","",DATE(YEAR($X$11),MONTH($X$11),1))</f>
        <v>44958</v>
      </c>
      <c r="B2" s="12">
        <f>IF($A2="","",WEEKDAY(A2))</f>
        <v>4</v>
      </c>
      <c r="C2" s="13">
        <v>0.45486111111111099</v>
      </c>
      <c r="D2" s="14">
        <v>0.55902777777777801</v>
      </c>
      <c r="E2" s="13">
        <v>0.57986111111111105</v>
      </c>
      <c r="F2" s="14">
        <v>0.64930555555555602</v>
      </c>
      <c r="G2" s="13">
        <v>0.65277777777777801</v>
      </c>
      <c r="H2" s="14">
        <v>0.7</v>
      </c>
      <c r="I2" s="13">
        <v>0.70833333333333304</v>
      </c>
      <c r="J2" s="14">
        <v>0.8125</v>
      </c>
      <c r="K2" s="13"/>
      <c r="L2" s="14"/>
      <c r="M2" s="13"/>
      <c r="N2" s="14"/>
      <c r="O2" s="27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>3.2638888888888107E-2</v>
      </c>
      <c r="P2" s="28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>0.3250000000000009</v>
      </c>
      <c r="Q2" s="37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>0.35763888888888901</v>
      </c>
      <c r="R2" s="38">
        <f t="shared" ref="R2:R33" si="0">IF(IFERROR(VLOOKUP($A2,Leave,2,FALSE),"")="Half Leave",Half_Day_Time,IF($C2&lt;&gt;"",Full_Day_Time,""))</f>
        <v>0.35416666666666702</v>
      </c>
      <c r="S2" s="39">
        <f>IF(AND($C2&lt;&gt;"",$O2=""),($C2+$R2),IF($C2&lt;&gt;"",($C2+($R2+$O2)),""))</f>
        <v>0.84166666666666612</v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>- 0:42</v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44959</v>
      </c>
      <c r="B3" s="16">
        <f>IF($A3="","",WEEKDAY(A3))</f>
        <v>5</v>
      </c>
      <c r="C3" s="17">
        <v>0.45138888888888901</v>
      </c>
      <c r="D3" s="18">
        <v>0.55625000000000002</v>
      </c>
      <c r="E3" s="17">
        <v>0.57291666666666696</v>
      </c>
      <c r="F3" s="18">
        <v>0.60277777777777797</v>
      </c>
      <c r="G3" s="17">
        <v>0.63402777777777797</v>
      </c>
      <c r="H3" s="18">
        <v>0.8125</v>
      </c>
      <c r="I3" s="17"/>
      <c r="J3" s="18"/>
      <c r="K3" s="17"/>
      <c r="L3" s="18"/>
      <c r="M3" s="17"/>
      <c r="N3" s="18"/>
      <c r="O3" s="29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>4.7916666666666941E-2</v>
      </c>
      <c r="P3" s="30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0.31319444444444405</v>
      </c>
      <c r="Q3" s="43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0.36111111111111099</v>
      </c>
      <c r="R3" s="44">
        <f t="shared" si="0"/>
        <v>0.35416666666666702</v>
      </c>
      <c r="S3" s="45">
        <f t="shared" ref="S3:S33" si="7">IF(AND($C3&lt;&gt;"",$O3=""),($C3+$R3),IF($C3&lt;&gt;"",($C3+($R3+$O3)),""))</f>
        <v>0.85347222222222296</v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- 0:59</v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>
        <v>44958</v>
      </c>
      <c r="Z3" s="48">
        <v>44959</v>
      </c>
      <c r="AA3" s="48">
        <v>44960</v>
      </c>
      <c r="AB3" s="48">
        <v>44961</v>
      </c>
      <c r="AC3" s="69">
        <v>44962</v>
      </c>
      <c r="AD3" s="67"/>
    </row>
    <row r="4" spans="1:31" ht="15" customHeight="1">
      <c r="A4" s="15">
        <f t="shared" si="3"/>
        <v>44960</v>
      </c>
      <c r="B4" s="16">
        <f t="shared" ref="B4:B33" si="9">IF($A4="","",WEEKDAY(A4))</f>
        <v>6</v>
      </c>
      <c r="C4" s="17">
        <v>0.41805555555555601</v>
      </c>
      <c r="D4" s="18">
        <v>0.54861111111111105</v>
      </c>
      <c r="E4" s="17">
        <v>0.56458333333333299</v>
      </c>
      <c r="F4" s="18">
        <v>0.65972222222222199</v>
      </c>
      <c r="G4" s="17">
        <v>0.66736111111111096</v>
      </c>
      <c r="H4" s="18">
        <v>0.8125</v>
      </c>
      <c r="I4" s="17"/>
      <c r="J4" s="18"/>
      <c r="K4" s="17"/>
      <c r="L4" s="18"/>
      <c r="M4" s="17"/>
      <c r="N4" s="18"/>
      <c r="O4" s="29">
        <f t="shared" si="4"/>
        <v>2.3611111111110916E-2</v>
      </c>
      <c r="P4" s="30">
        <f t="shared" si="5"/>
        <v>0.37083333333333307</v>
      </c>
      <c r="Q4" s="43">
        <f t="shared" si="6"/>
        <v>0.39444444444444399</v>
      </c>
      <c r="R4" s="44">
        <f t="shared" si="0"/>
        <v>0.35416666666666702</v>
      </c>
      <c r="S4" s="45">
        <f t="shared" si="7"/>
        <v>0.79583333333333395</v>
      </c>
      <c r="T4" s="43" t="str">
        <f t="shared" si="8"/>
        <v>+ 0:24</v>
      </c>
      <c r="U4" s="46" t="str">
        <f t="shared" si="1"/>
        <v/>
      </c>
      <c r="V4" s="41" t="str">
        <f t="shared" si="2"/>
        <v xml:space="preserve">  </v>
      </c>
      <c r="W4" s="49">
        <v>44963</v>
      </c>
      <c r="X4" s="50">
        <v>44964</v>
      </c>
      <c r="Y4" s="50">
        <v>44965</v>
      </c>
      <c r="Z4" s="50">
        <v>44966</v>
      </c>
      <c r="AA4" s="50">
        <v>44967</v>
      </c>
      <c r="AB4" s="50">
        <v>44968</v>
      </c>
      <c r="AC4" s="70">
        <v>44969</v>
      </c>
      <c r="AD4" s="67"/>
    </row>
    <row r="5" spans="1:31" ht="15" customHeight="1">
      <c r="A5" s="15">
        <f t="shared" si="3"/>
        <v>44961</v>
      </c>
      <c r="B5" s="16">
        <f t="shared" si="9"/>
        <v>7</v>
      </c>
      <c r="C5" s="17">
        <v>0.44166666666666698</v>
      </c>
      <c r="D5" s="18">
        <v>0.58402777777777803</v>
      </c>
      <c r="E5" s="17">
        <v>0.61597222222222203</v>
      </c>
      <c r="F5" s="18">
        <v>0.66319444444444398</v>
      </c>
      <c r="G5" s="17"/>
      <c r="H5" s="18"/>
      <c r="I5" s="17"/>
      <c r="J5" s="18"/>
      <c r="K5" s="17"/>
      <c r="L5" s="18"/>
      <c r="M5" s="17"/>
      <c r="N5" s="18"/>
      <c r="O5" s="29">
        <f t="shared" si="4"/>
        <v>3.1944444444443998E-2</v>
      </c>
      <c r="P5" s="30">
        <f t="shared" si="5"/>
        <v>0.18958333333333299</v>
      </c>
      <c r="Q5" s="43">
        <f t="shared" si="6"/>
        <v>0.22152777777777699</v>
      </c>
      <c r="R5" s="44">
        <f t="shared" si="0"/>
        <v>0.35416666666666702</v>
      </c>
      <c r="S5" s="45">
        <f t="shared" si="7"/>
        <v>0.82777777777777795</v>
      </c>
      <c r="T5" s="43" t="str">
        <f t="shared" si="8"/>
        <v>- 3:57</v>
      </c>
      <c r="U5" s="46" t="str">
        <f t="shared" si="1"/>
        <v/>
      </c>
      <c r="V5" s="41" t="str">
        <f t="shared" si="2"/>
        <v xml:space="preserve">Saturday  </v>
      </c>
      <c r="W5" s="49">
        <v>44970</v>
      </c>
      <c r="X5" s="50">
        <v>44971</v>
      </c>
      <c r="Y5" s="50">
        <v>44972</v>
      </c>
      <c r="Z5" s="50">
        <v>44973</v>
      </c>
      <c r="AA5" s="50">
        <v>44974</v>
      </c>
      <c r="AB5" s="50">
        <v>44975</v>
      </c>
      <c r="AC5" s="70">
        <v>44976</v>
      </c>
      <c r="AD5" s="67"/>
    </row>
    <row r="6" spans="1:31" ht="15" customHeight="1">
      <c r="A6" s="15">
        <f t="shared" si="3"/>
        <v>44962</v>
      </c>
      <c r="B6" s="16">
        <f t="shared" si="9"/>
        <v>1</v>
      </c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 t="str">
        <f t="shared" si="5"/>
        <v/>
      </c>
      <c r="Q6" s="43" t="str">
        <f t="shared" si="6"/>
        <v/>
      </c>
      <c r="R6" s="44" t="str">
        <f t="shared" si="0"/>
        <v/>
      </c>
      <c r="S6" s="45" t="str">
        <f t="shared" si="7"/>
        <v/>
      </c>
      <c r="T6" s="43" t="str">
        <f t="shared" si="8"/>
        <v/>
      </c>
      <c r="U6" s="46" t="str">
        <f t="shared" si="1"/>
        <v/>
      </c>
      <c r="V6" s="41" t="str">
        <f t="shared" si="2"/>
        <v xml:space="preserve">Sunday  </v>
      </c>
      <c r="W6" s="49">
        <v>44977</v>
      </c>
      <c r="X6" s="50">
        <v>44978</v>
      </c>
      <c r="Y6" s="50">
        <v>44979</v>
      </c>
      <c r="Z6" s="50">
        <v>44980</v>
      </c>
      <c r="AA6" s="50">
        <v>44981</v>
      </c>
      <c r="AB6" s="50">
        <v>44982</v>
      </c>
      <c r="AC6" s="70">
        <v>44983</v>
      </c>
      <c r="AD6" s="67"/>
    </row>
    <row r="7" spans="1:31" ht="15" customHeight="1">
      <c r="A7" s="15">
        <f t="shared" si="3"/>
        <v>44963</v>
      </c>
      <c r="B7" s="16">
        <f t="shared" si="9"/>
        <v>2</v>
      </c>
      <c r="C7" s="17">
        <v>0.50208333333333299</v>
      </c>
      <c r="D7" s="18">
        <v>0.61458333333333304</v>
      </c>
      <c r="E7" s="17">
        <v>0.625</v>
      </c>
      <c r="F7" s="18">
        <v>0.8125</v>
      </c>
      <c r="G7" s="17"/>
      <c r="H7" s="18"/>
      <c r="I7" s="17"/>
      <c r="J7" s="18"/>
      <c r="K7" s="17"/>
      <c r="L7" s="18"/>
      <c r="M7" s="17"/>
      <c r="N7" s="18"/>
      <c r="O7" s="29">
        <f t="shared" si="4"/>
        <v>1.0416666666666963E-2</v>
      </c>
      <c r="P7" s="30">
        <f t="shared" si="5"/>
        <v>0.30000000000000004</v>
      </c>
      <c r="Q7" s="43">
        <f t="shared" si="6"/>
        <v>0.31041666666666701</v>
      </c>
      <c r="R7" s="44">
        <f t="shared" si="0"/>
        <v>0.35416666666666702</v>
      </c>
      <c r="S7" s="45">
        <f t="shared" si="7"/>
        <v>0.86666666666666692</v>
      </c>
      <c r="T7" s="43" t="str">
        <f t="shared" si="8"/>
        <v>- 1:18</v>
      </c>
      <c r="U7" s="46" t="str">
        <f t="shared" si="1"/>
        <v/>
      </c>
      <c r="V7" s="41" t="str">
        <f t="shared" si="2"/>
        <v xml:space="preserve">  </v>
      </c>
      <c r="W7" s="49">
        <v>44984</v>
      </c>
      <c r="X7" s="50">
        <v>44985</v>
      </c>
      <c r="Y7" s="50" t="str">
        <v/>
      </c>
      <c r="Z7" s="50" t="str">
        <v/>
      </c>
      <c r="AA7" s="50" t="str">
        <v/>
      </c>
      <c r="AB7" s="50" t="str">
        <v/>
      </c>
      <c r="AC7" s="70" t="str">
        <v/>
      </c>
      <c r="AD7" s="67"/>
    </row>
    <row r="8" spans="1:31" ht="15" customHeight="1">
      <c r="A8" s="15">
        <f t="shared" si="3"/>
        <v>44964</v>
      </c>
      <c r="B8" s="16">
        <f t="shared" si="9"/>
        <v>3</v>
      </c>
      <c r="C8" s="17">
        <v>0.46041666666666697</v>
      </c>
      <c r="D8" s="18">
        <v>0.56458333333333299</v>
      </c>
      <c r="E8" s="17">
        <v>0.58194444444444404</v>
      </c>
      <c r="F8" s="18">
        <v>0.66597222222222197</v>
      </c>
      <c r="G8" s="17">
        <v>0.66874999999999996</v>
      </c>
      <c r="H8" s="18">
        <v>0.73124999999999996</v>
      </c>
      <c r="I8" s="17">
        <v>0.73958333333333304</v>
      </c>
      <c r="J8" s="18">
        <v>0.82638888888888895</v>
      </c>
      <c r="K8" s="17"/>
      <c r="L8" s="18"/>
      <c r="M8" s="17"/>
      <c r="N8" s="18"/>
      <c r="O8" s="29">
        <f t="shared" si="4"/>
        <v>2.8472222222222121E-2</v>
      </c>
      <c r="P8" s="30">
        <f t="shared" si="5"/>
        <v>0.33749999999999986</v>
      </c>
      <c r="Q8" s="43">
        <f t="shared" si="6"/>
        <v>0.36597222222222198</v>
      </c>
      <c r="R8" s="44">
        <f t="shared" si="0"/>
        <v>0.35416666666666702</v>
      </c>
      <c r="S8" s="45">
        <f t="shared" si="7"/>
        <v>0.84305555555555611</v>
      </c>
      <c r="T8" s="43" t="str">
        <f t="shared" si="8"/>
        <v>- 0:24</v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44965</v>
      </c>
      <c r="B9" s="16">
        <f t="shared" si="9"/>
        <v>4</v>
      </c>
      <c r="C9" s="17">
        <v>0.44097222222222199</v>
      </c>
      <c r="D9" s="18">
        <v>0.56944444444444398</v>
      </c>
      <c r="E9" s="17">
        <v>0.59027777777777801</v>
      </c>
      <c r="F9" s="18">
        <v>0.8125</v>
      </c>
      <c r="G9" s="17"/>
      <c r="H9" s="18"/>
      <c r="I9" s="17"/>
      <c r="J9" s="18"/>
      <c r="K9" s="17"/>
      <c r="L9" s="18"/>
      <c r="M9" s="17"/>
      <c r="N9" s="18"/>
      <c r="O9" s="29">
        <f t="shared" si="4"/>
        <v>2.0833333333334036E-2</v>
      </c>
      <c r="P9" s="30">
        <f t="shared" si="5"/>
        <v>0.35069444444444398</v>
      </c>
      <c r="Q9" s="43">
        <f t="shared" si="6"/>
        <v>0.37152777777777801</v>
      </c>
      <c r="R9" s="44">
        <f t="shared" si="0"/>
        <v>0.35416666666666702</v>
      </c>
      <c r="S9" s="45">
        <f t="shared" si="7"/>
        <v>0.81597222222222299</v>
      </c>
      <c r="T9" s="43" t="str">
        <f t="shared" si="8"/>
        <v>- 0:05</v>
      </c>
      <c r="U9" s="46" t="str">
        <f t="shared" si="1"/>
        <v/>
      </c>
      <c r="V9" s="41" t="str">
        <f t="shared" si="2"/>
        <v xml:space="preserve">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44966</v>
      </c>
      <c r="B10" s="16">
        <f t="shared" si="9"/>
        <v>5</v>
      </c>
      <c r="C10" s="17">
        <v>0.46041666666666697</v>
      </c>
      <c r="D10" s="18">
        <v>0.56944444444444398</v>
      </c>
      <c r="E10" s="17">
        <v>0.59375</v>
      </c>
      <c r="F10" s="18">
        <v>0.66666666666666696</v>
      </c>
      <c r="G10" s="17">
        <v>0.67708333333333304</v>
      </c>
      <c r="H10" s="18">
        <v>0.8125</v>
      </c>
      <c r="I10" s="17"/>
      <c r="J10" s="18"/>
      <c r="K10" s="17"/>
      <c r="L10" s="18"/>
      <c r="M10" s="17"/>
      <c r="N10" s="18"/>
      <c r="O10" s="29">
        <f t="shared" si="4"/>
        <v>3.4722222222222099E-2</v>
      </c>
      <c r="P10" s="30">
        <f t="shared" si="5"/>
        <v>0.31736111111111093</v>
      </c>
      <c r="Q10" s="43">
        <f t="shared" si="6"/>
        <v>0.35208333333333303</v>
      </c>
      <c r="R10" s="44">
        <f t="shared" si="0"/>
        <v>0.35416666666666702</v>
      </c>
      <c r="S10" s="45">
        <f t="shared" si="7"/>
        <v>0.84930555555555609</v>
      </c>
      <c r="T10" s="43" t="str">
        <f t="shared" si="8"/>
        <v>- 0:53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44967</v>
      </c>
      <c r="B11" s="16">
        <f t="shared" si="9"/>
        <v>6</v>
      </c>
      <c r="C11" s="17">
        <v>0.44305555555555598</v>
      </c>
      <c r="D11" s="18">
        <v>0.56597222222222199</v>
      </c>
      <c r="E11" s="17">
        <v>0.57986111111111105</v>
      </c>
      <c r="F11" s="18">
        <v>0.66805555555555596</v>
      </c>
      <c r="G11" s="17">
        <v>0.67083333333333295</v>
      </c>
      <c r="H11" s="18">
        <v>0.80208333333333304</v>
      </c>
      <c r="I11" s="17"/>
      <c r="J11" s="18"/>
      <c r="K11" s="17"/>
      <c r="L11" s="18"/>
      <c r="M11" s="17"/>
      <c r="N11" s="18"/>
      <c r="O11" s="29">
        <f t="shared" si="4"/>
        <v>1.6666666666666052E-2</v>
      </c>
      <c r="P11" s="30">
        <f t="shared" si="5"/>
        <v>0.34236111111111101</v>
      </c>
      <c r="Q11" s="43">
        <f t="shared" si="6"/>
        <v>0.35902777777777706</v>
      </c>
      <c r="R11" s="44">
        <f t="shared" si="0"/>
        <v>0.35416666666666702</v>
      </c>
      <c r="S11" s="45">
        <f t="shared" si="7"/>
        <v>0.81388888888888911</v>
      </c>
      <c r="T11" s="43" t="str">
        <f t="shared" si="8"/>
        <v>- 0:17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44958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44968</v>
      </c>
      <c r="B12" s="16">
        <f t="shared" si="9"/>
        <v>7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Saturday  </v>
      </c>
      <c r="W12" s="242" t="str">
        <f>"Total "&amp;DAY(DATE(YEAR($X$11),MONTH($X$11)+1,1)-1)&amp;" Days in this month"</f>
        <v>Total 28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44969</v>
      </c>
      <c r="B13" s="16">
        <f t="shared" si="9"/>
        <v>1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Sunday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-1*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28</v>
      </c>
      <c r="AE13" s="74"/>
    </row>
    <row r="14" spans="1:31" ht="15" customHeight="1">
      <c r="A14" s="15">
        <f t="shared" si="3"/>
        <v>44970</v>
      </c>
      <c r="B14" s="16">
        <f t="shared" si="9"/>
        <v>2</v>
      </c>
      <c r="C14" s="17">
        <v>0.483333333333333</v>
      </c>
      <c r="D14" s="18">
        <v>0.55902777777777801</v>
      </c>
      <c r="E14" s="17">
        <v>0.57986111111111105</v>
      </c>
      <c r="F14" s="18">
        <v>0.82986111111111105</v>
      </c>
      <c r="G14" s="17"/>
      <c r="H14" s="18"/>
      <c r="I14" s="17"/>
      <c r="J14" s="18"/>
      <c r="K14" s="17"/>
      <c r="L14" s="18"/>
      <c r="M14" s="17"/>
      <c r="N14" s="18"/>
      <c r="O14" s="29">
        <f t="shared" si="4"/>
        <v>2.0833333333333037E-2</v>
      </c>
      <c r="P14" s="30">
        <f t="shared" si="5"/>
        <v>0.32569444444444501</v>
      </c>
      <c r="Q14" s="43">
        <f t="shared" si="6"/>
        <v>0.34652777777777805</v>
      </c>
      <c r="R14" s="44">
        <f t="shared" si="0"/>
        <v>0.35416666666666702</v>
      </c>
      <c r="S14" s="45">
        <f t="shared" si="7"/>
        <v>0.85833333333333306</v>
      </c>
      <c r="T14" s="43" t="str">
        <f t="shared" si="8"/>
        <v>- 0:41</v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8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44971</v>
      </c>
      <c r="B15" s="16">
        <f t="shared" si="9"/>
        <v>3</v>
      </c>
      <c r="C15" s="17">
        <v>0.47222222222222199</v>
      </c>
      <c r="D15" s="18">
        <v>0.55555555555555602</v>
      </c>
      <c r="E15" s="17">
        <v>0.57291666666666696</v>
      </c>
      <c r="F15" s="18">
        <v>0.57638888888888895</v>
      </c>
      <c r="G15" s="17">
        <v>0.58333333333333304</v>
      </c>
      <c r="H15" s="18">
        <v>0.8125</v>
      </c>
      <c r="I15" s="17"/>
      <c r="J15" s="18"/>
      <c r="K15" s="17"/>
      <c r="L15" s="18"/>
      <c r="M15" s="17"/>
      <c r="N15" s="18"/>
      <c r="O15" s="29">
        <f t="shared" si="4"/>
        <v>2.4305555555555025E-2</v>
      </c>
      <c r="P15" s="30">
        <f t="shared" si="5"/>
        <v>0.31597222222222299</v>
      </c>
      <c r="Q15" s="43">
        <f t="shared" si="6"/>
        <v>0.34027777777777801</v>
      </c>
      <c r="R15" s="44">
        <f t="shared" si="0"/>
        <v>0.35416666666666702</v>
      </c>
      <c r="S15" s="45">
        <f t="shared" si="7"/>
        <v>0.85069444444444398</v>
      </c>
      <c r="T15" s="43" t="str">
        <f t="shared" si="8"/>
        <v>- 0:55</v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Feb-23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44972</v>
      </c>
      <c r="B16" s="16">
        <f t="shared" si="9"/>
        <v>4</v>
      </c>
      <c r="C16" s="17">
        <v>0.45833333333333298</v>
      </c>
      <c r="D16" s="18">
        <v>0.5625</v>
      </c>
      <c r="E16" s="17">
        <v>0.57986111111111105</v>
      </c>
      <c r="F16" s="18">
        <v>0.8125</v>
      </c>
      <c r="G16" s="17"/>
      <c r="H16" s="18"/>
      <c r="I16" s="17"/>
      <c r="J16" s="18"/>
      <c r="K16" s="17"/>
      <c r="L16" s="18"/>
      <c r="M16" s="17"/>
      <c r="N16" s="18"/>
      <c r="O16" s="29">
        <f t="shared" si="4"/>
        <v>1.7361111111111049E-2</v>
      </c>
      <c r="P16" s="30">
        <f t="shared" si="5"/>
        <v>0.33680555555555597</v>
      </c>
      <c r="Q16" s="43">
        <f t="shared" si="6"/>
        <v>0.35416666666666702</v>
      </c>
      <c r="R16" s="44">
        <f t="shared" si="0"/>
        <v>0.35416666666666702</v>
      </c>
      <c r="S16" s="45">
        <f t="shared" si="7"/>
        <v>0.82986111111111105</v>
      </c>
      <c r="T16" s="43" t="str">
        <f t="shared" si="8"/>
        <v>- 0:25</v>
      </c>
      <c r="U16" s="46" t="str">
        <f t="shared" si="1"/>
        <v/>
      </c>
      <c r="V16" s="41" t="str">
        <f t="shared" si="2"/>
        <v xml:space="preserve">  </v>
      </c>
      <c r="W16" s="225" t="str">
        <f>"Break Hours "&amp;TEXT(SUM($O2:$O33),"[h]:mm")</f>
        <v>Break Hours 12:01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44973</v>
      </c>
      <c r="B17" s="16">
        <f t="shared" si="9"/>
        <v>5</v>
      </c>
      <c r="C17" s="17">
        <v>0.46736111111111101</v>
      </c>
      <c r="D17" s="18">
        <v>0.56944444444444398</v>
      </c>
      <c r="E17" s="17">
        <v>0.59027777777777801</v>
      </c>
      <c r="F17" s="18">
        <v>0.66319444444444398</v>
      </c>
      <c r="G17" s="17">
        <v>0.67013888888888895</v>
      </c>
      <c r="H17" s="18">
        <v>0.8125</v>
      </c>
      <c r="I17" s="17"/>
      <c r="J17" s="18"/>
      <c r="K17" s="17"/>
      <c r="L17" s="18"/>
      <c r="M17" s="17"/>
      <c r="N17" s="18"/>
      <c r="O17" s="29">
        <f t="shared" si="4"/>
        <v>2.7777777777779011E-2</v>
      </c>
      <c r="P17" s="30">
        <f t="shared" si="5"/>
        <v>0.31736111111110998</v>
      </c>
      <c r="Q17" s="43">
        <f t="shared" si="6"/>
        <v>0.34513888888888899</v>
      </c>
      <c r="R17" s="44">
        <f t="shared" si="0"/>
        <v>0.35416666666666702</v>
      </c>
      <c r="S17" s="45">
        <f t="shared" si="7"/>
        <v>0.84930555555555709</v>
      </c>
      <c r="T17" s="43" t="str">
        <f t="shared" si="8"/>
        <v>- 0:53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160:33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44974</v>
      </c>
      <c r="B18" s="16">
        <f t="shared" si="9"/>
        <v>6</v>
      </c>
      <c r="C18" s="17">
        <v>0.45694444444444399</v>
      </c>
      <c r="D18" s="18">
        <v>0.57430555555555596</v>
      </c>
      <c r="E18" s="17">
        <v>0.59791666666666698</v>
      </c>
      <c r="F18" s="18">
        <v>0.80208333333333304</v>
      </c>
      <c r="G18" s="17"/>
      <c r="H18" s="18"/>
      <c r="I18" s="17"/>
      <c r="J18" s="18"/>
      <c r="K18" s="17"/>
      <c r="L18" s="18"/>
      <c r="M18" s="17"/>
      <c r="N18" s="18"/>
      <c r="O18" s="29">
        <f t="shared" si="4"/>
        <v>2.3611111111111027E-2</v>
      </c>
      <c r="P18" s="30">
        <f t="shared" si="5"/>
        <v>0.32152777777777802</v>
      </c>
      <c r="Q18" s="43">
        <f t="shared" si="6"/>
        <v>0.34513888888888905</v>
      </c>
      <c r="R18" s="44">
        <f t="shared" si="0"/>
        <v>0.35416666666666702</v>
      </c>
      <c r="S18" s="45">
        <f t="shared" si="7"/>
        <v>0.83472222222222203</v>
      </c>
      <c r="T18" s="43" t="str">
        <f t="shared" si="8"/>
        <v>- 0:47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178:30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44975</v>
      </c>
      <c r="B19" s="16">
        <f t="shared" si="9"/>
        <v>7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Saturday  </v>
      </c>
      <c r="W19" s="219" t="str">
        <f>"Actual Average Hours "&amp;TEXT(IFERROR(AVERAGEIF($P2:$P33,"&lt;&gt;0",$P2:$P33),""),"[h]:mm")</f>
        <v>Actual Average Hours 7:38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44976</v>
      </c>
      <c r="B20" s="16">
        <f t="shared" si="9"/>
        <v>1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Sunday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44977</v>
      </c>
      <c r="B21" s="16">
        <f t="shared" si="9"/>
        <v>2</v>
      </c>
      <c r="C21" s="17">
        <v>0.483333333333333</v>
      </c>
      <c r="D21" s="18">
        <v>0.5625</v>
      </c>
      <c r="E21" s="17">
        <v>0.58402777777777803</v>
      </c>
      <c r="F21" s="18">
        <v>0.83333333333333304</v>
      </c>
      <c r="G21" s="17"/>
      <c r="H21" s="18"/>
      <c r="I21" s="17"/>
      <c r="J21" s="18"/>
      <c r="K21" s="17"/>
      <c r="L21" s="18"/>
      <c r="M21" s="17"/>
      <c r="N21" s="18"/>
      <c r="O21" s="29">
        <f t="shared" si="4"/>
        <v>2.1527777777778034E-2</v>
      </c>
      <c r="P21" s="30">
        <f t="shared" si="5"/>
        <v>0.328472222222222</v>
      </c>
      <c r="Q21" s="43">
        <f t="shared" si="6"/>
        <v>0.35000000000000003</v>
      </c>
      <c r="R21" s="44">
        <f t="shared" si="0"/>
        <v>0.35416666666666702</v>
      </c>
      <c r="S21" s="45">
        <f t="shared" si="7"/>
        <v>0.85902777777777806</v>
      </c>
      <c r="T21" s="43" t="str">
        <f t="shared" si="8"/>
        <v>- 0:37</v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17:57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44978</v>
      </c>
      <c r="B22" s="16">
        <f t="shared" si="9"/>
        <v>3</v>
      </c>
      <c r="C22" s="17">
        <v>0.46250000000000002</v>
      </c>
      <c r="D22" s="18">
        <v>0.56041666666666701</v>
      </c>
      <c r="E22" s="17">
        <v>0.57499999999999996</v>
      </c>
      <c r="F22" s="18">
        <v>0.8125</v>
      </c>
      <c r="G22" s="17"/>
      <c r="H22" s="18"/>
      <c r="I22" s="17"/>
      <c r="J22" s="18"/>
      <c r="K22" s="17"/>
      <c r="L22" s="18"/>
      <c r="M22" s="17"/>
      <c r="N22" s="18"/>
      <c r="O22" s="29">
        <f t="shared" si="4"/>
        <v>1.4583333333332948E-2</v>
      </c>
      <c r="P22" s="30">
        <f t="shared" si="5"/>
        <v>0.33541666666666703</v>
      </c>
      <c r="Q22" s="43">
        <f t="shared" si="6"/>
        <v>0.35</v>
      </c>
      <c r="R22" s="44">
        <f t="shared" si="0"/>
        <v>0.35416666666666702</v>
      </c>
      <c r="S22" s="45">
        <f t="shared" si="7"/>
        <v>0.83125000000000004</v>
      </c>
      <c r="T22" s="43" t="str">
        <f t="shared" si="8"/>
        <v>- 0:27</v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172:34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44979</v>
      </c>
      <c r="B23" s="16">
        <f t="shared" si="9"/>
        <v>4</v>
      </c>
      <c r="C23" s="17">
        <v>0.48263888888888901</v>
      </c>
      <c r="D23" s="18">
        <v>0.56597222222222199</v>
      </c>
      <c r="E23" s="17">
        <v>0.57986111111111105</v>
      </c>
      <c r="F23" s="18">
        <v>0.8125</v>
      </c>
      <c r="G23" s="17"/>
      <c r="H23" s="18"/>
      <c r="I23" s="17"/>
      <c r="J23" s="18"/>
      <c r="K23" s="17"/>
      <c r="L23" s="18"/>
      <c r="M23" s="17"/>
      <c r="N23" s="18"/>
      <c r="O23" s="29">
        <f t="shared" si="4"/>
        <v>1.3888888888889062E-2</v>
      </c>
      <c r="P23" s="30">
        <f t="shared" si="5"/>
        <v>0.31597222222222193</v>
      </c>
      <c r="Q23" s="43">
        <f t="shared" si="6"/>
        <v>0.32986111111111099</v>
      </c>
      <c r="R23" s="44">
        <f t="shared" si="0"/>
        <v>0.35416666666666702</v>
      </c>
      <c r="S23" s="45">
        <f t="shared" si="7"/>
        <v>0.85069444444444509</v>
      </c>
      <c r="T23" s="43" t="str">
        <f t="shared" si="8"/>
        <v>- 0:55</v>
      </c>
      <c r="U23" s="46" t="str">
        <f t="shared" si="1"/>
        <v/>
      </c>
      <c r="V23" s="41" t="str">
        <f t="shared" si="2"/>
        <v xml:space="preserve">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44980</v>
      </c>
      <c r="B24" s="16">
        <f t="shared" si="9"/>
        <v>5</v>
      </c>
      <c r="C24" s="17">
        <v>0.47708333333333303</v>
      </c>
      <c r="D24" s="18">
        <v>0.56041666666666701</v>
      </c>
      <c r="E24" s="17">
        <v>0.58055555555555605</v>
      </c>
      <c r="F24" s="18">
        <v>0.65277777777777801</v>
      </c>
      <c r="G24" s="17">
        <v>0.66319444444444398</v>
      </c>
      <c r="H24" s="18">
        <v>0.8125</v>
      </c>
      <c r="I24" s="17"/>
      <c r="J24" s="18"/>
      <c r="K24" s="17"/>
      <c r="L24" s="18"/>
      <c r="M24" s="17"/>
      <c r="N24" s="18"/>
      <c r="O24" s="29">
        <f t="shared" si="4"/>
        <v>3.0555555555555003E-2</v>
      </c>
      <c r="P24" s="30">
        <f t="shared" si="5"/>
        <v>0.30486111111111197</v>
      </c>
      <c r="Q24" s="43">
        <f t="shared" si="6"/>
        <v>0.33541666666666697</v>
      </c>
      <c r="R24" s="44">
        <f t="shared" si="0"/>
        <v>0.35416666666666702</v>
      </c>
      <c r="S24" s="45">
        <f t="shared" si="7"/>
        <v>0.86180555555555505</v>
      </c>
      <c r="T24" s="43" t="str">
        <f t="shared" si="8"/>
        <v>- 1:11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44981</v>
      </c>
      <c r="B25" s="16">
        <f t="shared" si="9"/>
        <v>6</v>
      </c>
      <c r="C25" s="17">
        <v>0.45833333333333298</v>
      </c>
      <c r="D25" s="18">
        <v>0.54513888888888895</v>
      </c>
      <c r="E25" s="17">
        <v>0.5625</v>
      </c>
      <c r="F25" s="18">
        <v>0.77083333333333304</v>
      </c>
      <c r="G25" s="17"/>
      <c r="H25" s="18"/>
      <c r="I25" s="17"/>
      <c r="J25" s="18"/>
      <c r="K25" s="17"/>
      <c r="L25" s="18"/>
      <c r="M25" s="17"/>
      <c r="N25" s="18"/>
      <c r="O25" s="29">
        <f t="shared" si="4"/>
        <v>1.7361111111111049E-2</v>
      </c>
      <c r="P25" s="30">
        <f t="shared" si="5"/>
        <v>0.29513888888888901</v>
      </c>
      <c r="Q25" s="43">
        <f t="shared" si="6"/>
        <v>0.31250000000000006</v>
      </c>
      <c r="R25" s="44">
        <f t="shared" si="0"/>
        <v>0.35416666666666702</v>
      </c>
      <c r="S25" s="45">
        <f t="shared" si="7"/>
        <v>0.82986111111111105</v>
      </c>
      <c r="T25" s="43" t="str">
        <f t="shared" si="8"/>
        <v>- 1:25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44982</v>
      </c>
      <c r="B26" s="16">
        <f t="shared" si="9"/>
        <v>7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Saturday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44983</v>
      </c>
      <c r="B27" s="16">
        <f t="shared" si="9"/>
        <v>1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Sunday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44984</v>
      </c>
      <c r="B28" s="16">
        <f t="shared" si="9"/>
        <v>2</v>
      </c>
      <c r="C28" s="17">
        <v>0.48749999999999999</v>
      </c>
      <c r="D28" s="18">
        <v>0.55902777777777801</v>
      </c>
      <c r="E28" s="17">
        <v>0.57986111111111105</v>
      </c>
      <c r="F28" s="18">
        <v>0.8125</v>
      </c>
      <c r="G28" s="17"/>
      <c r="H28" s="18"/>
      <c r="I28" s="17"/>
      <c r="J28" s="18"/>
      <c r="K28" s="17"/>
      <c r="L28" s="18"/>
      <c r="M28" s="17"/>
      <c r="N28" s="18"/>
      <c r="O28" s="29">
        <f t="shared" si="4"/>
        <v>2.0833333333333037E-2</v>
      </c>
      <c r="P28" s="30">
        <f t="shared" si="5"/>
        <v>0.30416666666666697</v>
      </c>
      <c r="Q28" s="43">
        <f t="shared" si="6"/>
        <v>0.32500000000000001</v>
      </c>
      <c r="R28" s="44">
        <f t="shared" si="0"/>
        <v>0.35416666666666702</v>
      </c>
      <c r="S28" s="45">
        <f t="shared" si="7"/>
        <v>0.86250000000000004</v>
      </c>
      <c r="T28" s="43" t="str">
        <f t="shared" si="8"/>
        <v>- 1:12</v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44985</v>
      </c>
      <c r="B29" s="16">
        <f t="shared" si="9"/>
        <v>3</v>
      </c>
      <c r="C29" s="17">
        <v>0.45</v>
      </c>
      <c r="D29" s="18">
        <v>0.5625</v>
      </c>
      <c r="E29" s="17">
        <v>0.57986111111111105</v>
      </c>
      <c r="F29" s="18">
        <v>0.65277777777777801</v>
      </c>
      <c r="G29" s="17">
        <v>0.65625</v>
      </c>
      <c r="H29" s="18">
        <v>0.8125</v>
      </c>
      <c r="I29" s="17"/>
      <c r="J29" s="18"/>
      <c r="K29" s="17"/>
      <c r="L29" s="18"/>
      <c r="M29" s="17"/>
      <c r="N29" s="18"/>
      <c r="O29" s="29">
        <f t="shared" si="4"/>
        <v>2.0833333333333037E-2</v>
      </c>
      <c r="P29" s="30">
        <f t="shared" si="5"/>
        <v>0.34166666666666695</v>
      </c>
      <c r="Q29" s="43">
        <f t="shared" si="6"/>
        <v>0.36249999999999999</v>
      </c>
      <c r="R29" s="44">
        <f t="shared" si="0"/>
        <v>0.35416666666666702</v>
      </c>
      <c r="S29" s="45">
        <f t="shared" si="7"/>
        <v>0.82500000000000007</v>
      </c>
      <c r="T29" s="43" t="str">
        <f t="shared" si="8"/>
        <v>- 0:18</v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 t="str">
        <f t="shared" si="3"/>
        <v/>
      </c>
      <c r="B30" s="16" t="str">
        <f t="shared" si="9"/>
        <v/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 t="str">
        <f t="shared" si="3"/>
        <v/>
      </c>
      <c r="B31" s="16" t="str">
        <f t="shared" si="9"/>
        <v/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 t="str">
        <f t="shared" si="3"/>
        <v/>
      </c>
      <c r="B32" s="16" t="str">
        <f t="shared" si="9"/>
        <v/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115" priority="9" stopIfTrue="1">
      <formula>OR($X$11="",MONTH(NOW())&lt;&gt;MONTH($X$11))</formula>
    </cfRule>
  </conditionalFormatting>
  <conditionalFormatting sqref="W15">
    <cfRule type="expression" dxfId="114" priority="4" stopIfTrue="1">
      <formula>TotalLeave&gt;=Yearly_Leaves</formula>
    </cfRule>
  </conditionalFormatting>
  <conditionalFormatting sqref="W1:AC8 W11 AC11 W12:AC22 W24:AC33 U2:V33">
    <cfRule type="expression" dxfId="113" priority="8" stopIfTrue="1">
      <formula>$X$11=""</formula>
    </cfRule>
  </conditionalFormatting>
  <conditionalFormatting sqref="A2:V33">
    <cfRule type="expression" dxfId="112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111" priority="2" stopIfTrue="1">
      <formula>AND(NOT(ISNA(MATCH($A2,hdate,0))),COUNTIF($V2,"*Optional*")&lt;1)</formula>
    </cfRule>
    <cfRule type="expression" dxfId="110" priority="3" stopIfTrue="1">
      <formula>AND($P2&lt;&gt;$R2,$P2&lt;$R2,$D2&lt;&gt;"")</formula>
    </cfRule>
  </conditionalFormatting>
  <conditionalFormatting sqref="U2:V33">
    <cfRule type="expression" dxfId="109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108" priority="5" stopIfTrue="1">
      <formula>W3=TODAY()</formula>
    </cfRule>
    <cfRule type="expression" dxfId="107" priority="6" stopIfTrue="1">
      <formula>NOT(ISNA(MATCH(W3,ldate,0)))</formula>
    </cfRule>
    <cfRule type="expression" dxfId="106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8" activePane="bottomLeft" state="frozen"/>
      <selection pane="bottomLeft" activeCell="C28" sqref="C28:F28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44986</v>
      </c>
      <c r="X1" s="240">
        <f>$X$11</f>
        <v>44986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44984</v>
      </c>
      <c r="AD1" s="67"/>
    </row>
    <row r="2" spans="1:31" ht="15" customHeight="1">
      <c r="A2" s="11">
        <f>IF($X$11="","",DATE(YEAR($X$11),MONTH($X$11),1))</f>
        <v>44986</v>
      </c>
      <c r="B2" s="12">
        <f>IF($A2="","",WEEKDAY(A2))</f>
        <v>4</v>
      </c>
      <c r="C2" s="13">
        <v>0.45138888888888901</v>
      </c>
      <c r="D2" s="14">
        <v>0.56527777777777799</v>
      </c>
      <c r="E2" s="13">
        <v>0.57986111111111105</v>
      </c>
      <c r="F2" s="14">
        <v>0.65208333333333302</v>
      </c>
      <c r="G2" s="13">
        <v>0.65972222222222199</v>
      </c>
      <c r="H2" s="14">
        <v>0.76319444444444395</v>
      </c>
      <c r="I2" s="13">
        <v>0.77013888888888904</v>
      </c>
      <c r="J2" s="14">
        <v>0.81597222222222199</v>
      </c>
      <c r="K2" s="13"/>
      <c r="L2" s="14"/>
      <c r="M2" s="13"/>
      <c r="N2" s="14"/>
      <c r="O2" s="27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>2.9166666666667118E-2</v>
      </c>
      <c r="P2" s="28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>0.33541666666666586</v>
      </c>
      <c r="Q2" s="37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>0.36458333333333298</v>
      </c>
      <c r="R2" s="38">
        <f t="shared" ref="R2:R33" si="0">IF(IFERROR(VLOOKUP($A2,Leave,2,FALSE),"")="Half Leave",Half_Day_Time,IF($C2&lt;&gt;"",Full_Day_Time,""))</f>
        <v>0.35416666666666702</v>
      </c>
      <c r="S2" s="39">
        <f>IF(AND($C2&lt;&gt;"",$O2=""),($C2+$R2),IF($C2&lt;&gt;"",($C2+($R2+$O2)),""))</f>
        <v>0.83472222222222314</v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>- 0:27</v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44987</v>
      </c>
      <c r="B3" s="16">
        <f>IF($A3="","",WEEKDAY(A3))</f>
        <v>5</v>
      </c>
      <c r="C3" s="17">
        <v>0.44930555555555601</v>
      </c>
      <c r="D3" s="18">
        <v>0.56597222222222199</v>
      </c>
      <c r="E3" s="17">
        <v>0.57986111111111105</v>
      </c>
      <c r="F3" s="18">
        <v>0.61805555555555602</v>
      </c>
      <c r="G3" s="17">
        <v>0.62291666666666701</v>
      </c>
      <c r="H3" s="18">
        <v>0.65208333333333302</v>
      </c>
      <c r="I3" s="17">
        <v>0.65625</v>
      </c>
      <c r="J3" s="18">
        <v>0.75347222222222199</v>
      </c>
      <c r="K3" s="17">
        <v>0.76041666666666696</v>
      </c>
      <c r="L3" s="18">
        <v>0.8125</v>
      </c>
      <c r="M3" s="17"/>
      <c r="N3" s="18"/>
      <c r="O3" s="29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>2.9861111111112004E-2</v>
      </c>
      <c r="P3" s="30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0.33333333333333198</v>
      </c>
      <c r="Q3" s="43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0.36319444444444399</v>
      </c>
      <c r="R3" s="44">
        <f t="shared" si="0"/>
        <v>0.35416666666666702</v>
      </c>
      <c r="S3" s="45">
        <f t="shared" ref="S3:S33" si="7">IF(AND($C3&lt;&gt;"",$O3=""),($C3+$R3),IF($C3&lt;&gt;"",($C3+($R3+$O3)),""))</f>
        <v>0.83333333333333504</v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- 0:30</v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>
        <v>44986</v>
      </c>
      <c r="Z3" s="48">
        <v>44987</v>
      </c>
      <c r="AA3" s="48">
        <v>44988</v>
      </c>
      <c r="AB3" s="48">
        <v>44989</v>
      </c>
      <c r="AC3" s="69">
        <v>44990</v>
      </c>
      <c r="AD3" s="67"/>
    </row>
    <row r="4" spans="1:31" ht="15" customHeight="1">
      <c r="A4" s="15">
        <f t="shared" si="3"/>
        <v>44988</v>
      </c>
      <c r="B4" s="16">
        <f t="shared" ref="B4:B33" si="9">IF($A4="","",WEEKDAY(A4))</f>
        <v>6</v>
      </c>
      <c r="C4" s="17">
        <v>0.47569444444444398</v>
      </c>
      <c r="D4" s="18">
        <v>0.56597222222222199</v>
      </c>
      <c r="E4" s="17">
        <v>0.58541666666666703</v>
      </c>
      <c r="F4" s="18">
        <v>0.65416666666666701</v>
      </c>
      <c r="G4" s="17">
        <v>0.65625</v>
      </c>
      <c r="H4" s="18">
        <v>0.83333333333333304</v>
      </c>
      <c r="I4" s="17"/>
      <c r="J4" s="18"/>
      <c r="K4" s="17"/>
      <c r="L4" s="18"/>
      <c r="M4" s="17"/>
      <c r="N4" s="18"/>
      <c r="O4" s="29">
        <f t="shared" si="4"/>
        <v>2.1527777777778034E-2</v>
      </c>
      <c r="P4" s="30">
        <f t="shared" si="5"/>
        <v>0.33611111111111103</v>
      </c>
      <c r="Q4" s="43">
        <f t="shared" si="6"/>
        <v>0.35763888888888906</v>
      </c>
      <c r="R4" s="44">
        <f t="shared" si="0"/>
        <v>0.35416666666666702</v>
      </c>
      <c r="S4" s="45">
        <f t="shared" si="7"/>
        <v>0.85138888888888897</v>
      </c>
      <c r="T4" s="43" t="str">
        <f t="shared" si="8"/>
        <v>- 0:26</v>
      </c>
      <c r="U4" s="46" t="str">
        <f t="shared" si="1"/>
        <v/>
      </c>
      <c r="V4" s="41" t="str">
        <f t="shared" si="2"/>
        <v xml:space="preserve">  </v>
      </c>
      <c r="W4" s="49">
        <v>44991</v>
      </c>
      <c r="X4" s="50">
        <v>44992</v>
      </c>
      <c r="Y4" s="50">
        <v>44993</v>
      </c>
      <c r="Z4" s="50">
        <v>44994</v>
      </c>
      <c r="AA4" s="50">
        <v>44995</v>
      </c>
      <c r="AB4" s="50">
        <v>44996</v>
      </c>
      <c r="AC4" s="70">
        <v>44997</v>
      </c>
      <c r="AD4" s="67"/>
    </row>
    <row r="5" spans="1:31" ht="15" customHeight="1">
      <c r="A5" s="15">
        <f t="shared" si="3"/>
        <v>44989</v>
      </c>
      <c r="B5" s="16">
        <f t="shared" si="9"/>
        <v>7</v>
      </c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29" t="str">
        <f t="shared" si="4"/>
        <v/>
      </c>
      <c r="P5" s="30" t="str">
        <f t="shared" si="5"/>
        <v/>
      </c>
      <c r="Q5" s="43" t="str">
        <f t="shared" si="6"/>
        <v/>
      </c>
      <c r="R5" s="44" t="str">
        <f t="shared" si="0"/>
        <v/>
      </c>
      <c r="S5" s="45" t="str">
        <f t="shared" si="7"/>
        <v/>
      </c>
      <c r="T5" s="43" t="str">
        <f t="shared" si="8"/>
        <v/>
      </c>
      <c r="U5" s="46" t="str">
        <f t="shared" si="1"/>
        <v/>
      </c>
      <c r="V5" s="41" t="str">
        <f t="shared" si="2"/>
        <v xml:space="preserve">Saturday  </v>
      </c>
      <c r="W5" s="49">
        <v>44998</v>
      </c>
      <c r="X5" s="50">
        <v>44999</v>
      </c>
      <c r="Y5" s="50">
        <v>45000</v>
      </c>
      <c r="Z5" s="50">
        <v>45001</v>
      </c>
      <c r="AA5" s="50">
        <v>45002</v>
      </c>
      <c r="AB5" s="50">
        <v>45003</v>
      </c>
      <c r="AC5" s="70">
        <v>45004</v>
      </c>
      <c r="AD5" s="67"/>
    </row>
    <row r="6" spans="1:31" ht="15" customHeight="1">
      <c r="A6" s="15">
        <f t="shared" si="3"/>
        <v>44990</v>
      </c>
      <c r="B6" s="16">
        <f t="shared" si="9"/>
        <v>1</v>
      </c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 t="str">
        <f t="shared" si="5"/>
        <v/>
      </c>
      <c r="Q6" s="43" t="str">
        <f t="shared" si="6"/>
        <v/>
      </c>
      <c r="R6" s="44" t="str">
        <f t="shared" si="0"/>
        <v/>
      </c>
      <c r="S6" s="45" t="str">
        <f t="shared" si="7"/>
        <v/>
      </c>
      <c r="T6" s="43" t="str">
        <f t="shared" si="8"/>
        <v/>
      </c>
      <c r="U6" s="46" t="str">
        <f t="shared" si="1"/>
        <v/>
      </c>
      <c r="V6" s="41" t="str">
        <f t="shared" si="2"/>
        <v xml:space="preserve">Sunday  </v>
      </c>
      <c r="W6" s="49">
        <v>45005</v>
      </c>
      <c r="X6" s="50">
        <v>45006</v>
      </c>
      <c r="Y6" s="50">
        <v>45007</v>
      </c>
      <c r="Z6" s="50">
        <v>45008</v>
      </c>
      <c r="AA6" s="50">
        <v>45009</v>
      </c>
      <c r="AB6" s="50">
        <v>45010</v>
      </c>
      <c r="AC6" s="70">
        <v>45011</v>
      </c>
      <c r="AD6" s="67"/>
    </row>
    <row r="7" spans="1:31" ht="15" customHeight="1">
      <c r="A7" s="15">
        <f t="shared" si="3"/>
        <v>44991</v>
      </c>
      <c r="B7" s="16">
        <f t="shared" si="9"/>
        <v>2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  </v>
      </c>
      <c r="W7" s="49">
        <v>45012</v>
      </c>
      <c r="X7" s="50">
        <v>45013</v>
      </c>
      <c r="Y7" s="50">
        <v>45014</v>
      </c>
      <c r="Z7" s="50">
        <v>45015</v>
      </c>
      <c r="AA7" s="50">
        <v>45016</v>
      </c>
      <c r="AB7" s="50" t="str">
        <v/>
      </c>
      <c r="AC7" s="70" t="str">
        <v/>
      </c>
      <c r="AD7" s="67"/>
    </row>
    <row r="8" spans="1:31" ht="15" customHeight="1">
      <c r="A8" s="15">
        <f t="shared" si="3"/>
        <v>44992</v>
      </c>
      <c r="B8" s="16">
        <f t="shared" si="9"/>
        <v>3</v>
      </c>
      <c r="C8" s="17">
        <v>0.45138888888888901</v>
      </c>
      <c r="D8" s="18">
        <v>0.56944444444444398</v>
      </c>
      <c r="E8" s="17">
        <v>0.59027777777777801</v>
      </c>
      <c r="F8" s="18">
        <v>0.65972222222222199</v>
      </c>
      <c r="G8" s="17">
        <v>0.66319444444444398</v>
      </c>
      <c r="H8" s="18">
        <v>0.8125</v>
      </c>
      <c r="I8" s="17"/>
      <c r="J8" s="18"/>
      <c r="K8" s="17"/>
      <c r="L8" s="18"/>
      <c r="M8" s="17"/>
      <c r="N8" s="18"/>
      <c r="O8" s="29">
        <f t="shared" si="4"/>
        <v>2.4305555555556024E-2</v>
      </c>
      <c r="P8" s="30">
        <f t="shared" si="5"/>
        <v>0.33680555555555497</v>
      </c>
      <c r="Q8" s="43">
        <f t="shared" si="6"/>
        <v>0.36111111111111099</v>
      </c>
      <c r="R8" s="44">
        <f t="shared" si="0"/>
        <v>0.35416666666666702</v>
      </c>
      <c r="S8" s="45">
        <f t="shared" si="7"/>
        <v>0.82986111111111205</v>
      </c>
      <c r="T8" s="43" t="str">
        <f t="shared" si="8"/>
        <v>- 0:25</v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44993</v>
      </c>
      <c r="B9" s="16">
        <f t="shared" si="9"/>
        <v>4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 Holi/Dhuleti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44994</v>
      </c>
      <c r="B10" s="16">
        <f t="shared" si="9"/>
        <v>5</v>
      </c>
      <c r="C10" s="17">
        <v>0.45486111111111099</v>
      </c>
      <c r="D10" s="18">
        <v>0.530555555555556</v>
      </c>
      <c r="E10" s="17">
        <v>0.57291666666666696</v>
      </c>
      <c r="F10" s="18">
        <v>0.8125</v>
      </c>
      <c r="G10" s="17"/>
      <c r="H10" s="18"/>
      <c r="I10" s="17"/>
      <c r="J10" s="18"/>
      <c r="K10" s="17"/>
      <c r="L10" s="18"/>
      <c r="M10" s="17"/>
      <c r="N10" s="18"/>
      <c r="O10" s="29">
        <f t="shared" si="4"/>
        <v>4.2361111111110961E-2</v>
      </c>
      <c r="P10" s="30">
        <f t="shared" si="5"/>
        <v>0.31527777777777805</v>
      </c>
      <c r="Q10" s="43">
        <f t="shared" si="6"/>
        <v>0.35763888888888901</v>
      </c>
      <c r="R10" s="44">
        <f t="shared" si="0"/>
        <v>0.35416666666666702</v>
      </c>
      <c r="S10" s="45">
        <f t="shared" si="7"/>
        <v>0.85138888888888897</v>
      </c>
      <c r="T10" s="43" t="str">
        <f t="shared" si="8"/>
        <v>- 0:56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44995</v>
      </c>
      <c r="B11" s="16">
        <f t="shared" si="9"/>
        <v>6</v>
      </c>
      <c r="C11" s="17">
        <v>0.48749999999999999</v>
      </c>
      <c r="D11" s="18">
        <v>0.54513888888888895</v>
      </c>
      <c r="E11" s="17">
        <v>0.57222222222222197</v>
      </c>
      <c r="F11" s="18">
        <v>0.8125</v>
      </c>
      <c r="G11" s="17"/>
      <c r="H11" s="18"/>
      <c r="I11" s="17"/>
      <c r="J11" s="18"/>
      <c r="K11" s="17"/>
      <c r="L11" s="18"/>
      <c r="M11" s="17"/>
      <c r="N11" s="18"/>
      <c r="O11" s="29">
        <f t="shared" si="4"/>
        <v>2.7083333333333015E-2</v>
      </c>
      <c r="P11" s="30">
        <f t="shared" si="5"/>
        <v>0.297916666666667</v>
      </c>
      <c r="Q11" s="43">
        <f t="shared" si="6"/>
        <v>0.32500000000000001</v>
      </c>
      <c r="R11" s="44">
        <f t="shared" si="0"/>
        <v>0.35416666666666702</v>
      </c>
      <c r="S11" s="45">
        <f t="shared" si="7"/>
        <v>0.86875000000000002</v>
      </c>
      <c r="T11" s="43" t="str">
        <f t="shared" si="8"/>
        <v>- 1:21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44986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44996</v>
      </c>
      <c r="B12" s="16">
        <f t="shared" si="9"/>
        <v>7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Saturday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44997</v>
      </c>
      <c r="B13" s="16">
        <f t="shared" si="9"/>
        <v>1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Sunday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4*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44998</v>
      </c>
      <c r="B14" s="16">
        <f t="shared" si="9"/>
        <v>2</v>
      </c>
      <c r="C14" s="17">
        <v>0.51527777777777795</v>
      </c>
      <c r="D14" s="18">
        <v>0.8125</v>
      </c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>
        <f t="shared" si="5"/>
        <v>0.29722222222222205</v>
      </c>
      <c r="Q14" s="43">
        <f t="shared" si="6"/>
        <v>0.29722222222222205</v>
      </c>
      <c r="R14" s="44">
        <f t="shared" si="0"/>
        <v>0.35416666666666702</v>
      </c>
      <c r="S14" s="45">
        <f t="shared" si="7"/>
        <v>0.86944444444444491</v>
      </c>
      <c r="T14" s="43" t="str">
        <f t="shared" si="8"/>
        <v>- 1:22</v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8 weekends off and 1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44999</v>
      </c>
      <c r="B15" s="16">
        <f t="shared" si="9"/>
        <v>3</v>
      </c>
      <c r="C15" s="17">
        <v>0.47569444444444398</v>
      </c>
      <c r="D15" s="18">
        <v>0.56805555555555598</v>
      </c>
      <c r="E15" s="17">
        <v>0.59027777777777801</v>
      </c>
      <c r="F15" s="18">
        <v>0.77083333333333304</v>
      </c>
      <c r="G15" s="17"/>
      <c r="H15" s="18"/>
      <c r="I15" s="17"/>
      <c r="J15" s="18"/>
      <c r="K15" s="17"/>
      <c r="L15" s="18"/>
      <c r="M15" s="17"/>
      <c r="N15" s="18"/>
      <c r="O15" s="29">
        <f t="shared" si="4"/>
        <v>2.2222222222222032E-2</v>
      </c>
      <c r="P15" s="30">
        <f t="shared" si="5"/>
        <v>0.27291666666666703</v>
      </c>
      <c r="Q15" s="43">
        <f t="shared" si="6"/>
        <v>0.29513888888888906</v>
      </c>
      <c r="R15" s="44">
        <f t="shared" si="0"/>
        <v>0.35416666666666702</v>
      </c>
      <c r="S15" s="45">
        <f t="shared" si="7"/>
        <v>0.85208333333333308</v>
      </c>
      <c r="T15" s="43" t="str">
        <f t="shared" si="8"/>
        <v>- 1:57</v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Mar-23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45000</v>
      </c>
      <c r="B16" s="16">
        <f t="shared" si="9"/>
        <v>4</v>
      </c>
      <c r="C16" s="17">
        <v>0.52916666666666701</v>
      </c>
      <c r="D16" s="18">
        <v>0.65972222222222199</v>
      </c>
      <c r="E16" s="17">
        <v>0.66388888888888897</v>
      </c>
      <c r="F16" s="18">
        <v>0.8125</v>
      </c>
      <c r="G16" s="17"/>
      <c r="H16" s="18"/>
      <c r="I16" s="17"/>
      <c r="J16" s="18"/>
      <c r="K16" s="17"/>
      <c r="L16" s="18"/>
      <c r="M16" s="17"/>
      <c r="N16" s="18"/>
      <c r="O16" s="29">
        <f t="shared" si="4"/>
        <v>4.1666666666669849E-3</v>
      </c>
      <c r="P16" s="30">
        <f t="shared" si="5"/>
        <v>0.27916666666666601</v>
      </c>
      <c r="Q16" s="43">
        <f t="shared" si="6"/>
        <v>0.28333333333333299</v>
      </c>
      <c r="R16" s="44">
        <f t="shared" si="0"/>
        <v>0.35416666666666702</v>
      </c>
      <c r="S16" s="45">
        <f t="shared" si="7"/>
        <v>0.88750000000000107</v>
      </c>
      <c r="T16" s="43" t="str">
        <f t="shared" si="8"/>
        <v>- 1:48</v>
      </c>
      <c r="U16" s="46" t="str">
        <f t="shared" si="1"/>
        <v/>
      </c>
      <c r="V16" s="41" t="str">
        <f t="shared" si="2"/>
        <v xml:space="preserve">  </v>
      </c>
      <c r="W16" s="225" t="str">
        <f>"Break Hours "&amp;TEXT(SUM($O2:$O33),"[h]:mm")</f>
        <v>Break Hours 8:37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45001</v>
      </c>
      <c r="B17" s="16">
        <f t="shared" si="9"/>
        <v>5</v>
      </c>
      <c r="C17" s="17">
        <v>0.46875</v>
      </c>
      <c r="D17" s="18">
        <v>0.56597222222222199</v>
      </c>
      <c r="E17" s="17">
        <v>0.58750000000000002</v>
      </c>
      <c r="F17" s="18">
        <v>0.8125</v>
      </c>
      <c r="G17" s="17"/>
      <c r="H17" s="18"/>
      <c r="I17" s="17"/>
      <c r="J17" s="18"/>
      <c r="K17" s="17"/>
      <c r="L17" s="18"/>
      <c r="M17" s="17"/>
      <c r="N17" s="18"/>
      <c r="O17" s="29">
        <f t="shared" si="4"/>
        <v>2.1527777777778034E-2</v>
      </c>
      <c r="P17" s="30">
        <f t="shared" si="5"/>
        <v>0.32222222222222197</v>
      </c>
      <c r="Q17" s="43">
        <f t="shared" si="6"/>
        <v>0.34375</v>
      </c>
      <c r="R17" s="44">
        <f t="shared" si="0"/>
        <v>0.35416666666666702</v>
      </c>
      <c r="S17" s="45">
        <f t="shared" si="7"/>
        <v>0.844444444444445</v>
      </c>
      <c r="T17" s="43" t="str">
        <f t="shared" si="8"/>
        <v>- 0:46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134:09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1</v>
      </c>
      <c r="AE17" s="74" t="s">
        <v>46</v>
      </c>
    </row>
    <row r="18" spans="1:31" ht="15" customHeight="1">
      <c r="A18" s="15">
        <f t="shared" si="3"/>
        <v>45002</v>
      </c>
      <c r="B18" s="16">
        <f t="shared" si="9"/>
        <v>6</v>
      </c>
      <c r="C18" s="17">
        <v>0.52083333333333304</v>
      </c>
      <c r="D18" s="18">
        <v>0.8125</v>
      </c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29" t="str">
        <f t="shared" si="4"/>
        <v/>
      </c>
      <c r="P18" s="30">
        <f t="shared" si="5"/>
        <v>0.29166666666666696</v>
      </c>
      <c r="Q18" s="43">
        <f t="shared" si="6"/>
        <v>0.29166666666666696</v>
      </c>
      <c r="R18" s="44">
        <f t="shared" si="0"/>
        <v>0.35416666666666702</v>
      </c>
      <c r="S18" s="45">
        <f t="shared" si="7"/>
        <v>0.875</v>
      </c>
      <c r="T18" s="43" t="str">
        <f t="shared" si="8"/>
        <v>- 1:30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153:00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45003</v>
      </c>
      <c r="B19" s="16">
        <f t="shared" si="9"/>
        <v>7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Saturday  </v>
      </c>
      <c r="W19" s="219" t="str">
        <f>"Actual Average Hours "&amp;TEXT(IFERROR(AVERAGEIF($P2:$P33,"&lt;&gt;0",$P2:$P33),""),"[h]:mm")</f>
        <v>Actual Average Hours 7:27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45004</v>
      </c>
      <c r="B20" s="16">
        <f t="shared" si="9"/>
        <v>1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Sunday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45005</v>
      </c>
      <c r="B21" s="16">
        <f t="shared" si="9"/>
        <v>2</v>
      </c>
      <c r="C21" s="17">
        <v>0.47569444444444398</v>
      </c>
      <c r="D21" s="18">
        <v>0.55208333333333304</v>
      </c>
      <c r="E21" s="17">
        <v>0.56944444444444398</v>
      </c>
      <c r="F21" s="18">
        <v>0.8125</v>
      </c>
      <c r="G21" s="17"/>
      <c r="H21" s="18"/>
      <c r="I21" s="17"/>
      <c r="J21" s="18"/>
      <c r="K21" s="17"/>
      <c r="L21" s="18"/>
      <c r="M21" s="17"/>
      <c r="N21" s="18"/>
      <c r="O21" s="29">
        <f t="shared" si="4"/>
        <v>1.7361111111110938E-2</v>
      </c>
      <c r="P21" s="30">
        <f t="shared" si="5"/>
        <v>0.31944444444444509</v>
      </c>
      <c r="Q21" s="43">
        <f t="shared" si="6"/>
        <v>0.33680555555555602</v>
      </c>
      <c r="R21" s="44">
        <f t="shared" si="0"/>
        <v>0.35416666666666702</v>
      </c>
      <c r="S21" s="45">
        <f t="shared" si="7"/>
        <v>0.84722222222222188</v>
      </c>
      <c r="T21" s="43" t="str">
        <f t="shared" si="8"/>
        <v>- 0:50</v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18:51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45006</v>
      </c>
      <c r="B22" s="16">
        <f t="shared" si="9"/>
        <v>3</v>
      </c>
      <c r="C22" s="17">
        <v>0.51597222222222205</v>
      </c>
      <c r="D22" s="18">
        <v>0.57083333333333297</v>
      </c>
      <c r="E22" s="17">
        <v>0.58680555555555602</v>
      </c>
      <c r="F22" s="18">
        <v>0.8125</v>
      </c>
      <c r="G22" s="17"/>
      <c r="H22" s="18"/>
      <c r="I22" s="17"/>
      <c r="J22" s="18"/>
      <c r="K22" s="17"/>
      <c r="L22" s="18"/>
      <c r="M22" s="17"/>
      <c r="N22" s="18"/>
      <c r="O22" s="29">
        <f t="shared" si="4"/>
        <v>1.5972222222223054E-2</v>
      </c>
      <c r="P22" s="30">
        <f t="shared" si="5"/>
        <v>0.28055555555555489</v>
      </c>
      <c r="Q22" s="43">
        <f t="shared" si="6"/>
        <v>0.29652777777777795</v>
      </c>
      <c r="R22" s="44">
        <f t="shared" si="0"/>
        <v>0.35416666666666702</v>
      </c>
      <c r="S22" s="45">
        <f t="shared" si="7"/>
        <v>0.88611111111111218</v>
      </c>
      <c r="T22" s="43" t="str">
        <f t="shared" si="8"/>
        <v>- 1:46</v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142:46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45007</v>
      </c>
      <c r="B23" s="16">
        <f t="shared" si="9"/>
        <v>4</v>
      </c>
      <c r="C23" s="17">
        <v>0.45833333333333298</v>
      </c>
      <c r="D23" s="18">
        <v>0.5625</v>
      </c>
      <c r="E23" s="17">
        <v>0.58333333333333304</v>
      </c>
      <c r="F23" s="18">
        <v>0.8125</v>
      </c>
      <c r="G23" s="17"/>
      <c r="H23" s="18"/>
      <c r="I23" s="17"/>
      <c r="J23" s="18"/>
      <c r="K23" s="17"/>
      <c r="L23" s="18"/>
      <c r="M23" s="17"/>
      <c r="N23" s="18"/>
      <c r="O23" s="29">
        <f t="shared" si="4"/>
        <v>2.0833333333333037E-2</v>
      </c>
      <c r="P23" s="30">
        <f t="shared" si="5"/>
        <v>0.33333333333333398</v>
      </c>
      <c r="Q23" s="43">
        <f t="shared" si="6"/>
        <v>0.35416666666666702</v>
      </c>
      <c r="R23" s="44">
        <f t="shared" si="0"/>
        <v>0.35416666666666702</v>
      </c>
      <c r="S23" s="45">
        <f t="shared" si="7"/>
        <v>0.83333333333333304</v>
      </c>
      <c r="T23" s="43" t="str">
        <f t="shared" si="8"/>
        <v>- 0:30</v>
      </c>
      <c r="U23" s="46" t="str">
        <f t="shared" si="1"/>
        <v/>
      </c>
      <c r="V23" s="41" t="str">
        <f t="shared" si="2"/>
        <v xml:space="preserve">  </v>
      </c>
      <c r="W23" s="228" t="s">
        <v>47</v>
      </c>
      <c r="X23" s="229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45008</v>
      </c>
      <c r="B24" s="16">
        <f t="shared" si="9"/>
        <v>5</v>
      </c>
      <c r="C24" s="17">
        <v>0.48819444444444399</v>
      </c>
      <c r="D24" s="18">
        <v>0.57083333333333297</v>
      </c>
      <c r="E24" s="17">
        <v>0.59097222222222201</v>
      </c>
      <c r="F24" s="18">
        <v>0.8125</v>
      </c>
      <c r="G24" s="17"/>
      <c r="H24" s="18"/>
      <c r="I24" s="17"/>
      <c r="J24" s="18"/>
      <c r="K24" s="17"/>
      <c r="L24" s="18"/>
      <c r="M24" s="17"/>
      <c r="N24" s="18"/>
      <c r="O24" s="29">
        <f t="shared" si="4"/>
        <v>2.0138888888889039E-2</v>
      </c>
      <c r="P24" s="30">
        <f t="shared" si="5"/>
        <v>0.30416666666666697</v>
      </c>
      <c r="Q24" s="43">
        <f t="shared" si="6"/>
        <v>0.32430555555555601</v>
      </c>
      <c r="R24" s="44">
        <f t="shared" si="0"/>
        <v>0.35416666666666702</v>
      </c>
      <c r="S24" s="45">
        <f t="shared" si="7"/>
        <v>0.86250000000000004</v>
      </c>
      <c r="T24" s="43" t="str">
        <f t="shared" si="8"/>
        <v>- 1:12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45009</v>
      </c>
      <c r="B25" s="16">
        <f t="shared" si="9"/>
        <v>6</v>
      </c>
      <c r="C25" s="17">
        <v>0.46527777777777801</v>
      </c>
      <c r="D25" s="18">
        <v>0.56597222222222199</v>
      </c>
      <c r="E25" s="17">
        <v>0.58680555555555602</v>
      </c>
      <c r="F25" s="18">
        <v>0.8125</v>
      </c>
      <c r="G25" s="17"/>
      <c r="H25" s="18"/>
      <c r="I25" s="17"/>
      <c r="J25" s="18"/>
      <c r="K25" s="17"/>
      <c r="L25" s="18"/>
      <c r="M25" s="17"/>
      <c r="N25" s="18"/>
      <c r="O25" s="29">
        <f t="shared" si="4"/>
        <v>2.0833333333334036E-2</v>
      </c>
      <c r="P25" s="30">
        <f t="shared" si="5"/>
        <v>0.32638888888888795</v>
      </c>
      <c r="Q25" s="43">
        <f t="shared" si="6"/>
        <v>0.34722222222222199</v>
      </c>
      <c r="R25" s="44">
        <f t="shared" si="0"/>
        <v>0.35416666666666702</v>
      </c>
      <c r="S25" s="45">
        <f t="shared" si="7"/>
        <v>0.84027777777777901</v>
      </c>
      <c r="T25" s="43" t="str">
        <f t="shared" si="8"/>
        <v>- 0:40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45010</v>
      </c>
      <c r="B26" s="16">
        <f t="shared" si="9"/>
        <v>7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Saturday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45011</v>
      </c>
      <c r="B27" s="16">
        <f t="shared" si="9"/>
        <v>1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Sunday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45012</v>
      </c>
      <c r="B28" s="16">
        <f t="shared" si="9"/>
        <v>2</v>
      </c>
      <c r="C28" s="17">
        <v>0.51805555555555605</v>
      </c>
      <c r="D28" s="18">
        <v>0.65277777777777801</v>
      </c>
      <c r="E28" s="17">
        <v>0.65972222222222199</v>
      </c>
      <c r="F28" s="18">
        <v>0.81944444444444398</v>
      </c>
      <c r="G28" s="17"/>
      <c r="H28" s="18"/>
      <c r="I28" s="17"/>
      <c r="J28" s="18"/>
      <c r="K28" s="17"/>
      <c r="L28" s="18"/>
      <c r="M28" s="17"/>
      <c r="N28" s="18"/>
      <c r="O28" s="29">
        <f t="shared" si="4"/>
        <v>6.9444444444439757E-3</v>
      </c>
      <c r="P28" s="30">
        <f t="shared" si="5"/>
        <v>0.29444444444444395</v>
      </c>
      <c r="Q28" s="43">
        <f t="shared" si="6"/>
        <v>0.30138888888888793</v>
      </c>
      <c r="R28" s="44">
        <f t="shared" si="0"/>
        <v>0.35416666666666702</v>
      </c>
      <c r="S28" s="45">
        <f t="shared" si="7"/>
        <v>0.8791666666666671</v>
      </c>
      <c r="T28" s="43" t="str">
        <f t="shared" si="8"/>
        <v>- 1:26</v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45013</v>
      </c>
      <c r="B29" s="16">
        <f t="shared" si="9"/>
        <v>3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45014</v>
      </c>
      <c r="B30" s="16">
        <f t="shared" si="9"/>
        <v>4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45015</v>
      </c>
      <c r="B31" s="16">
        <f t="shared" si="9"/>
        <v>5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45016</v>
      </c>
      <c r="B32" s="16">
        <f t="shared" si="9"/>
        <v>6</v>
      </c>
      <c r="C32" s="17">
        <v>0.46458333333333302</v>
      </c>
      <c r="D32" s="18">
        <v>0.56597222222222199</v>
      </c>
      <c r="E32" s="17">
        <v>0.58680555555555602</v>
      </c>
      <c r="F32" s="18">
        <v>0.65625</v>
      </c>
      <c r="G32" s="17">
        <v>0.66319444444444398</v>
      </c>
      <c r="H32" s="18">
        <v>0.75</v>
      </c>
      <c r="I32" s="17">
        <v>0.75694444444444398</v>
      </c>
      <c r="J32" s="18">
        <v>0.8125</v>
      </c>
      <c r="K32" s="17"/>
      <c r="L32" s="18"/>
      <c r="M32" s="17"/>
      <c r="N32" s="18"/>
      <c r="O32" s="29">
        <f t="shared" si="4"/>
        <v>3.4722222222221988E-2</v>
      </c>
      <c r="P32" s="30">
        <f t="shared" si="5"/>
        <v>0.313194444444445</v>
      </c>
      <c r="Q32" s="43">
        <f t="shared" si="6"/>
        <v>0.34791666666666698</v>
      </c>
      <c r="R32" s="44">
        <f t="shared" si="0"/>
        <v>0.35416666666666702</v>
      </c>
      <c r="S32" s="45">
        <f t="shared" si="7"/>
        <v>0.85347222222222197</v>
      </c>
      <c r="T32" s="43" t="str">
        <f t="shared" si="8"/>
        <v>- 0:59</v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105" priority="9" stopIfTrue="1">
      <formula>OR($X$11="",MONTH(NOW())&lt;&gt;MONTH($X$11))</formula>
    </cfRule>
  </conditionalFormatting>
  <conditionalFormatting sqref="W15">
    <cfRule type="expression" dxfId="104" priority="4" stopIfTrue="1">
      <formula>TotalLeave&gt;=Yearly_Leaves</formula>
    </cfRule>
  </conditionalFormatting>
  <conditionalFormatting sqref="W1:AC8 W11 AC11 W12:AC22 W24:AC33 U2:V33">
    <cfRule type="expression" dxfId="103" priority="8" stopIfTrue="1">
      <formula>$X$11=""</formula>
    </cfRule>
  </conditionalFormatting>
  <conditionalFormatting sqref="A2:V33">
    <cfRule type="expression" dxfId="102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101" priority="2" stopIfTrue="1">
      <formula>AND(NOT(ISNA(MATCH($A2,hdate,0))),COUNTIF($V2,"*Optional*")&lt;1)</formula>
    </cfRule>
    <cfRule type="expression" dxfId="100" priority="3" stopIfTrue="1">
      <formula>AND($P2&lt;&gt;$R2,$P2&lt;$R2,$D2&lt;&gt;"")</formula>
    </cfRule>
  </conditionalFormatting>
  <conditionalFormatting sqref="U2:V33">
    <cfRule type="expression" dxfId="99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98" priority="5" stopIfTrue="1">
      <formula>W3=TODAY()</formula>
    </cfRule>
    <cfRule type="expression" dxfId="97" priority="6" stopIfTrue="1">
      <formula>NOT(ISNA(MATCH(W3,ldate,0)))</formula>
    </cfRule>
    <cfRule type="expression" dxfId="96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6" activePane="bottomLeft" state="frozen"/>
      <selection pane="bottomLeft" activeCell="M18" sqref="M18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45017</v>
      </c>
      <c r="X1" s="240">
        <f>$X$11</f>
        <v>45017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45012</v>
      </c>
      <c r="AD1" s="67"/>
    </row>
    <row r="2" spans="1:31" ht="15" customHeight="1">
      <c r="A2" s="11">
        <f>IF($X$11="","",DATE(YEAR($X$11),MONTH($X$11),1))</f>
        <v>45017</v>
      </c>
      <c r="B2" s="12">
        <f>IF($A2="","",WEEKDAY(A2))</f>
        <v>7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Saturday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45018</v>
      </c>
      <c r="B3" s="16">
        <f>IF($A3="","",WEEKDAY(A3))</f>
        <v>1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Sunday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>
        <v>45017</v>
      </c>
      <c r="AC3" s="69">
        <v>45018</v>
      </c>
      <c r="AD3" s="67"/>
    </row>
    <row r="4" spans="1:31" ht="15" customHeight="1">
      <c r="A4" s="15">
        <f t="shared" si="3"/>
        <v>45019</v>
      </c>
      <c r="B4" s="16">
        <f t="shared" ref="B4:B33" si="9">IF($A4="","",WEEKDAY(A4))</f>
        <v>2</v>
      </c>
      <c r="C4" s="17">
        <v>0.51805555555555605</v>
      </c>
      <c r="D4" s="18">
        <v>0.65277777777777801</v>
      </c>
      <c r="E4" s="17">
        <v>0.65972222222222199</v>
      </c>
      <c r="F4" s="18">
        <v>0.81944444444444398</v>
      </c>
      <c r="G4" s="17"/>
      <c r="H4" s="18"/>
      <c r="I4" s="17"/>
      <c r="J4" s="18"/>
      <c r="K4" s="17"/>
      <c r="L4" s="18"/>
      <c r="M4" s="17"/>
      <c r="N4" s="18"/>
      <c r="O4" s="29">
        <f t="shared" si="4"/>
        <v>6.9444444444439757E-3</v>
      </c>
      <c r="P4" s="30">
        <f t="shared" si="5"/>
        <v>0.29444444444444395</v>
      </c>
      <c r="Q4" s="43">
        <f t="shared" si="6"/>
        <v>0.30138888888888793</v>
      </c>
      <c r="R4" s="44">
        <f t="shared" si="0"/>
        <v>0.35416666666666702</v>
      </c>
      <c r="S4" s="45">
        <f t="shared" si="7"/>
        <v>0.8791666666666671</v>
      </c>
      <c r="T4" s="43" t="str">
        <f t="shared" si="8"/>
        <v>- 1:26</v>
      </c>
      <c r="U4" s="46" t="str">
        <f t="shared" si="1"/>
        <v/>
      </c>
      <c r="V4" s="41" t="str">
        <f t="shared" si="2"/>
        <v xml:space="preserve">  </v>
      </c>
      <c r="W4" s="49">
        <v>45019</v>
      </c>
      <c r="X4" s="50">
        <v>45020</v>
      </c>
      <c r="Y4" s="50">
        <v>45021</v>
      </c>
      <c r="Z4" s="50">
        <v>45022</v>
      </c>
      <c r="AA4" s="50">
        <v>45023</v>
      </c>
      <c r="AB4" s="50">
        <v>45024</v>
      </c>
      <c r="AC4" s="70">
        <v>45025</v>
      </c>
      <c r="AD4" s="67"/>
    </row>
    <row r="5" spans="1:31" ht="15" customHeight="1">
      <c r="A5" s="15">
        <f t="shared" si="3"/>
        <v>45020</v>
      </c>
      <c r="B5" s="16">
        <f t="shared" si="9"/>
        <v>3</v>
      </c>
      <c r="C5" s="17">
        <v>0.483333333333333</v>
      </c>
      <c r="D5" s="18">
        <v>0.58680555555555602</v>
      </c>
      <c r="E5" s="17">
        <v>0.64305555555555605</v>
      </c>
      <c r="F5" s="18">
        <v>0.8125</v>
      </c>
      <c r="G5" s="17"/>
      <c r="H5" s="18"/>
      <c r="I5" s="17"/>
      <c r="J5" s="18"/>
      <c r="K5" s="17"/>
      <c r="L5" s="18"/>
      <c r="M5" s="17"/>
      <c r="N5" s="18"/>
      <c r="O5" s="29">
        <f t="shared" si="4"/>
        <v>5.6250000000000022E-2</v>
      </c>
      <c r="P5" s="30">
        <f t="shared" si="5"/>
        <v>0.27291666666666697</v>
      </c>
      <c r="Q5" s="43">
        <f t="shared" si="6"/>
        <v>0.329166666666667</v>
      </c>
      <c r="R5" s="44">
        <f t="shared" si="0"/>
        <v>0.35416666666666702</v>
      </c>
      <c r="S5" s="45">
        <f t="shared" si="7"/>
        <v>0.89375000000000004</v>
      </c>
      <c r="T5" s="43" t="str">
        <f t="shared" si="8"/>
        <v>- 1:57</v>
      </c>
      <c r="U5" s="46" t="str">
        <f t="shared" si="1"/>
        <v/>
      </c>
      <c r="V5" s="41" t="str">
        <f t="shared" si="2"/>
        <v xml:space="preserve">  </v>
      </c>
      <c r="W5" s="49">
        <v>45026</v>
      </c>
      <c r="X5" s="50">
        <v>45027</v>
      </c>
      <c r="Y5" s="50">
        <v>45028</v>
      </c>
      <c r="Z5" s="50">
        <v>45029</v>
      </c>
      <c r="AA5" s="50">
        <v>45030</v>
      </c>
      <c r="AB5" s="50">
        <v>45031</v>
      </c>
      <c r="AC5" s="70">
        <v>45032</v>
      </c>
      <c r="AD5" s="67"/>
    </row>
    <row r="6" spans="1:31" ht="15" customHeight="1">
      <c r="A6" s="15">
        <f t="shared" si="3"/>
        <v>45021</v>
      </c>
      <c r="B6" s="16">
        <f t="shared" si="9"/>
        <v>4</v>
      </c>
      <c r="C6" s="17">
        <v>0.47499999999999998</v>
      </c>
      <c r="D6" s="18">
        <v>0.56597222222222199</v>
      </c>
      <c r="E6" s="17">
        <v>0.57986111111111105</v>
      </c>
      <c r="F6" s="18">
        <v>0.66597222222222197</v>
      </c>
      <c r="G6" s="17">
        <v>0.67291666666666705</v>
      </c>
      <c r="H6" s="18">
        <v>0.79166666666666696</v>
      </c>
      <c r="I6" s="17"/>
      <c r="J6" s="18"/>
      <c r="K6" s="17"/>
      <c r="L6" s="18"/>
      <c r="M6" s="17"/>
      <c r="N6" s="18"/>
      <c r="O6" s="29">
        <f t="shared" si="4"/>
        <v>2.0833333333334147E-2</v>
      </c>
      <c r="P6" s="30">
        <f t="shared" si="5"/>
        <v>0.29583333333333284</v>
      </c>
      <c r="Q6" s="43">
        <f t="shared" si="6"/>
        <v>0.31666666666666698</v>
      </c>
      <c r="R6" s="44">
        <f t="shared" si="0"/>
        <v>0.35416666666666702</v>
      </c>
      <c r="S6" s="45">
        <f t="shared" si="7"/>
        <v>0.8500000000000012</v>
      </c>
      <c r="T6" s="43" t="str">
        <f t="shared" si="8"/>
        <v>- 1:24</v>
      </c>
      <c r="U6" s="46" t="str">
        <f t="shared" si="1"/>
        <v/>
      </c>
      <c r="V6" s="41" t="str">
        <f t="shared" si="2"/>
        <v xml:space="preserve">  </v>
      </c>
      <c r="W6" s="49">
        <v>45033</v>
      </c>
      <c r="X6" s="50">
        <v>45034</v>
      </c>
      <c r="Y6" s="50">
        <v>45035</v>
      </c>
      <c r="Z6" s="50">
        <v>45036</v>
      </c>
      <c r="AA6" s="50">
        <v>45037</v>
      </c>
      <c r="AB6" s="50">
        <v>45038</v>
      </c>
      <c r="AC6" s="70">
        <v>45039</v>
      </c>
      <c r="AD6" s="67"/>
    </row>
    <row r="7" spans="1:31" ht="15" customHeight="1">
      <c r="A7" s="15">
        <f t="shared" si="3"/>
        <v>45022</v>
      </c>
      <c r="B7" s="16">
        <f t="shared" si="9"/>
        <v>5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  </v>
      </c>
      <c r="W7" s="49">
        <v>45040</v>
      </c>
      <c r="X7" s="50">
        <v>45041</v>
      </c>
      <c r="Y7" s="50">
        <v>45042</v>
      </c>
      <c r="Z7" s="50">
        <v>45043</v>
      </c>
      <c r="AA7" s="50">
        <v>45044</v>
      </c>
      <c r="AB7" s="50">
        <v>45045</v>
      </c>
      <c r="AC7" s="70">
        <v>45046</v>
      </c>
      <c r="AD7" s="67"/>
    </row>
    <row r="8" spans="1:31" ht="15" customHeight="1">
      <c r="A8" s="15">
        <f t="shared" si="3"/>
        <v>45023</v>
      </c>
      <c r="B8" s="16">
        <f t="shared" si="9"/>
        <v>6</v>
      </c>
      <c r="C8" s="17">
        <v>0.48958333333333298</v>
      </c>
      <c r="D8" s="18">
        <v>0.563194444444444</v>
      </c>
      <c r="E8" s="17">
        <v>0.57916666666666705</v>
      </c>
      <c r="F8" s="18">
        <v>0.65277777777777801</v>
      </c>
      <c r="G8" s="17">
        <v>0.65625</v>
      </c>
      <c r="H8" s="18">
        <v>0.8125</v>
      </c>
      <c r="I8" s="17"/>
      <c r="J8" s="18"/>
      <c r="K8" s="17"/>
      <c r="L8" s="18"/>
      <c r="M8" s="17"/>
      <c r="N8" s="18"/>
      <c r="O8" s="29">
        <f t="shared" si="4"/>
        <v>1.9444444444445041E-2</v>
      </c>
      <c r="P8" s="30">
        <f t="shared" si="5"/>
        <v>0.30347222222222198</v>
      </c>
      <c r="Q8" s="43">
        <f t="shared" si="6"/>
        <v>0.32291666666666702</v>
      </c>
      <c r="R8" s="44">
        <f t="shared" si="0"/>
        <v>0.35416666666666702</v>
      </c>
      <c r="S8" s="45">
        <f t="shared" si="7"/>
        <v>0.86319444444444504</v>
      </c>
      <c r="T8" s="43" t="str">
        <f t="shared" si="8"/>
        <v>- 1:13</v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45024</v>
      </c>
      <c r="B9" s="16">
        <f t="shared" si="9"/>
        <v>7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Saturday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45025</v>
      </c>
      <c r="B10" s="16">
        <f t="shared" si="9"/>
        <v>1</v>
      </c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4"/>
        <v/>
      </c>
      <c r="P10" s="30" t="str">
        <f t="shared" si="5"/>
        <v/>
      </c>
      <c r="Q10" s="43" t="str">
        <f t="shared" si="6"/>
        <v/>
      </c>
      <c r="R10" s="44" t="str">
        <f t="shared" si="0"/>
        <v/>
      </c>
      <c r="S10" s="45" t="str">
        <f t="shared" si="7"/>
        <v/>
      </c>
      <c r="T10" s="43" t="str">
        <f t="shared" si="8"/>
        <v/>
      </c>
      <c r="U10" s="46" t="str">
        <f t="shared" si="1"/>
        <v/>
      </c>
      <c r="V10" s="41" t="str">
        <f t="shared" si="2"/>
        <v xml:space="preserve">Sunday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45026</v>
      </c>
      <c r="B11" s="16">
        <f t="shared" si="9"/>
        <v>2</v>
      </c>
      <c r="C11" s="17">
        <v>0.49652777777777801</v>
      </c>
      <c r="D11" s="18">
        <v>0.57291666666666696</v>
      </c>
      <c r="E11" s="17">
        <v>0.58680555555555602</v>
      </c>
      <c r="F11" s="18">
        <v>0.65972222222222199</v>
      </c>
      <c r="G11" s="17">
        <v>0.66319444444444398</v>
      </c>
      <c r="H11" s="18">
        <v>0.8125</v>
      </c>
      <c r="I11" s="17"/>
      <c r="J11" s="18"/>
      <c r="K11" s="17"/>
      <c r="L11" s="18"/>
      <c r="M11" s="17"/>
      <c r="N11" s="18"/>
      <c r="O11" s="29">
        <f t="shared" si="4"/>
        <v>1.7361111111111049E-2</v>
      </c>
      <c r="P11" s="30">
        <f t="shared" si="5"/>
        <v>0.29861111111111094</v>
      </c>
      <c r="Q11" s="43">
        <f t="shared" si="6"/>
        <v>0.31597222222222199</v>
      </c>
      <c r="R11" s="44">
        <f t="shared" si="0"/>
        <v>0.35416666666666702</v>
      </c>
      <c r="S11" s="45">
        <f t="shared" si="7"/>
        <v>0.86805555555555602</v>
      </c>
      <c r="T11" s="43" t="str">
        <f t="shared" si="8"/>
        <v>- 1:20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45017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45027</v>
      </c>
      <c r="B12" s="16">
        <f t="shared" si="9"/>
        <v>3</v>
      </c>
      <c r="C12" s="17">
        <v>0.47986111111111102</v>
      </c>
      <c r="D12" s="18">
        <v>0.65833333333333299</v>
      </c>
      <c r="E12" s="17">
        <v>0.66111111111111098</v>
      </c>
      <c r="F12" s="18">
        <v>0.69097222222222199</v>
      </c>
      <c r="G12" s="17">
        <v>0.70138888888888895</v>
      </c>
      <c r="H12" s="18">
        <v>0.8125</v>
      </c>
      <c r="I12" s="17"/>
      <c r="J12" s="18"/>
      <c r="K12" s="17"/>
      <c r="L12" s="18"/>
      <c r="M12" s="17"/>
      <c r="N12" s="18"/>
      <c r="O12" s="29">
        <f t="shared" si="4"/>
        <v>1.3194444444444953E-2</v>
      </c>
      <c r="P12" s="30">
        <f t="shared" si="5"/>
        <v>0.31944444444444403</v>
      </c>
      <c r="Q12" s="43">
        <f t="shared" si="6"/>
        <v>0.33263888888888898</v>
      </c>
      <c r="R12" s="44">
        <f t="shared" si="0"/>
        <v>0.35416666666666702</v>
      </c>
      <c r="S12" s="45">
        <f t="shared" si="7"/>
        <v>0.84722222222222299</v>
      </c>
      <c r="T12" s="43" t="str">
        <f t="shared" si="8"/>
        <v>- 0:50</v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30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45028</v>
      </c>
      <c r="B13" s="16">
        <f t="shared" si="9"/>
        <v>4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4*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30</v>
      </c>
      <c r="AE13" s="74"/>
    </row>
    <row r="14" spans="1:31" ht="15" customHeight="1">
      <c r="A14" s="15">
        <f t="shared" si="3"/>
        <v>45029</v>
      </c>
      <c r="B14" s="16">
        <f t="shared" si="9"/>
        <v>5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10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45030</v>
      </c>
      <c r="B15" s="16">
        <f t="shared" si="9"/>
        <v>6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Apr-23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5</v>
      </c>
      <c r="AE15" s="74"/>
    </row>
    <row r="16" spans="1:31" ht="15" customHeight="1">
      <c r="A16" s="15">
        <f t="shared" si="3"/>
        <v>45031</v>
      </c>
      <c r="B16" s="16">
        <f t="shared" si="9"/>
        <v>7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Saturday  </v>
      </c>
      <c r="W16" s="225" t="str">
        <f>"Break Hours "&amp;TEXT(SUM($O2:$O33),"[h]:mm")</f>
        <v>Break Hours 9:01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45032</v>
      </c>
      <c r="B17" s="16">
        <f t="shared" si="9"/>
        <v>1</v>
      </c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29" t="str">
        <f t="shared" si="4"/>
        <v/>
      </c>
      <c r="P17" s="30" t="str">
        <f t="shared" si="5"/>
        <v/>
      </c>
      <c r="Q17" s="43" t="str">
        <f t="shared" si="6"/>
        <v/>
      </c>
      <c r="R17" s="44" t="str">
        <f t="shared" si="0"/>
        <v/>
      </c>
      <c r="S17" s="45" t="str">
        <f t="shared" si="7"/>
        <v/>
      </c>
      <c r="T17" s="43" t="str">
        <f t="shared" si="8"/>
        <v/>
      </c>
      <c r="U17" s="46" t="str">
        <f t="shared" si="1"/>
        <v/>
      </c>
      <c r="V17" s="41" t="str">
        <f t="shared" si="2"/>
        <v xml:space="preserve">Sunday  </v>
      </c>
      <c r="W17" s="219" t="str">
        <f>"Actual work Hours "&amp;TEXT(SUM($P2:$P33),"[h]:mm")</f>
        <v>Actual work Hours 119:29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45033</v>
      </c>
      <c r="B18" s="16">
        <f t="shared" si="9"/>
        <v>2</v>
      </c>
      <c r="C18" s="17">
        <v>0.484027777777778</v>
      </c>
      <c r="D18" s="18">
        <v>0.56597222222222199</v>
      </c>
      <c r="E18" s="17">
        <v>0.58333333333333304</v>
      </c>
      <c r="F18" s="18">
        <v>0.70833333333333304</v>
      </c>
      <c r="G18" s="17">
        <v>0.72916666666666696</v>
      </c>
      <c r="H18" s="18">
        <v>0.8125</v>
      </c>
      <c r="I18" s="17"/>
      <c r="J18" s="18"/>
      <c r="K18" s="17"/>
      <c r="L18" s="18"/>
      <c r="M18" s="17"/>
      <c r="N18" s="18"/>
      <c r="O18" s="29">
        <f t="shared" si="4"/>
        <v>3.8194444444444975E-2</v>
      </c>
      <c r="P18" s="30">
        <f t="shared" si="5"/>
        <v>0.29027777777777702</v>
      </c>
      <c r="Q18" s="43">
        <f t="shared" si="6"/>
        <v>0.328472222222222</v>
      </c>
      <c r="R18" s="44">
        <f t="shared" si="0"/>
        <v>0.35416666666666702</v>
      </c>
      <c r="S18" s="45">
        <f t="shared" si="7"/>
        <v>0.87638888888888999</v>
      </c>
      <c r="T18" s="43" t="str">
        <f t="shared" si="8"/>
        <v>- 1:32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136:00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45034</v>
      </c>
      <c r="B19" s="16">
        <f t="shared" si="9"/>
        <v>3</v>
      </c>
      <c r="C19" s="17">
        <v>0.48611111111111099</v>
      </c>
      <c r="D19" s="18">
        <v>0.55486111111111103</v>
      </c>
      <c r="E19" s="17">
        <v>0.57638888888888895</v>
      </c>
      <c r="F19" s="18">
        <v>0.8125</v>
      </c>
      <c r="G19" s="17"/>
      <c r="H19" s="18"/>
      <c r="I19" s="17"/>
      <c r="J19" s="18"/>
      <c r="K19" s="17"/>
      <c r="L19" s="18"/>
      <c r="M19" s="17"/>
      <c r="N19" s="18"/>
      <c r="O19" s="29">
        <f t="shared" si="4"/>
        <v>2.1527777777777923E-2</v>
      </c>
      <c r="P19" s="30">
        <f t="shared" si="5"/>
        <v>0.30486111111111108</v>
      </c>
      <c r="Q19" s="43">
        <f t="shared" si="6"/>
        <v>0.32638888888888901</v>
      </c>
      <c r="R19" s="44">
        <f t="shared" si="0"/>
        <v>0.35416666666666702</v>
      </c>
      <c r="S19" s="45">
        <f t="shared" si="7"/>
        <v>0.86180555555555594</v>
      </c>
      <c r="T19" s="43" t="str">
        <f t="shared" si="8"/>
        <v>- 1:11</v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7:28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45035</v>
      </c>
      <c r="B20" s="16">
        <f t="shared" si="9"/>
        <v>4</v>
      </c>
      <c r="C20" s="17">
        <v>0.483333333333333</v>
      </c>
      <c r="D20" s="18">
        <v>0.5625</v>
      </c>
      <c r="E20" s="17">
        <v>0.58125000000000004</v>
      </c>
      <c r="F20" s="18">
        <v>0.83333333333333304</v>
      </c>
      <c r="G20" s="17"/>
      <c r="H20" s="18"/>
      <c r="I20" s="17"/>
      <c r="J20" s="18"/>
      <c r="K20" s="17"/>
      <c r="L20" s="18"/>
      <c r="M20" s="17"/>
      <c r="N20" s="18"/>
      <c r="O20" s="29">
        <f t="shared" si="4"/>
        <v>1.8750000000000044E-2</v>
      </c>
      <c r="P20" s="30">
        <f t="shared" si="5"/>
        <v>0.33124999999999999</v>
      </c>
      <c r="Q20" s="43">
        <f t="shared" si="6"/>
        <v>0.35000000000000003</v>
      </c>
      <c r="R20" s="44">
        <f t="shared" si="0"/>
        <v>0.35416666666666702</v>
      </c>
      <c r="S20" s="45">
        <f t="shared" si="7"/>
        <v>0.85625000000000007</v>
      </c>
      <c r="T20" s="43" t="str">
        <f t="shared" si="8"/>
        <v>- 0:33</v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45036</v>
      </c>
      <c r="B21" s="16">
        <f t="shared" si="9"/>
        <v>5</v>
      </c>
      <c r="C21" s="17">
        <v>0.46319444444444402</v>
      </c>
      <c r="D21" s="18">
        <v>0.54166666666666696</v>
      </c>
      <c r="E21" s="17">
        <v>0.5625</v>
      </c>
      <c r="F21" s="18">
        <v>0.81944444444444398</v>
      </c>
      <c r="G21" s="17"/>
      <c r="H21" s="18"/>
      <c r="I21" s="17"/>
      <c r="J21" s="18"/>
      <c r="K21" s="17"/>
      <c r="L21" s="18"/>
      <c r="M21" s="17"/>
      <c r="N21" s="18"/>
      <c r="O21" s="29">
        <f t="shared" si="4"/>
        <v>2.0833333333333037E-2</v>
      </c>
      <c r="P21" s="30">
        <f t="shared" si="5"/>
        <v>0.33541666666666692</v>
      </c>
      <c r="Q21" s="43">
        <f t="shared" si="6"/>
        <v>0.35624999999999996</v>
      </c>
      <c r="R21" s="44">
        <f t="shared" si="0"/>
        <v>0.35416666666666702</v>
      </c>
      <c r="S21" s="45">
        <f t="shared" si="7"/>
        <v>0.83819444444444402</v>
      </c>
      <c r="T21" s="43" t="str">
        <f t="shared" si="8"/>
        <v>- 0:27</v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16:31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45037</v>
      </c>
      <c r="B22" s="16">
        <f t="shared" si="9"/>
        <v>6</v>
      </c>
      <c r="C22" s="17">
        <v>0.46458333333333302</v>
      </c>
      <c r="D22" s="18">
        <v>0.56597222222222199</v>
      </c>
      <c r="E22" s="17">
        <v>0.59375</v>
      </c>
      <c r="F22" s="18">
        <v>0.64930555555555602</v>
      </c>
      <c r="G22" s="17">
        <v>0.65625</v>
      </c>
      <c r="H22" s="18">
        <v>0.8125</v>
      </c>
      <c r="I22" s="17"/>
      <c r="J22" s="18"/>
      <c r="K22" s="17"/>
      <c r="L22" s="18"/>
      <c r="M22" s="17"/>
      <c r="N22" s="18"/>
      <c r="O22" s="29">
        <f t="shared" si="4"/>
        <v>3.4722222222221988E-2</v>
      </c>
      <c r="P22" s="30">
        <f t="shared" si="5"/>
        <v>0.313194444444445</v>
      </c>
      <c r="Q22" s="43">
        <f t="shared" si="6"/>
        <v>0.34791666666666698</v>
      </c>
      <c r="R22" s="44">
        <f t="shared" si="0"/>
        <v>0.35416666666666702</v>
      </c>
      <c r="S22" s="45">
        <f t="shared" si="7"/>
        <v>0.85347222222222197</v>
      </c>
      <c r="T22" s="43" t="str">
        <f t="shared" si="8"/>
        <v>- 0:59</v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128:30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45038</v>
      </c>
      <c r="B23" s="16">
        <f t="shared" si="9"/>
        <v>7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Saturday  </v>
      </c>
      <c r="W23" s="228" t="s">
        <v>47</v>
      </c>
      <c r="X23" s="229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45039</v>
      </c>
      <c r="B24" s="16">
        <f t="shared" si="9"/>
        <v>1</v>
      </c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29" t="str">
        <f t="shared" si="4"/>
        <v/>
      </c>
      <c r="P24" s="30" t="str">
        <f t="shared" si="5"/>
        <v/>
      </c>
      <c r="Q24" s="43" t="str">
        <f t="shared" si="6"/>
        <v/>
      </c>
      <c r="R24" s="44" t="str">
        <f t="shared" si="0"/>
        <v/>
      </c>
      <c r="S24" s="45" t="str">
        <f t="shared" si="7"/>
        <v/>
      </c>
      <c r="T24" s="43" t="str">
        <f t="shared" si="8"/>
        <v/>
      </c>
      <c r="U24" s="46" t="str">
        <f t="shared" si="1"/>
        <v/>
      </c>
      <c r="V24" s="41" t="str">
        <f t="shared" si="2"/>
        <v xml:space="preserve">Sunday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45040</v>
      </c>
      <c r="B25" s="16">
        <f t="shared" si="9"/>
        <v>2</v>
      </c>
      <c r="C25" s="17">
        <v>0.49652777777777801</v>
      </c>
      <c r="D25" s="18">
        <v>0.54513888888888895</v>
      </c>
      <c r="E25" s="17">
        <v>0.57222222222222197</v>
      </c>
      <c r="F25" s="18">
        <v>0.67013888888888895</v>
      </c>
      <c r="G25" s="17">
        <v>0.67708333333333304</v>
      </c>
      <c r="H25" s="18">
        <v>0.8125</v>
      </c>
      <c r="I25" s="17"/>
      <c r="J25" s="18"/>
      <c r="K25" s="17"/>
      <c r="L25" s="18"/>
      <c r="M25" s="17"/>
      <c r="N25" s="18"/>
      <c r="O25" s="29">
        <f t="shared" si="4"/>
        <v>3.4027777777777102E-2</v>
      </c>
      <c r="P25" s="30">
        <f t="shared" si="5"/>
        <v>0.28194444444444489</v>
      </c>
      <c r="Q25" s="43">
        <f t="shared" si="6"/>
        <v>0.31597222222222199</v>
      </c>
      <c r="R25" s="44">
        <f t="shared" si="0"/>
        <v>0.35416666666666702</v>
      </c>
      <c r="S25" s="45">
        <f t="shared" si="7"/>
        <v>0.88472222222222219</v>
      </c>
      <c r="T25" s="43" t="str">
        <f t="shared" si="8"/>
        <v>- 1:44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45041</v>
      </c>
      <c r="B26" s="16">
        <f t="shared" si="9"/>
        <v>3</v>
      </c>
      <c r="C26" s="17">
        <v>0.47083333333333299</v>
      </c>
      <c r="D26" s="18">
        <v>0.55555555555555602</v>
      </c>
      <c r="E26" s="17">
        <v>0.58819444444444402</v>
      </c>
      <c r="F26" s="18">
        <v>0.83333333333333304</v>
      </c>
      <c r="G26" s="17"/>
      <c r="H26" s="18"/>
      <c r="I26" s="17"/>
      <c r="J26" s="18"/>
      <c r="K26" s="17"/>
      <c r="L26" s="18"/>
      <c r="M26" s="17"/>
      <c r="N26" s="18"/>
      <c r="O26" s="29">
        <f t="shared" si="4"/>
        <v>3.2638888888887996E-2</v>
      </c>
      <c r="P26" s="30">
        <f t="shared" si="5"/>
        <v>0.32986111111111205</v>
      </c>
      <c r="Q26" s="43">
        <f t="shared" si="6"/>
        <v>0.36250000000000004</v>
      </c>
      <c r="R26" s="44">
        <f t="shared" si="0"/>
        <v>0.35416666666666702</v>
      </c>
      <c r="S26" s="45">
        <f t="shared" si="7"/>
        <v>0.85763888888888795</v>
      </c>
      <c r="T26" s="43" t="str">
        <f t="shared" si="8"/>
        <v>- 0:35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45042</v>
      </c>
      <c r="B27" s="16">
        <f t="shared" si="9"/>
        <v>4</v>
      </c>
      <c r="C27" s="17">
        <v>0.46250000000000002</v>
      </c>
      <c r="D27" s="18">
        <v>0.79166666666666696</v>
      </c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>
        <f t="shared" si="5"/>
        <v>0.32916666666666694</v>
      </c>
      <c r="Q27" s="43">
        <f t="shared" si="6"/>
        <v>0.32916666666666694</v>
      </c>
      <c r="R27" s="44">
        <f t="shared" si="0"/>
        <v>0.35416666666666702</v>
      </c>
      <c r="S27" s="45">
        <f t="shared" si="7"/>
        <v>0.8166666666666671</v>
      </c>
      <c r="T27" s="43" t="str">
        <f t="shared" si="8"/>
        <v>- 0:36</v>
      </c>
      <c r="U27" s="46" t="str">
        <f t="shared" si="1"/>
        <v/>
      </c>
      <c r="V27" s="41" t="str">
        <f t="shared" si="2"/>
        <v xml:space="preserve">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45043</v>
      </c>
      <c r="B28" s="16">
        <f t="shared" si="9"/>
        <v>5</v>
      </c>
      <c r="C28" s="17">
        <v>0.47916666666666702</v>
      </c>
      <c r="D28" s="18">
        <v>0.57638888888888895</v>
      </c>
      <c r="E28" s="17">
        <v>0.59722222222222199</v>
      </c>
      <c r="F28" s="18">
        <v>0.6875</v>
      </c>
      <c r="G28" s="17">
        <v>0.69444444444444398</v>
      </c>
      <c r="H28" s="18">
        <v>0.84027777777777801</v>
      </c>
      <c r="I28" s="17"/>
      <c r="J28" s="18"/>
      <c r="K28" s="17"/>
      <c r="L28" s="18"/>
      <c r="M28" s="17"/>
      <c r="N28" s="18"/>
      <c r="O28" s="29">
        <f t="shared" si="4"/>
        <v>2.7777777777777013E-2</v>
      </c>
      <c r="P28" s="30">
        <f t="shared" si="5"/>
        <v>0.33333333333333398</v>
      </c>
      <c r="Q28" s="43">
        <f t="shared" si="6"/>
        <v>0.36111111111111099</v>
      </c>
      <c r="R28" s="44">
        <f t="shared" si="0"/>
        <v>0.35416666666666702</v>
      </c>
      <c r="S28" s="45">
        <f t="shared" si="7"/>
        <v>0.86111111111111105</v>
      </c>
      <c r="T28" s="43" t="str">
        <f t="shared" si="8"/>
        <v>- 0:30</v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45044</v>
      </c>
      <c r="B29" s="16">
        <f t="shared" si="9"/>
        <v>6</v>
      </c>
      <c r="C29" s="17">
        <v>0.43402777777777801</v>
      </c>
      <c r="D29" s="18">
        <v>0.56597222222222199</v>
      </c>
      <c r="E29" s="17">
        <v>0.56944444444444398</v>
      </c>
      <c r="F29" s="18">
        <v>0.68055555555555602</v>
      </c>
      <c r="G29" s="17">
        <v>0.6875</v>
      </c>
      <c r="H29" s="18">
        <v>0.71388888888888902</v>
      </c>
      <c r="I29" s="17">
        <v>0.71666666666666701</v>
      </c>
      <c r="J29" s="18">
        <v>0.79166666666666696</v>
      </c>
      <c r="K29" s="17"/>
      <c r="L29" s="18"/>
      <c r="M29" s="17"/>
      <c r="N29" s="18"/>
      <c r="O29" s="29">
        <f t="shared" si="4"/>
        <v>1.3194444444443953E-2</v>
      </c>
      <c r="P29" s="30">
        <f t="shared" si="5"/>
        <v>0.344444444444445</v>
      </c>
      <c r="Q29" s="43">
        <f t="shared" si="6"/>
        <v>0.35763888888888895</v>
      </c>
      <c r="R29" s="44">
        <f t="shared" si="0"/>
        <v>0.35416666666666702</v>
      </c>
      <c r="S29" s="45">
        <f t="shared" si="7"/>
        <v>0.80138888888888893</v>
      </c>
      <c r="T29" s="43" t="str">
        <f t="shared" si="8"/>
        <v>- 0:14</v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45045</v>
      </c>
      <c r="B30" s="16">
        <f t="shared" si="9"/>
        <v>7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Saturday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45046</v>
      </c>
      <c r="B31" s="16">
        <f t="shared" si="9"/>
        <v>1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Sunday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 t="str">
        <f t="shared" si="3"/>
        <v/>
      </c>
      <c r="B32" s="16" t="str">
        <f t="shared" si="9"/>
        <v/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C4:F4">
    <cfRule type="expression" dxfId="95" priority="3" stopIfTrue="1">
      <formula>AND($P4&lt;&gt;$R4,$P4&lt;$R4,$D4&lt;&gt;"")</formula>
    </cfRule>
    <cfRule type="expression" dxfId="94" priority="2" stopIfTrue="1">
      <formula>AND(NOT(ISNA(MATCH($A4,hdate,0))),COUNTIF($V4,"*Optional*")&lt;1)</formula>
    </cfRule>
    <cfRule type="expression" dxfId="93" priority="1" stopIfTrue="1">
      <formula>OR(OR(AND(WOFF1_DAYNAME&lt;&gt;WOFF2_DAYNAME,OR($A4=(DATE(YEAR($A4),MONTH($A4),1+7*WOFF1_CONFIG_NO1)-WEEKDAY(DATE(YEAR($A4),MONTH($A4),8-WOFF1_DAYNO))),$A4=(DATE(YEAR($A4),MONTH($A4),1+7*WOFF1_CONFIG_NO2)-WEEKDAY(DATE(YEAR($A4),MONTH($A4),8-WOFF1_DAYNO))))),AND(WOFF1_DAYNAME&lt;&gt;WOFF2_DAYNAME,OR($A4=(DATE(YEAR($A4),MONTH($A4),1+7*WOFF2_CONFIG_NO1)-WEEKDAY(DATE(YEAR($A4),MONTH($A4),8-WOFF2_DAYNO))),$A4=(DATE(YEAR($A4),MONTH($A4),1+7*WOFF2_CONFIG_NO2)-WEEKDAY(DATE(YEAR($A4),MONTH($A4),8-WOFF2_DAYNO)))))),OR(AND(WOFF1_DAYNAME&lt;&gt;WOFF2_DAYNAME,WOFF1_SELECT="All",WEEKDAY($A4)=WOFF1_DAYNO),AND(WOFF1_DAYNAME&lt;&gt;WOFF2_DAYNAME,WOFF2_SELECT="All",WEEKDAY($A4)=WOFF2_DAYNO)),OR(AND(WOFF1_DAYNAME&lt;&gt;WOFF2_DAYNAME,WOFF1_SELECT="Last",$A4=EOMONTH($A4,0)-WEEKDAY(EOMONTH($A4,0)+WOFF1_LASTDAYNO)+1),AND(WOFF1_DAYNAME&lt;&gt;WOFF2_DAYNAME,WOFF2_SELECT="Last",$A4=EOMONTH($A4,0)-WEEKDAY(EOMONTH($A4,0)+WOFF2_LASTDAYNO)+1)))</formula>
    </cfRule>
  </conditionalFormatting>
  <conditionalFormatting sqref="W9">
    <cfRule type="expression" dxfId="92" priority="12" stopIfTrue="1">
      <formula>OR($X$11="",MONTH(NOW())&lt;&gt;MONTH($X$11))</formula>
    </cfRule>
  </conditionalFormatting>
  <conditionalFormatting sqref="W15">
    <cfRule type="expression" dxfId="91" priority="7" stopIfTrue="1">
      <formula>TotalLeave&gt;=Yearly_Leaves</formula>
    </cfRule>
  </conditionalFormatting>
  <conditionalFormatting sqref="W1:AC8 W11 AC11 W12:AC22 W24:AC33 U2:V33">
    <cfRule type="expression" dxfId="90" priority="11" stopIfTrue="1">
      <formula>$X$11=""</formula>
    </cfRule>
  </conditionalFormatting>
  <conditionalFormatting sqref="A2:V3 A4:B4 G4:V4 A5:V33">
    <cfRule type="expression" dxfId="89" priority="4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88" priority="5" stopIfTrue="1">
      <formula>AND(NOT(ISNA(MATCH($A2,hdate,0))),COUNTIF($V2,"*Optional*")&lt;1)</formula>
    </cfRule>
    <cfRule type="expression" dxfId="87" priority="6" stopIfTrue="1">
      <formula>AND($P2&lt;&gt;$R2,$P2&lt;$R2,$D2&lt;&gt;"")</formula>
    </cfRule>
  </conditionalFormatting>
  <conditionalFormatting sqref="U2:V33">
    <cfRule type="expression" dxfId="86" priority="13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85" priority="8" stopIfTrue="1">
      <formula>W3=TODAY()</formula>
    </cfRule>
    <cfRule type="expression" dxfId="84" priority="9" stopIfTrue="1">
      <formula>NOT(ISNA(MATCH(W3,ldate,0)))</formula>
    </cfRule>
    <cfRule type="expression" dxfId="83" priority="10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10" activePane="bottomLeft" state="frozen"/>
      <selection pane="bottomLeft" activeCell="J22" sqref="J22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45047</v>
      </c>
      <c r="X1" s="240">
        <f>$X$11</f>
        <v>45047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45047</v>
      </c>
      <c r="AD1" s="67"/>
    </row>
    <row r="2" spans="1:31" ht="15" customHeight="1">
      <c r="A2" s="11">
        <f>IF($X$11="","",DATE(YEAR($X$11),MONTH($X$11),1))</f>
        <v>45047</v>
      </c>
      <c r="B2" s="12">
        <f>IF($A2="","",WEEKDAY(A2))</f>
        <v>2</v>
      </c>
      <c r="C2" s="13">
        <v>0.484722222222222</v>
      </c>
      <c r="D2" s="14">
        <v>0.56944444444444398</v>
      </c>
      <c r="E2" s="13">
        <v>0.59027777777777801</v>
      </c>
      <c r="F2" s="14">
        <v>0.65347222222222201</v>
      </c>
      <c r="G2" s="13">
        <v>0.66111111111111098</v>
      </c>
      <c r="H2" s="14">
        <v>0.81944444444444398</v>
      </c>
      <c r="I2" s="13"/>
      <c r="J2" s="14"/>
      <c r="K2" s="13"/>
      <c r="L2" s="14"/>
      <c r="M2" s="13"/>
      <c r="N2" s="14"/>
      <c r="O2" s="27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>2.8472222222223009E-2</v>
      </c>
      <c r="P2" s="28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>0.30624999999999897</v>
      </c>
      <c r="Q2" s="37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>0.33472222222222198</v>
      </c>
      <c r="R2" s="38">
        <f t="shared" ref="R2:R33" si="0">IF(IFERROR(VLOOKUP($A2,Leave,2,FALSE),"")="Half Leave",Half_Day_Time,IF($C2&lt;&gt;"",Full_Day_Time,""))</f>
        <v>0.35416666666666702</v>
      </c>
      <c r="S2" s="39">
        <f>IF(AND($C2&lt;&gt;"",$O2=""),($C2+$R2),IF($C2&lt;&gt;"",($C2+($R2+$O2)),""))</f>
        <v>0.86736111111111203</v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>- 1:09</v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45048</v>
      </c>
      <c r="B3" s="16">
        <f>IF($A3="","",WEEKDAY(A3))</f>
        <v>3</v>
      </c>
      <c r="C3" s="17">
        <v>0.46666666666666701</v>
      </c>
      <c r="D3" s="18">
        <v>0.56597222222222199</v>
      </c>
      <c r="E3" s="17">
        <v>0.58333333333333304</v>
      </c>
      <c r="F3" s="18">
        <v>0.8125</v>
      </c>
      <c r="G3" s="17"/>
      <c r="H3" s="18"/>
      <c r="I3" s="17"/>
      <c r="J3" s="18"/>
      <c r="K3" s="17"/>
      <c r="L3" s="18"/>
      <c r="M3" s="17"/>
      <c r="N3" s="18"/>
      <c r="O3" s="29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>1.7361111111111049E-2</v>
      </c>
      <c r="P3" s="30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0.32847222222222194</v>
      </c>
      <c r="Q3" s="43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0.34583333333333299</v>
      </c>
      <c r="R3" s="44">
        <f t="shared" si="0"/>
        <v>0.35416666666666702</v>
      </c>
      <c r="S3" s="45">
        <f t="shared" ref="S3:S33" si="7">IF(AND($C3&lt;&gt;"",$O3=""),($C3+$R3),IF($C3&lt;&gt;"",($C3+($R3+$O3)),""))</f>
        <v>0.83819444444444513</v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- 0:37</v>
      </c>
      <c r="U3" s="46" t="str">
        <f t="shared" si="1"/>
        <v/>
      </c>
      <c r="V3" s="41" t="str">
        <f t="shared" si="2"/>
        <v xml:space="preserve">  </v>
      </c>
      <c r="W3" s="47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>45047</v>
      </c>
      <c r="X3" s="48">
        <v>45048</v>
      </c>
      <c r="Y3" s="48">
        <v>45049</v>
      </c>
      <c r="Z3" s="48">
        <v>45050</v>
      </c>
      <c r="AA3" s="48">
        <v>45051</v>
      </c>
      <c r="AB3" s="48">
        <v>45052</v>
      </c>
      <c r="AC3" s="69">
        <v>45053</v>
      </c>
      <c r="AD3" s="67"/>
    </row>
    <row r="4" spans="1:31" ht="15" customHeight="1">
      <c r="A4" s="15">
        <f t="shared" si="3"/>
        <v>45049</v>
      </c>
      <c r="B4" s="16">
        <f t="shared" ref="B4:B33" si="9">IF($A4="","",WEEKDAY(A4))</f>
        <v>4</v>
      </c>
      <c r="C4" s="17">
        <v>0.47291666666666698</v>
      </c>
      <c r="D4" s="18">
        <v>0.57291666666666696</v>
      </c>
      <c r="E4" s="17">
        <v>0.59027777777777801</v>
      </c>
      <c r="F4" s="18">
        <v>0.8125</v>
      </c>
      <c r="G4" s="17"/>
      <c r="H4" s="18"/>
      <c r="I4" s="17"/>
      <c r="J4" s="18"/>
      <c r="K4" s="17"/>
      <c r="L4" s="18"/>
      <c r="M4" s="17"/>
      <c r="N4" s="18"/>
      <c r="O4" s="29">
        <f t="shared" si="4"/>
        <v>1.7361111111111049E-2</v>
      </c>
      <c r="P4" s="30">
        <f t="shared" si="5"/>
        <v>0.32222222222222197</v>
      </c>
      <c r="Q4" s="43">
        <f t="shared" si="6"/>
        <v>0.33958333333333302</v>
      </c>
      <c r="R4" s="44">
        <f t="shared" si="0"/>
        <v>0.35416666666666702</v>
      </c>
      <c r="S4" s="45">
        <f t="shared" si="7"/>
        <v>0.844444444444445</v>
      </c>
      <c r="T4" s="43" t="str">
        <f t="shared" si="8"/>
        <v>- 0:46</v>
      </c>
      <c r="U4" s="46" t="str">
        <f t="shared" si="1"/>
        <v/>
      </c>
      <c r="V4" s="41" t="str">
        <f t="shared" si="2"/>
        <v xml:space="preserve">  </v>
      </c>
      <c r="W4" s="49">
        <v>45054</v>
      </c>
      <c r="X4" s="50">
        <v>45055</v>
      </c>
      <c r="Y4" s="50">
        <v>45056</v>
      </c>
      <c r="Z4" s="50">
        <v>45057</v>
      </c>
      <c r="AA4" s="50">
        <v>45058</v>
      </c>
      <c r="AB4" s="50">
        <v>45059</v>
      </c>
      <c r="AC4" s="70">
        <v>45060</v>
      </c>
      <c r="AD4" s="67"/>
    </row>
    <row r="5" spans="1:31" ht="15" customHeight="1">
      <c r="A5" s="15">
        <f t="shared" si="3"/>
        <v>45050</v>
      </c>
      <c r="B5" s="16">
        <f t="shared" si="9"/>
        <v>5</v>
      </c>
      <c r="C5" s="17">
        <v>0.47569444444444398</v>
      </c>
      <c r="D5" s="18">
        <v>0.56388888888888899</v>
      </c>
      <c r="E5" s="17">
        <v>0.58472222222222203</v>
      </c>
      <c r="F5" s="18">
        <v>0.65277777777777801</v>
      </c>
      <c r="G5" s="17">
        <v>0.65625</v>
      </c>
      <c r="H5" s="18">
        <v>0.83333333333333304</v>
      </c>
      <c r="I5" s="17"/>
      <c r="J5" s="18"/>
      <c r="K5" s="17"/>
      <c r="L5" s="18"/>
      <c r="M5" s="17"/>
      <c r="N5" s="18"/>
      <c r="O5" s="29">
        <f t="shared" si="4"/>
        <v>2.4305555555555025E-2</v>
      </c>
      <c r="P5" s="30">
        <f t="shared" si="5"/>
        <v>0.33333333333333404</v>
      </c>
      <c r="Q5" s="43">
        <f t="shared" si="6"/>
        <v>0.35763888888888906</v>
      </c>
      <c r="R5" s="44">
        <f t="shared" si="0"/>
        <v>0.35416666666666702</v>
      </c>
      <c r="S5" s="45">
        <f t="shared" si="7"/>
        <v>0.85416666666666607</v>
      </c>
      <c r="T5" s="43" t="str">
        <f t="shared" si="8"/>
        <v>- 0:30</v>
      </c>
      <c r="U5" s="46" t="str">
        <f t="shared" si="1"/>
        <v/>
      </c>
      <c r="V5" s="41" t="str">
        <f t="shared" si="2"/>
        <v xml:space="preserve">  </v>
      </c>
      <c r="W5" s="49">
        <v>45061</v>
      </c>
      <c r="X5" s="50">
        <v>45062</v>
      </c>
      <c r="Y5" s="50">
        <v>45063</v>
      </c>
      <c r="Z5" s="50">
        <v>45064</v>
      </c>
      <c r="AA5" s="50">
        <v>45065</v>
      </c>
      <c r="AB5" s="50">
        <v>45066</v>
      </c>
      <c r="AC5" s="70">
        <v>45067</v>
      </c>
      <c r="AD5" s="67"/>
    </row>
    <row r="6" spans="1:31" ht="15" customHeight="1">
      <c r="A6" s="15">
        <f t="shared" si="3"/>
        <v>45051</v>
      </c>
      <c r="B6" s="16">
        <f t="shared" si="9"/>
        <v>6</v>
      </c>
      <c r="C6" s="17">
        <v>0.47777777777777802</v>
      </c>
      <c r="D6" s="18">
        <v>0.5625</v>
      </c>
      <c r="E6" s="17">
        <v>0.57986111111111105</v>
      </c>
      <c r="F6" s="18">
        <v>0.8125</v>
      </c>
      <c r="G6" s="17"/>
      <c r="H6" s="18"/>
      <c r="I6" s="17"/>
      <c r="J6" s="18"/>
      <c r="K6" s="17"/>
      <c r="L6" s="18"/>
      <c r="M6" s="17"/>
      <c r="N6" s="18"/>
      <c r="O6" s="29">
        <f t="shared" si="4"/>
        <v>1.7361111111111049E-2</v>
      </c>
      <c r="P6" s="30">
        <f t="shared" si="5"/>
        <v>0.31736111111111093</v>
      </c>
      <c r="Q6" s="43">
        <f t="shared" si="6"/>
        <v>0.33472222222222198</v>
      </c>
      <c r="R6" s="44">
        <f t="shared" si="0"/>
        <v>0.35416666666666702</v>
      </c>
      <c r="S6" s="45">
        <f t="shared" si="7"/>
        <v>0.84930555555555609</v>
      </c>
      <c r="T6" s="43" t="str">
        <f t="shared" si="8"/>
        <v>- 0:53</v>
      </c>
      <c r="U6" s="46" t="str">
        <f t="shared" si="1"/>
        <v/>
      </c>
      <c r="V6" s="41" t="str">
        <f t="shared" si="2"/>
        <v xml:space="preserve">  </v>
      </c>
      <c r="W6" s="49">
        <v>45068</v>
      </c>
      <c r="X6" s="50">
        <v>45069</v>
      </c>
      <c r="Y6" s="50">
        <v>45070</v>
      </c>
      <c r="Z6" s="50">
        <v>45071</v>
      </c>
      <c r="AA6" s="50">
        <v>45072</v>
      </c>
      <c r="AB6" s="50">
        <v>45073</v>
      </c>
      <c r="AC6" s="70">
        <v>45074</v>
      </c>
      <c r="AD6" s="67"/>
    </row>
    <row r="7" spans="1:31" ht="15" customHeight="1">
      <c r="A7" s="15">
        <f t="shared" si="3"/>
        <v>45052</v>
      </c>
      <c r="B7" s="16">
        <f t="shared" si="9"/>
        <v>7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Saturday  </v>
      </c>
      <c r="W7" s="49">
        <v>45075</v>
      </c>
      <c r="X7" s="50">
        <v>45076</v>
      </c>
      <c r="Y7" s="50">
        <v>45077</v>
      </c>
      <c r="Z7" s="50" t="str">
        <v/>
      </c>
      <c r="AA7" s="50" t="str">
        <v/>
      </c>
      <c r="AB7" s="50" t="str">
        <v/>
      </c>
      <c r="AC7" s="70" t="str">
        <v/>
      </c>
      <c r="AD7" s="67"/>
    </row>
    <row r="8" spans="1:31" ht="15" customHeight="1">
      <c r="A8" s="15">
        <f t="shared" si="3"/>
        <v>45053</v>
      </c>
      <c r="B8" s="16">
        <f t="shared" si="9"/>
        <v>1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 t="str">
        <f t="shared" si="5"/>
        <v/>
      </c>
      <c r="Q8" s="43" t="str">
        <f t="shared" si="6"/>
        <v/>
      </c>
      <c r="R8" s="44" t="str">
        <f t="shared" si="0"/>
        <v/>
      </c>
      <c r="S8" s="45" t="str">
        <f t="shared" si="7"/>
        <v/>
      </c>
      <c r="T8" s="43" t="str">
        <f t="shared" si="8"/>
        <v/>
      </c>
      <c r="U8" s="46" t="str">
        <f t="shared" si="1"/>
        <v/>
      </c>
      <c r="V8" s="41" t="str">
        <f t="shared" si="2"/>
        <v xml:space="preserve">Sunday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45054</v>
      </c>
      <c r="B9" s="16">
        <f t="shared" si="9"/>
        <v>2</v>
      </c>
      <c r="C9" s="17">
        <v>0.48263888888888901</v>
      </c>
      <c r="D9" s="18">
        <v>0.5625</v>
      </c>
      <c r="E9" s="17">
        <v>0.57986111111111105</v>
      </c>
      <c r="F9" s="18">
        <v>0.625</v>
      </c>
      <c r="G9" s="17">
        <v>0.6875</v>
      </c>
      <c r="H9" s="18">
        <v>0.83333333333333304</v>
      </c>
      <c r="I9" s="17"/>
      <c r="J9" s="18"/>
      <c r="K9" s="17"/>
      <c r="L9" s="18"/>
      <c r="M9" s="17"/>
      <c r="N9" s="18"/>
      <c r="O9" s="29">
        <f t="shared" si="4"/>
        <v>7.9861111111111049E-2</v>
      </c>
      <c r="P9" s="30">
        <f t="shared" si="5"/>
        <v>0.27083333333333298</v>
      </c>
      <c r="Q9" s="43">
        <f t="shared" si="6"/>
        <v>0.35069444444444403</v>
      </c>
      <c r="R9" s="44">
        <f t="shared" si="0"/>
        <v>0.35416666666666702</v>
      </c>
      <c r="S9" s="45">
        <f t="shared" si="7"/>
        <v>0.91666666666666707</v>
      </c>
      <c r="T9" s="43" t="str">
        <f t="shared" si="8"/>
        <v>- 2:00</v>
      </c>
      <c r="U9" s="46" t="str">
        <f t="shared" si="1"/>
        <v/>
      </c>
      <c r="V9" s="41" t="str">
        <f t="shared" si="2"/>
        <v xml:space="preserve">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45055</v>
      </c>
      <c r="B10" s="16">
        <f t="shared" si="9"/>
        <v>3</v>
      </c>
      <c r="C10" s="17">
        <v>0.50555555555555598</v>
      </c>
      <c r="D10" s="18">
        <v>0.55902777777777801</v>
      </c>
      <c r="E10" s="17">
        <v>0.59722222222222199</v>
      </c>
      <c r="F10" s="18">
        <v>0.83333333333333304</v>
      </c>
      <c r="G10" s="17"/>
      <c r="H10" s="18"/>
      <c r="I10" s="17"/>
      <c r="J10" s="18"/>
      <c r="K10" s="17"/>
      <c r="L10" s="18"/>
      <c r="M10" s="17"/>
      <c r="N10" s="18"/>
      <c r="O10" s="29">
        <f t="shared" si="4"/>
        <v>3.8194444444443976E-2</v>
      </c>
      <c r="P10" s="30">
        <f t="shared" si="5"/>
        <v>0.28958333333333308</v>
      </c>
      <c r="Q10" s="43">
        <f t="shared" si="6"/>
        <v>0.32777777777777706</v>
      </c>
      <c r="R10" s="44">
        <f t="shared" si="0"/>
        <v>0.35416666666666702</v>
      </c>
      <c r="S10" s="45">
        <f t="shared" si="7"/>
        <v>0.89791666666666692</v>
      </c>
      <c r="T10" s="43" t="str">
        <f t="shared" si="8"/>
        <v>- 1:33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45056</v>
      </c>
      <c r="B11" s="16">
        <f t="shared" si="9"/>
        <v>4</v>
      </c>
      <c r="C11" s="17">
        <v>0.47569444444444398</v>
      </c>
      <c r="D11" s="18">
        <v>0.57638888888888895</v>
      </c>
      <c r="E11" s="17">
        <v>0.59236111111111101</v>
      </c>
      <c r="F11" s="18">
        <v>0.66319444444444398</v>
      </c>
      <c r="G11" s="17">
        <v>0.67013888888888895</v>
      </c>
      <c r="H11" s="18">
        <v>0.8125</v>
      </c>
      <c r="I11" s="17"/>
      <c r="J11" s="18"/>
      <c r="K11" s="17"/>
      <c r="L11" s="18"/>
      <c r="M11" s="17"/>
      <c r="N11" s="18"/>
      <c r="O11" s="29">
        <f t="shared" si="4"/>
        <v>2.2916666666667029E-2</v>
      </c>
      <c r="P11" s="30">
        <f t="shared" si="5"/>
        <v>0.31388888888888899</v>
      </c>
      <c r="Q11" s="43">
        <f t="shared" si="6"/>
        <v>0.33680555555555602</v>
      </c>
      <c r="R11" s="44">
        <f t="shared" si="0"/>
        <v>0.35416666666666702</v>
      </c>
      <c r="S11" s="45">
        <f t="shared" si="7"/>
        <v>0.85277777777777808</v>
      </c>
      <c r="T11" s="43" t="str">
        <f t="shared" si="8"/>
        <v>- 0:58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45047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45057</v>
      </c>
      <c r="B12" s="16">
        <f t="shared" si="9"/>
        <v>5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45058</v>
      </c>
      <c r="B13" s="16">
        <f t="shared" si="9"/>
        <v>6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4*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45059</v>
      </c>
      <c r="B14" s="16">
        <f t="shared" si="9"/>
        <v>7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Saturday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8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45060</v>
      </c>
      <c r="B15" s="16">
        <f t="shared" si="9"/>
        <v>1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Sunday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May-23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45061</v>
      </c>
      <c r="B16" s="16">
        <f t="shared" si="9"/>
        <v>2</v>
      </c>
      <c r="C16" s="17">
        <v>0.49375000000000002</v>
      </c>
      <c r="D16" s="18">
        <v>0.56944444444444398</v>
      </c>
      <c r="E16" s="17">
        <v>0.58402777777777803</v>
      </c>
      <c r="F16" s="18">
        <v>0.83333333333333304</v>
      </c>
      <c r="G16" s="17"/>
      <c r="H16" s="18"/>
      <c r="I16" s="17"/>
      <c r="J16" s="18"/>
      <c r="K16" s="17"/>
      <c r="L16" s="18"/>
      <c r="M16" s="17"/>
      <c r="N16" s="18"/>
      <c r="O16" s="29">
        <f t="shared" si="4"/>
        <v>1.4583333333334059E-2</v>
      </c>
      <c r="P16" s="30">
        <f t="shared" si="5"/>
        <v>0.32499999999999896</v>
      </c>
      <c r="Q16" s="43">
        <f t="shared" si="6"/>
        <v>0.33958333333333302</v>
      </c>
      <c r="R16" s="44">
        <f t="shared" si="0"/>
        <v>0.35416666666666702</v>
      </c>
      <c r="S16" s="45">
        <f t="shared" si="7"/>
        <v>0.86250000000000115</v>
      </c>
      <c r="T16" s="43" t="str">
        <f t="shared" si="8"/>
        <v>- 0:42</v>
      </c>
      <c r="U16" s="46" t="str">
        <f t="shared" si="1"/>
        <v/>
      </c>
      <c r="V16" s="41" t="str">
        <f t="shared" si="2"/>
        <v xml:space="preserve">  </v>
      </c>
      <c r="W16" s="225" t="str">
        <f>"Break Hours "&amp;TEXT(SUM($O2:$O33),"[h]:mm")</f>
        <v>Break Hours 12:22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45062</v>
      </c>
      <c r="B17" s="16">
        <f t="shared" si="9"/>
        <v>3</v>
      </c>
      <c r="C17" s="17">
        <v>0.500694444444444</v>
      </c>
      <c r="D17" s="18">
        <v>0.5625</v>
      </c>
      <c r="E17" s="17">
        <v>0.59027777777777801</v>
      </c>
      <c r="F17" s="18">
        <v>0.8125</v>
      </c>
      <c r="G17" s="17"/>
      <c r="H17" s="18"/>
      <c r="I17" s="17"/>
      <c r="J17" s="18"/>
      <c r="K17" s="17"/>
      <c r="L17" s="18"/>
      <c r="M17" s="17"/>
      <c r="N17" s="18"/>
      <c r="O17" s="29">
        <f t="shared" si="4"/>
        <v>2.7777777777778012E-2</v>
      </c>
      <c r="P17" s="30">
        <f t="shared" si="5"/>
        <v>0.28402777777777799</v>
      </c>
      <c r="Q17" s="43">
        <f t="shared" si="6"/>
        <v>0.311805555555556</v>
      </c>
      <c r="R17" s="44">
        <f t="shared" si="0"/>
        <v>0.35416666666666702</v>
      </c>
      <c r="S17" s="45">
        <f t="shared" si="7"/>
        <v>0.88263888888888897</v>
      </c>
      <c r="T17" s="43" t="str">
        <f t="shared" si="8"/>
        <v>- 1:41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140:26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45063</v>
      </c>
      <c r="B18" s="16">
        <f t="shared" si="9"/>
        <v>4</v>
      </c>
      <c r="C18" s="17">
        <v>0.469444444444444</v>
      </c>
      <c r="D18" s="18">
        <v>0.57152777777777797</v>
      </c>
      <c r="E18" s="17">
        <v>0.58680555555555602</v>
      </c>
      <c r="F18" s="18">
        <v>0.80208333333333304</v>
      </c>
      <c r="G18" s="17"/>
      <c r="H18" s="18"/>
      <c r="I18" s="17"/>
      <c r="J18" s="18"/>
      <c r="K18" s="17"/>
      <c r="L18" s="18"/>
      <c r="M18" s="17"/>
      <c r="N18" s="18"/>
      <c r="O18" s="29">
        <f t="shared" si="4"/>
        <v>1.5277777777778057E-2</v>
      </c>
      <c r="P18" s="30">
        <f t="shared" si="5"/>
        <v>0.31736111111111098</v>
      </c>
      <c r="Q18" s="43">
        <f t="shared" si="6"/>
        <v>0.33263888888888904</v>
      </c>
      <c r="R18" s="44">
        <f t="shared" si="0"/>
        <v>0.35416666666666702</v>
      </c>
      <c r="S18" s="45">
        <f t="shared" si="7"/>
        <v>0.83888888888888902</v>
      </c>
      <c r="T18" s="43" t="str">
        <f t="shared" si="8"/>
        <v>- 0:53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161:30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45064</v>
      </c>
      <c r="B19" s="16">
        <f t="shared" si="9"/>
        <v>5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7:23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45065</v>
      </c>
      <c r="B20" s="16">
        <f t="shared" si="9"/>
        <v>6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45066</v>
      </c>
      <c r="B21" s="16">
        <f t="shared" si="9"/>
        <v>7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29" t="str">
        <f t="shared" si="4"/>
        <v/>
      </c>
      <c r="P21" s="30" t="str">
        <f t="shared" si="5"/>
        <v/>
      </c>
      <c r="Q21" s="43" t="str">
        <f t="shared" si="6"/>
        <v/>
      </c>
      <c r="R21" s="44" t="str">
        <f t="shared" si="0"/>
        <v/>
      </c>
      <c r="S21" s="45" t="str">
        <f t="shared" si="7"/>
        <v/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Saturday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21:04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45067</v>
      </c>
      <c r="B22" s="16">
        <f t="shared" si="9"/>
        <v>1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4"/>
        <v/>
      </c>
      <c r="P22" s="30" t="str">
        <f t="shared" si="5"/>
        <v/>
      </c>
      <c r="Q22" s="43" t="str">
        <f t="shared" si="6"/>
        <v/>
      </c>
      <c r="R22" s="44" t="str">
        <f t="shared" si="0"/>
        <v/>
      </c>
      <c r="S22" s="45" t="str">
        <f t="shared" si="7"/>
        <v/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Sunday  </v>
      </c>
      <c r="W22" s="225" t="str">
        <f>"Total Hours "&amp;TEXT(SUM($Q2:$Q33),"[h]:mm")</f>
        <v>Total Hours 152:48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45068</v>
      </c>
      <c r="B23" s="16">
        <f t="shared" si="9"/>
        <v>2</v>
      </c>
      <c r="C23" s="17">
        <v>0.47222222222222199</v>
      </c>
      <c r="D23" s="18">
        <v>0.55208333333333304</v>
      </c>
      <c r="E23" s="17">
        <v>0.57291666666666696</v>
      </c>
      <c r="F23" s="18">
        <v>0.65625</v>
      </c>
      <c r="G23" s="17">
        <v>0.66319444444444398</v>
      </c>
      <c r="H23" s="18">
        <v>0.8125</v>
      </c>
      <c r="I23" s="17"/>
      <c r="J23" s="18"/>
      <c r="K23" s="17"/>
      <c r="L23" s="18"/>
      <c r="M23" s="17"/>
      <c r="N23" s="18"/>
      <c r="O23" s="29">
        <f t="shared" si="4"/>
        <v>2.7777777777777901E-2</v>
      </c>
      <c r="P23" s="30">
        <f t="shared" si="5"/>
        <v>0.31250000000000011</v>
      </c>
      <c r="Q23" s="43">
        <f t="shared" si="6"/>
        <v>0.34027777777777801</v>
      </c>
      <c r="R23" s="44">
        <f t="shared" si="0"/>
        <v>0.35416666666666702</v>
      </c>
      <c r="S23" s="45">
        <f t="shared" si="7"/>
        <v>0.85416666666666696</v>
      </c>
      <c r="T23" s="43" t="str">
        <f t="shared" si="8"/>
        <v>- 1:00</v>
      </c>
      <c r="U23" s="46" t="str">
        <f t="shared" si="1"/>
        <v/>
      </c>
      <c r="V23" s="41" t="str">
        <f t="shared" si="2"/>
        <v xml:space="preserve">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45069</v>
      </c>
      <c r="B24" s="16">
        <f t="shared" si="9"/>
        <v>3</v>
      </c>
      <c r="C24" s="17">
        <v>0.48819444444444399</v>
      </c>
      <c r="D24" s="18">
        <v>0.5625</v>
      </c>
      <c r="E24" s="17">
        <v>0.58055555555555605</v>
      </c>
      <c r="F24" s="18">
        <v>0.65972222222222199</v>
      </c>
      <c r="G24" s="17">
        <v>0.66666666666666696</v>
      </c>
      <c r="H24" s="18">
        <v>0.8125</v>
      </c>
      <c r="I24" s="17"/>
      <c r="J24" s="18"/>
      <c r="K24" s="17"/>
      <c r="L24" s="18"/>
      <c r="M24" s="17"/>
      <c r="N24" s="18"/>
      <c r="O24" s="29">
        <f t="shared" si="4"/>
        <v>2.5000000000001021E-2</v>
      </c>
      <c r="P24" s="30">
        <f t="shared" si="5"/>
        <v>0.29930555555555499</v>
      </c>
      <c r="Q24" s="43">
        <f t="shared" si="6"/>
        <v>0.32430555555555601</v>
      </c>
      <c r="R24" s="44">
        <f t="shared" si="0"/>
        <v>0.35416666666666702</v>
      </c>
      <c r="S24" s="45">
        <f t="shared" si="7"/>
        <v>0.86736111111111203</v>
      </c>
      <c r="T24" s="43" t="str">
        <f t="shared" si="8"/>
        <v>- 1:19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45070</v>
      </c>
      <c r="B25" s="16">
        <f t="shared" si="9"/>
        <v>4</v>
      </c>
      <c r="C25" s="17">
        <v>0.48055555555555601</v>
      </c>
      <c r="D25" s="18">
        <v>0.56944444444444398</v>
      </c>
      <c r="E25" s="17">
        <v>0.58680555555555602</v>
      </c>
      <c r="F25" s="18">
        <v>0.65625</v>
      </c>
      <c r="G25" s="17">
        <v>0.66319444444444398</v>
      </c>
      <c r="H25" s="18">
        <v>0.8125</v>
      </c>
      <c r="I25" s="17"/>
      <c r="J25" s="18"/>
      <c r="K25" s="17"/>
      <c r="L25" s="18"/>
      <c r="M25" s="17"/>
      <c r="N25" s="18"/>
      <c r="O25" s="29">
        <f t="shared" si="4"/>
        <v>2.4305555555556024E-2</v>
      </c>
      <c r="P25" s="30">
        <f t="shared" si="5"/>
        <v>0.30763888888888796</v>
      </c>
      <c r="Q25" s="43">
        <f t="shared" si="6"/>
        <v>0.33194444444444399</v>
      </c>
      <c r="R25" s="44">
        <f t="shared" si="0"/>
        <v>0.35416666666666702</v>
      </c>
      <c r="S25" s="45">
        <f t="shared" si="7"/>
        <v>0.85902777777777906</v>
      </c>
      <c r="T25" s="43" t="str">
        <f t="shared" si="8"/>
        <v>- 1:07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45071</v>
      </c>
      <c r="B26" s="16">
        <f t="shared" si="9"/>
        <v>5</v>
      </c>
      <c r="C26" s="17">
        <v>0.48611111111111099</v>
      </c>
      <c r="D26" s="18">
        <v>0.56944444444444398</v>
      </c>
      <c r="E26" s="17">
        <v>0.59375</v>
      </c>
      <c r="F26" s="18">
        <v>0.58680555555555602</v>
      </c>
      <c r="G26" s="17">
        <v>0.59375</v>
      </c>
      <c r="H26" s="18">
        <v>0.8125</v>
      </c>
      <c r="I26" s="17"/>
      <c r="J26" s="18"/>
      <c r="K26" s="17"/>
      <c r="L26" s="18"/>
      <c r="M26" s="17"/>
      <c r="N26" s="18"/>
      <c r="O26" s="29">
        <f t="shared" si="4"/>
        <v>3.125E-2</v>
      </c>
      <c r="P26" s="30">
        <f t="shared" si="5"/>
        <v>0.29513888888888901</v>
      </c>
      <c r="Q26" s="43">
        <f t="shared" si="6"/>
        <v>0.32638888888888901</v>
      </c>
      <c r="R26" s="44">
        <f t="shared" si="0"/>
        <v>0.35416666666666702</v>
      </c>
      <c r="S26" s="45">
        <f t="shared" si="7"/>
        <v>0.87152777777777801</v>
      </c>
      <c r="T26" s="43" t="str">
        <f t="shared" si="8"/>
        <v>- 1:25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45072</v>
      </c>
      <c r="B27" s="16">
        <f t="shared" si="9"/>
        <v>6</v>
      </c>
      <c r="C27" s="17">
        <v>0.48263888888888901</v>
      </c>
      <c r="D27" s="18">
        <v>0.57986111111111105</v>
      </c>
      <c r="E27" s="17">
        <v>0.60555555555555596</v>
      </c>
      <c r="F27" s="18">
        <v>0.65972222222222199</v>
      </c>
      <c r="G27" s="17">
        <v>0.66666666666666696</v>
      </c>
      <c r="H27" s="18">
        <v>0.83333333333333304</v>
      </c>
      <c r="I27" s="17"/>
      <c r="J27" s="18"/>
      <c r="K27" s="17"/>
      <c r="L27" s="18"/>
      <c r="M27" s="17"/>
      <c r="N27" s="18"/>
      <c r="O27" s="29">
        <f t="shared" si="4"/>
        <v>3.2638888888889883E-2</v>
      </c>
      <c r="P27" s="30">
        <f t="shared" si="5"/>
        <v>0.31805555555555415</v>
      </c>
      <c r="Q27" s="43">
        <f t="shared" si="6"/>
        <v>0.35069444444444403</v>
      </c>
      <c r="R27" s="44">
        <f t="shared" si="0"/>
        <v>0.35416666666666702</v>
      </c>
      <c r="S27" s="45">
        <f t="shared" si="7"/>
        <v>0.86944444444444591</v>
      </c>
      <c r="T27" s="43" t="str">
        <f t="shared" si="8"/>
        <v>- 0:52</v>
      </c>
      <c r="U27" s="46" t="str">
        <f t="shared" si="1"/>
        <v/>
      </c>
      <c r="V27" s="41" t="str">
        <f t="shared" si="2"/>
        <v xml:space="preserve">  </v>
      </c>
      <c r="W27" s="214"/>
      <c r="X27" s="215"/>
      <c r="Y27" s="80"/>
      <c r="Z27" s="216"/>
      <c r="AA27" s="217"/>
      <c r="AB27" s="217"/>
      <c r="AC27" s="218"/>
      <c r="AD27" s="67"/>
    </row>
    <row r="28" spans="1:31" ht="15" customHeight="1">
      <c r="A28" s="15">
        <f t="shared" si="3"/>
        <v>45073</v>
      </c>
      <c r="B28" s="16">
        <f t="shared" si="9"/>
        <v>7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Saturday  </v>
      </c>
      <c r="W28" s="214"/>
      <c r="X28" s="215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45074</v>
      </c>
      <c r="B29" s="16">
        <f t="shared" si="9"/>
        <v>1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Sunday  </v>
      </c>
      <c r="W29" s="214"/>
      <c r="X29" s="215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45075</v>
      </c>
      <c r="B30" s="16">
        <f t="shared" si="9"/>
        <v>2</v>
      </c>
      <c r="C30" s="17">
        <v>0.5</v>
      </c>
      <c r="D30" s="18">
        <v>0.56597222222222199</v>
      </c>
      <c r="E30" s="17">
        <v>0.58333333333333304</v>
      </c>
      <c r="F30" s="18">
        <v>0.66319444444444398</v>
      </c>
      <c r="G30" s="17">
        <v>0.67013888888888895</v>
      </c>
      <c r="H30" s="18">
        <v>0.83333333333333304</v>
      </c>
      <c r="I30" s="17"/>
      <c r="J30" s="18"/>
      <c r="K30" s="17"/>
      <c r="L30" s="18"/>
      <c r="M30" s="17"/>
      <c r="N30" s="18"/>
      <c r="O30" s="29">
        <f t="shared" si="4"/>
        <v>2.4305555555556024E-2</v>
      </c>
      <c r="P30" s="30">
        <f t="shared" si="5"/>
        <v>0.30902777777777701</v>
      </c>
      <c r="Q30" s="43">
        <f t="shared" si="6"/>
        <v>0.33333333333333304</v>
      </c>
      <c r="R30" s="44">
        <f t="shared" si="0"/>
        <v>0.35416666666666702</v>
      </c>
      <c r="S30" s="45">
        <f t="shared" si="7"/>
        <v>0.87847222222222299</v>
      </c>
      <c r="T30" s="43" t="str">
        <f t="shared" si="8"/>
        <v>- 1:05</v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45076</v>
      </c>
      <c r="B31" s="16">
        <f t="shared" si="9"/>
        <v>3</v>
      </c>
      <c r="C31" s="17">
        <v>0.48611111111111099</v>
      </c>
      <c r="D31" s="18">
        <v>0.55902777777777801</v>
      </c>
      <c r="E31" s="17">
        <v>0.57986111111111105</v>
      </c>
      <c r="F31" s="18">
        <v>0.8125</v>
      </c>
      <c r="G31" s="17"/>
      <c r="H31" s="18"/>
      <c r="I31" s="17"/>
      <c r="J31" s="18"/>
      <c r="K31" s="17"/>
      <c r="L31" s="18"/>
      <c r="M31" s="17"/>
      <c r="N31" s="18"/>
      <c r="O31" s="29">
        <f t="shared" si="4"/>
        <v>2.0833333333333037E-2</v>
      </c>
      <c r="P31" s="30">
        <f t="shared" si="5"/>
        <v>0.30555555555555597</v>
      </c>
      <c r="Q31" s="43">
        <f t="shared" si="6"/>
        <v>0.32638888888888901</v>
      </c>
      <c r="R31" s="44">
        <f t="shared" si="0"/>
        <v>0.35416666666666702</v>
      </c>
      <c r="S31" s="45">
        <f t="shared" si="7"/>
        <v>0.86111111111111105</v>
      </c>
      <c r="T31" s="43" t="str">
        <f t="shared" si="8"/>
        <v>- 1:10</v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45077</v>
      </c>
      <c r="B32" s="16">
        <f t="shared" si="9"/>
        <v>4</v>
      </c>
      <c r="C32" s="17">
        <v>0.49097222222222198</v>
      </c>
      <c r="D32" s="18">
        <v>0.5625</v>
      </c>
      <c r="E32" s="17">
        <v>0.58125000000000004</v>
      </c>
      <c r="F32" s="18">
        <v>0.66527777777777797</v>
      </c>
      <c r="G32" s="17">
        <v>0.67222222222222205</v>
      </c>
      <c r="H32" s="18">
        <v>0.8125</v>
      </c>
      <c r="I32" s="17"/>
      <c r="J32" s="18"/>
      <c r="K32" s="17"/>
      <c r="L32" s="18"/>
      <c r="M32" s="17"/>
      <c r="N32" s="18"/>
      <c r="O32" s="29">
        <f t="shared" si="4"/>
        <v>2.5694444444444131E-2</v>
      </c>
      <c r="P32" s="30">
        <f t="shared" si="5"/>
        <v>0.29583333333333389</v>
      </c>
      <c r="Q32" s="43">
        <f t="shared" si="6"/>
        <v>0.32152777777777802</v>
      </c>
      <c r="R32" s="44">
        <f t="shared" si="0"/>
        <v>0.35416666666666702</v>
      </c>
      <c r="S32" s="45">
        <f t="shared" si="7"/>
        <v>0.87083333333333313</v>
      </c>
      <c r="T32" s="43" t="str">
        <f t="shared" si="8"/>
        <v>- 1:24</v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82" priority="9" stopIfTrue="1">
      <formula>OR($X$11="",MONTH(NOW())&lt;&gt;MONTH($X$11))</formula>
    </cfRule>
  </conditionalFormatting>
  <conditionalFormatting sqref="W15">
    <cfRule type="expression" dxfId="81" priority="4" stopIfTrue="1">
      <formula>TotalLeave&gt;=Yearly_Leaves</formula>
    </cfRule>
  </conditionalFormatting>
  <conditionalFormatting sqref="W1:AC8 W11 AC11 W12:AC22 W24:AC33 U2:V33">
    <cfRule type="expression" dxfId="80" priority="8" stopIfTrue="1">
      <formula>$X$11=""</formula>
    </cfRule>
  </conditionalFormatting>
  <conditionalFormatting sqref="A2:V33">
    <cfRule type="expression" dxfId="7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78" priority="2" stopIfTrue="1">
      <formula>AND(NOT(ISNA(MATCH($A2,hdate,0))),COUNTIF($V2,"*Optional*")&lt;1)</formula>
    </cfRule>
    <cfRule type="expression" dxfId="77" priority="3" stopIfTrue="1">
      <formula>AND($P2&lt;&gt;$R2,$P2&lt;$R2,$D2&lt;&gt;"")</formula>
    </cfRule>
  </conditionalFormatting>
  <conditionalFormatting sqref="U2:V33">
    <cfRule type="expression" dxfId="7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75" priority="5" stopIfTrue="1">
      <formula>W3=TODAY()</formula>
    </cfRule>
    <cfRule type="expression" dxfId="74" priority="6" stopIfTrue="1">
      <formula>NOT(ISNA(MATCH(W3,ldate,0)))</formula>
    </cfRule>
    <cfRule type="expression" dxfId="7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2" activePane="bottomLeft" state="frozen"/>
      <selection pane="bottomLeft" activeCell="I19" sqref="I19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45078</v>
      </c>
      <c r="X1" s="240">
        <f>$X$11</f>
        <v>45078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45075</v>
      </c>
      <c r="AD1" s="67"/>
    </row>
    <row r="2" spans="1:31" ht="15" customHeight="1">
      <c r="A2" s="11">
        <f>IF($X$11="","",DATE(YEAR($X$11),MONTH($X$11),1))</f>
        <v>45078</v>
      </c>
      <c r="B2" s="12">
        <f>IF($A2="","",WEEKDAY(A2))</f>
        <v>5</v>
      </c>
      <c r="C2" s="13">
        <v>0.48611111111111099</v>
      </c>
      <c r="D2" s="14">
        <v>0.56944444444444398</v>
      </c>
      <c r="E2" s="13">
        <v>0.58680555555555602</v>
      </c>
      <c r="F2" s="14">
        <v>0.66319444444444398</v>
      </c>
      <c r="G2" s="13">
        <v>0.66666666666666696</v>
      </c>
      <c r="H2" s="14">
        <v>0.81944444444444398</v>
      </c>
      <c r="I2" s="13"/>
      <c r="J2" s="14"/>
      <c r="K2" s="13"/>
      <c r="L2" s="14"/>
      <c r="M2" s="13"/>
      <c r="N2" s="14"/>
      <c r="O2" s="27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>2.0833333333335036E-2</v>
      </c>
      <c r="P2" s="28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>0.31249999999999795</v>
      </c>
      <c r="Q2" s="37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>0.33333333333333298</v>
      </c>
      <c r="R2" s="38">
        <f t="shared" ref="R2:R33" si="0">IF(IFERROR(VLOOKUP($A2,Leave,2,FALSE),"")="Half Leave",Half_Day_Time,IF($C2&lt;&gt;"",Full_Day_Time,""))</f>
        <v>0.35416666666666702</v>
      </c>
      <c r="S2" s="39">
        <f>IF(AND($C2&lt;&gt;"",$O2=""),($C2+$R2),IF($C2&lt;&gt;"",($C2+($R2+$O2)),""))</f>
        <v>0.86111111111111305</v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>- 1:00</v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45079</v>
      </c>
      <c r="B3" s="16">
        <f>IF($A3="","",WEEKDAY(A3))</f>
        <v>6</v>
      </c>
      <c r="C3" s="17">
        <v>0.484722222222222</v>
      </c>
      <c r="D3" s="18">
        <v>0.77569444444444402</v>
      </c>
      <c r="E3" s="17">
        <v>0.77986111111111101</v>
      </c>
      <c r="F3" s="18">
        <v>0.8125</v>
      </c>
      <c r="G3" s="17"/>
      <c r="H3" s="18"/>
      <c r="I3" s="17"/>
      <c r="J3" s="18"/>
      <c r="K3" s="17"/>
      <c r="L3" s="18"/>
      <c r="M3" s="17"/>
      <c r="N3" s="18"/>
      <c r="O3" s="29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>4.1666666666669849E-3</v>
      </c>
      <c r="P3" s="30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0.32361111111111102</v>
      </c>
      <c r="Q3" s="43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0.327777777777778</v>
      </c>
      <c r="R3" s="44">
        <f t="shared" si="0"/>
        <v>0.35416666666666702</v>
      </c>
      <c r="S3" s="45">
        <f t="shared" ref="S3:S33" si="7">IF(AND($C3&lt;&gt;"",$O3=""),($C3+$R3),IF($C3&lt;&gt;"",($C3+($R3+$O3)),""))</f>
        <v>0.843055555555556</v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- 0:44</v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>
        <v>45078</v>
      </c>
      <c r="AA3" s="48">
        <v>45079</v>
      </c>
      <c r="AB3" s="48">
        <v>45080</v>
      </c>
      <c r="AC3" s="69">
        <v>45081</v>
      </c>
      <c r="AD3" s="67"/>
    </row>
    <row r="4" spans="1:31" ht="15" customHeight="1">
      <c r="A4" s="15">
        <f t="shared" si="3"/>
        <v>45080</v>
      </c>
      <c r="B4" s="16">
        <f t="shared" ref="B4:B33" si="9">IF($A4="","",WEEKDAY(A4))</f>
        <v>7</v>
      </c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29" t="str">
        <f t="shared" si="4"/>
        <v/>
      </c>
      <c r="P4" s="30" t="str">
        <f t="shared" si="5"/>
        <v/>
      </c>
      <c r="Q4" s="43" t="str">
        <f t="shared" si="6"/>
        <v/>
      </c>
      <c r="R4" s="44" t="str">
        <f t="shared" si="0"/>
        <v/>
      </c>
      <c r="S4" s="45" t="str">
        <f t="shared" si="7"/>
        <v/>
      </c>
      <c r="T4" s="43" t="str">
        <f t="shared" si="8"/>
        <v/>
      </c>
      <c r="U4" s="46" t="str">
        <f t="shared" si="1"/>
        <v/>
      </c>
      <c r="V4" s="41" t="str">
        <f t="shared" si="2"/>
        <v xml:space="preserve">Saturday  </v>
      </c>
      <c r="W4" s="49">
        <v>45082</v>
      </c>
      <c r="X4" s="50">
        <v>45083</v>
      </c>
      <c r="Y4" s="50">
        <v>45084</v>
      </c>
      <c r="Z4" s="50">
        <v>45085</v>
      </c>
      <c r="AA4" s="50">
        <v>45086</v>
      </c>
      <c r="AB4" s="50">
        <v>45087</v>
      </c>
      <c r="AC4" s="70">
        <v>45088</v>
      </c>
      <c r="AD4" s="67"/>
    </row>
    <row r="5" spans="1:31" ht="15" customHeight="1">
      <c r="A5" s="15">
        <f t="shared" si="3"/>
        <v>45081</v>
      </c>
      <c r="B5" s="16">
        <f t="shared" si="9"/>
        <v>1</v>
      </c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29" t="str">
        <f t="shared" si="4"/>
        <v/>
      </c>
      <c r="P5" s="30" t="str">
        <f t="shared" si="5"/>
        <v/>
      </c>
      <c r="Q5" s="43" t="str">
        <f t="shared" si="6"/>
        <v/>
      </c>
      <c r="R5" s="44" t="str">
        <f t="shared" si="0"/>
        <v/>
      </c>
      <c r="S5" s="45" t="str">
        <f t="shared" si="7"/>
        <v/>
      </c>
      <c r="T5" s="43" t="str">
        <f t="shared" si="8"/>
        <v/>
      </c>
      <c r="U5" s="46" t="str">
        <f t="shared" si="1"/>
        <v/>
      </c>
      <c r="V5" s="41" t="str">
        <f t="shared" si="2"/>
        <v xml:space="preserve">Sunday  </v>
      </c>
      <c r="W5" s="49">
        <v>45089</v>
      </c>
      <c r="X5" s="50">
        <v>45090</v>
      </c>
      <c r="Y5" s="50">
        <v>45091</v>
      </c>
      <c r="Z5" s="50">
        <v>45092</v>
      </c>
      <c r="AA5" s="50">
        <v>45093</v>
      </c>
      <c r="AB5" s="50">
        <v>45094</v>
      </c>
      <c r="AC5" s="70">
        <v>45095</v>
      </c>
      <c r="AD5" s="67"/>
    </row>
    <row r="6" spans="1:31" ht="15" customHeight="1">
      <c r="A6" s="15">
        <f t="shared" si="3"/>
        <v>45082</v>
      </c>
      <c r="B6" s="16">
        <f t="shared" si="9"/>
        <v>2</v>
      </c>
      <c r="C6" s="17">
        <v>0.49305555555555602</v>
      </c>
      <c r="D6" s="18">
        <v>0.54513888888888895</v>
      </c>
      <c r="E6" s="17">
        <v>0.56597222222222199</v>
      </c>
      <c r="F6" s="18">
        <v>0.66666666666666696</v>
      </c>
      <c r="G6" s="17">
        <v>0.6875</v>
      </c>
      <c r="H6" s="18">
        <v>0.8125</v>
      </c>
      <c r="I6" s="17"/>
      <c r="J6" s="18"/>
      <c r="K6" s="17"/>
      <c r="L6" s="18"/>
      <c r="M6" s="17"/>
      <c r="N6" s="18"/>
      <c r="O6" s="29">
        <f t="shared" si="4"/>
        <v>4.1666666666666075E-2</v>
      </c>
      <c r="P6" s="30">
        <f t="shared" si="5"/>
        <v>0.2777777777777779</v>
      </c>
      <c r="Q6" s="43">
        <f t="shared" si="6"/>
        <v>0.31944444444444398</v>
      </c>
      <c r="R6" s="44">
        <f t="shared" si="0"/>
        <v>0.35416666666666702</v>
      </c>
      <c r="S6" s="45">
        <f t="shared" si="7"/>
        <v>0.88888888888888906</v>
      </c>
      <c r="T6" s="43" t="str">
        <f t="shared" si="8"/>
        <v>- 1:50</v>
      </c>
      <c r="U6" s="46" t="str">
        <f t="shared" si="1"/>
        <v/>
      </c>
      <c r="V6" s="41" t="str">
        <f t="shared" si="2"/>
        <v xml:space="preserve">  </v>
      </c>
      <c r="W6" s="49">
        <v>45096</v>
      </c>
      <c r="X6" s="50">
        <v>45097</v>
      </c>
      <c r="Y6" s="50">
        <v>45098</v>
      </c>
      <c r="Z6" s="50">
        <v>45099</v>
      </c>
      <c r="AA6" s="50">
        <v>45100</v>
      </c>
      <c r="AB6" s="50">
        <v>45101</v>
      </c>
      <c r="AC6" s="70">
        <v>45102</v>
      </c>
      <c r="AD6" s="67"/>
    </row>
    <row r="7" spans="1:31" ht="15" customHeight="1">
      <c r="A7" s="15">
        <f t="shared" si="3"/>
        <v>45083</v>
      </c>
      <c r="B7" s="16">
        <f t="shared" si="9"/>
        <v>3</v>
      </c>
      <c r="C7" s="17">
        <v>0.50347222222222199</v>
      </c>
      <c r="D7" s="18">
        <v>0.56597222222222199</v>
      </c>
      <c r="E7" s="17">
        <v>0.59027777777777801</v>
      </c>
      <c r="F7" s="18">
        <v>0.66180555555555598</v>
      </c>
      <c r="G7" s="17">
        <v>0.66805555555555596</v>
      </c>
      <c r="H7" s="18">
        <v>0.8125</v>
      </c>
      <c r="I7" s="17"/>
      <c r="J7" s="18"/>
      <c r="K7" s="17"/>
      <c r="L7" s="18"/>
      <c r="M7" s="17"/>
      <c r="N7" s="18"/>
      <c r="O7" s="29">
        <f t="shared" si="4"/>
        <v>3.0555555555556002E-2</v>
      </c>
      <c r="P7" s="30">
        <f t="shared" si="5"/>
        <v>0.27847222222222201</v>
      </c>
      <c r="Q7" s="43">
        <f t="shared" si="6"/>
        <v>0.30902777777777801</v>
      </c>
      <c r="R7" s="44">
        <f t="shared" si="0"/>
        <v>0.35416666666666702</v>
      </c>
      <c r="S7" s="45">
        <f t="shared" si="7"/>
        <v>0.88819444444444495</v>
      </c>
      <c r="T7" s="43" t="str">
        <f t="shared" si="8"/>
        <v>- 1:49</v>
      </c>
      <c r="U7" s="46" t="str">
        <f t="shared" si="1"/>
        <v/>
      </c>
      <c r="V7" s="41" t="str">
        <f t="shared" si="2"/>
        <v xml:space="preserve">  </v>
      </c>
      <c r="W7" s="49">
        <v>45103</v>
      </c>
      <c r="X7" s="50">
        <v>45104</v>
      </c>
      <c r="Y7" s="50">
        <v>45105</v>
      </c>
      <c r="Z7" s="50">
        <v>45106</v>
      </c>
      <c r="AA7" s="50">
        <v>45107</v>
      </c>
      <c r="AB7" s="50" t="str">
        <v/>
      </c>
      <c r="AC7" s="70" t="str">
        <v/>
      </c>
      <c r="AD7" s="67"/>
    </row>
    <row r="8" spans="1:31" ht="15" customHeight="1">
      <c r="A8" s="15">
        <f t="shared" si="3"/>
        <v>45084</v>
      </c>
      <c r="B8" s="16">
        <f t="shared" si="9"/>
        <v>4</v>
      </c>
      <c r="C8" s="17">
        <v>0.49513888888888902</v>
      </c>
      <c r="D8" s="18">
        <v>0.625</v>
      </c>
      <c r="E8" s="17">
        <v>0.62847222222222199</v>
      </c>
      <c r="F8" s="18">
        <v>0.66597222222222197</v>
      </c>
      <c r="G8" s="17">
        <v>0.67569444444444404</v>
      </c>
      <c r="H8" s="18">
        <v>0.8125</v>
      </c>
      <c r="I8" s="17"/>
      <c r="J8" s="18"/>
      <c r="K8" s="17"/>
      <c r="L8" s="18"/>
      <c r="M8" s="17"/>
      <c r="N8" s="18"/>
      <c r="O8" s="29">
        <f t="shared" si="4"/>
        <v>1.3194444444444065E-2</v>
      </c>
      <c r="P8" s="30">
        <f t="shared" si="5"/>
        <v>0.30416666666666692</v>
      </c>
      <c r="Q8" s="43">
        <f t="shared" si="6"/>
        <v>0.31736111111111098</v>
      </c>
      <c r="R8" s="44">
        <f t="shared" si="0"/>
        <v>0.35416666666666702</v>
      </c>
      <c r="S8" s="45">
        <f t="shared" si="7"/>
        <v>0.86250000000000004</v>
      </c>
      <c r="T8" s="43" t="str">
        <f t="shared" si="8"/>
        <v>- 1:12</v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45085</v>
      </c>
      <c r="B9" s="16">
        <f t="shared" si="9"/>
        <v>5</v>
      </c>
      <c r="C9" s="17">
        <v>0.48263888888888901</v>
      </c>
      <c r="D9" s="18">
        <v>0.60763888888888895</v>
      </c>
      <c r="E9" s="17">
        <v>0.63888888888888895</v>
      </c>
      <c r="F9" s="18">
        <v>0.66666666666666696</v>
      </c>
      <c r="G9" s="17">
        <v>0.67708333333333304</v>
      </c>
      <c r="H9" s="18">
        <v>0.83333333333333304</v>
      </c>
      <c r="I9" s="17"/>
      <c r="J9" s="18"/>
      <c r="K9" s="17"/>
      <c r="L9" s="18"/>
      <c r="M9" s="17"/>
      <c r="N9" s="18"/>
      <c r="O9" s="29">
        <f t="shared" si="4"/>
        <v>4.1666666666666075E-2</v>
      </c>
      <c r="P9" s="30">
        <f t="shared" si="5"/>
        <v>0.30902777777777796</v>
      </c>
      <c r="Q9" s="43">
        <f t="shared" si="6"/>
        <v>0.35069444444444403</v>
      </c>
      <c r="R9" s="44">
        <f t="shared" si="0"/>
        <v>0.35416666666666702</v>
      </c>
      <c r="S9" s="45">
        <f t="shared" si="7"/>
        <v>0.8784722222222221</v>
      </c>
      <c r="T9" s="43" t="str">
        <f t="shared" si="8"/>
        <v>- 1:05</v>
      </c>
      <c r="U9" s="46" t="str">
        <f t="shared" si="1"/>
        <v/>
      </c>
      <c r="V9" s="41" t="str">
        <f t="shared" si="2"/>
        <v xml:space="preserve">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45086</v>
      </c>
      <c r="B10" s="16">
        <f t="shared" si="9"/>
        <v>6</v>
      </c>
      <c r="C10" s="17">
        <v>0.41666666666666702</v>
      </c>
      <c r="D10" s="18">
        <v>0.5625</v>
      </c>
      <c r="E10" s="17">
        <v>0.58680555555555602</v>
      </c>
      <c r="F10" s="18">
        <v>0.66666666666666696</v>
      </c>
      <c r="G10" s="17">
        <v>0.67708333333333304</v>
      </c>
      <c r="H10" s="18">
        <v>0.77777777777777801</v>
      </c>
      <c r="I10" s="17"/>
      <c r="J10" s="18"/>
      <c r="K10" s="17"/>
      <c r="L10" s="18"/>
      <c r="M10" s="17"/>
      <c r="N10" s="18"/>
      <c r="O10" s="29">
        <f t="shared" si="4"/>
        <v>3.4722222222222099E-2</v>
      </c>
      <c r="P10" s="30">
        <f t="shared" si="5"/>
        <v>0.3263888888888889</v>
      </c>
      <c r="Q10" s="43">
        <f t="shared" si="6"/>
        <v>0.36111111111111099</v>
      </c>
      <c r="R10" s="44">
        <f t="shared" si="0"/>
        <v>0.35416666666666702</v>
      </c>
      <c r="S10" s="45">
        <f t="shared" si="7"/>
        <v>0.80555555555555614</v>
      </c>
      <c r="T10" s="43" t="str">
        <f t="shared" si="8"/>
        <v>- 0:40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45087</v>
      </c>
      <c r="B11" s="16">
        <f t="shared" si="9"/>
        <v>7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29" t="str">
        <f t="shared" si="4"/>
        <v/>
      </c>
      <c r="P11" s="30" t="str">
        <f t="shared" si="5"/>
        <v/>
      </c>
      <c r="Q11" s="43" t="str">
        <f t="shared" si="6"/>
        <v/>
      </c>
      <c r="R11" s="44" t="str">
        <f t="shared" si="0"/>
        <v/>
      </c>
      <c r="S11" s="45" t="str">
        <f t="shared" si="7"/>
        <v/>
      </c>
      <c r="T11" s="43" t="str">
        <f t="shared" si="8"/>
        <v/>
      </c>
      <c r="U11" s="46" t="str">
        <f t="shared" si="1"/>
        <v/>
      </c>
      <c r="V11" s="41" t="str">
        <f t="shared" si="2"/>
        <v xml:space="preserve">Saturday  </v>
      </c>
      <c r="W11" s="53"/>
      <c r="X11" s="241">
        <v>45078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45088</v>
      </c>
      <c r="B12" s="16">
        <f t="shared" si="9"/>
        <v>1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Sunday  </v>
      </c>
      <c r="W12" s="242" t="str">
        <f>"Total "&amp;DAY(DATE(YEAR($X$11),MONTH($X$11)+1,1)-1)&amp;" Days in this month"</f>
        <v>Total 30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45089</v>
      </c>
      <c r="B13" s="16">
        <f t="shared" si="9"/>
        <v>2</v>
      </c>
      <c r="C13" s="17">
        <v>0.46527777777777801</v>
      </c>
      <c r="D13" s="18">
        <v>0.64027777777777795</v>
      </c>
      <c r="E13" s="17">
        <v>0.64444444444444404</v>
      </c>
      <c r="F13" s="18">
        <v>0.66666666666666696</v>
      </c>
      <c r="G13" s="17"/>
      <c r="H13" s="18"/>
      <c r="I13" s="17"/>
      <c r="J13" s="18"/>
      <c r="K13" s="17"/>
      <c r="L13" s="18"/>
      <c r="M13" s="17"/>
      <c r="N13" s="18"/>
      <c r="O13" s="29">
        <f t="shared" si="4"/>
        <v>4.1666666666660968E-3</v>
      </c>
      <c r="P13" s="30">
        <f t="shared" si="5"/>
        <v>0.19722222222222285</v>
      </c>
      <c r="Q13" s="43">
        <f t="shared" si="6"/>
        <v>0.20138888888888895</v>
      </c>
      <c r="R13" s="44">
        <f t="shared" si="0"/>
        <v>0.35416666666666702</v>
      </c>
      <c r="S13" s="45">
        <f t="shared" si="7"/>
        <v>0.82361111111111107</v>
      </c>
      <c r="T13" s="43" t="str">
        <f t="shared" si="8"/>
        <v>- 3:46</v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1*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30</v>
      </c>
      <c r="AE13" s="74"/>
    </row>
    <row r="14" spans="1:31" ht="15" customHeight="1">
      <c r="A14" s="15">
        <f t="shared" si="3"/>
        <v>45090</v>
      </c>
      <c r="B14" s="16">
        <f t="shared" si="9"/>
        <v>3</v>
      </c>
      <c r="C14" s="17">
        <v>0.44097222222222199</v>
      </c>
      <c r="D14" s="18">
        <v>0.56944444444444398</v>
      </c>
      <c r="E14" s="17">
        <v>0.59027777777777801</v>
      </c>
      <c r="F14" s="18">
        <v>0.65277777777777801</v>
      </c>
      <c r="G14" s="17">
        <v>0.65972222222222199</v>
      </c>
      <c r="H14" s="18">
        <v>0.8125</v>
      </c>
      <c r="I14" s="17"/>
      <c r="J14" s="18"/>
      <c r="K14" s="17"/>
      <c r="L14" s="18"/>
      <c r="M14" s="17"/>
      <c r="N14" s="18"/>
      <c r="O14" s="29">
        <f t="shared" si="4"/>
        <v>2.7777777777778012E-2</v>
      </c>
      <c r="P14" s="30">
        <f t="shared" si="5"/>
        <v>0.34375</v>
      </c>
      <c r="Q14" s="43">
        <f t="shared" si="6"/>
        <v>0.37152777777777801</v>
      </c>
      <c r="R14" s="44">
        <f t="shared" si="0"/>
        <v>0.35416666666666702</v>
      </c>
      <c r="S14" s="45">
        <f t="shared" si="7"/>
        <v>0.82291666666666696</v>
      </c>
      <c r="T14" s="43" t="str">
        <f t="shared" si="8"/>
        <v>- 0:15</v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8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45091</v>
      </c>
      <c r="B15" s="16">
        <f t="shared" si="9"/>
        <v>4</v>
      </c>
      <c r="C15" s="17">
        <v>0.46527777777777801</v>
      </c>
      <c r="D15" s="18">
        <v>0.61111111111111105</v>
      </c>
      <c r="E15" s="17">
        <v>0.61458333333333304</v>
      </c>
      <c r="F15" s="18">
        <v>0.65277777777777801</v>
      </c>
      <c r="G15" s="17">
        <v>0.66666666666666696</v>
      </c>
      <c r="H15" s="18">
        <v>0.8125</v>
      </c>
      <c r="I15" s="17"/>
      <c r="J15" s="18"/>
      <c r="K15" s="17"/>
      <c r="L15" s="18"/>
      <c r="M15" s="17"/>
      <c r="N15" s="18"/>
      <c r="O15" s="29">
        <f t="shared" si="4"/>
        <v>1.7361111111110938E-2</v>
      </c>
      <c r="P15" s="30">
        <f t="shared" si="5"/>
        <v>0.32986111111111105</v>
      </c>
      <c r="Q15" s="43">
        <f t="shared" si="6"/>
        <v>0.34722222222222199</v>
      </c>
      <c r="R15" s="44">
        <f t="shared" si="0"/>
        <v>0.35416666666666702</v>
      </c>
      <c r="S15" s="45">
        <f t="shared" si="7"/>
        <v>0.83680555555555602</v>
      </c>
      <c r="T15" s="43" t="str">
        <f t="shared" si="8"/>
        <v>- 0:35</v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Jun-23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45092</v>
      </c>
      <c r="B16" s="16">
        <f t="shared" si="9"/>
        <v>5</v>
      </c>
      <c r="C16" s="17">
        <v>0.45833333333333298</v>
      </c>
      <c r="D16" s="18">
        <v>0.52777777777777801</v>
      </c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>
        <f t="shared" si="5"/>
        <v>6.944444444444503E-2</v>
      </c>
      <c r="Q16" s="43">
        <f t="shared" si="6"/>
        <v>6.944444444444503E-2</v>
      </c>
      <c r="R16" s="44">
        <f t="shared" si="0"/>
        <v>0.35416666666666702</v>
      </c>
      <c r="S16" s="45">
        <f t="shared" si="7"/>
        <v>0.8125</v>
      </c>
      <c r="T16" s="43" t="str">
        <f t="shared" si="8"/>
        <v>- 6:50</v>
      </c>
      <c r="U16" s="46" t="str">
        <f t="shared" si="1"/>
        <v/>
      </c>
      <c r="V16" s="41" t="str">
        <f t="shared" si="2"/>
        <v xml:space="preserve">  </v>
      </c>
      <c r="W16" s="225" t="str">
        <f>"Break Hours "&amp;TEXT(SUM($O2:$O33),"[h]:mm")</f>
        <v>Break Hours 12:17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45093</v>
      </c>
      <c r="B17" s="16">
        <f t="shared" si="9"/>
        <v>6</v>
      </c>
      <c r="C17" s="17">
        <v>0.47222222222222199</v>
      </c>
      <c r="D17" s="18">
        <v>0.56944444444444398</v>
      </c>
      <c r="E17" s="17">
        <v>0.59027777777777801</v>
      </c>
      <c r="F17" s="18">
        <v>0.61111111111111105</v>
      </c>
      <c r="G17" s="17">
        <v>0.625</v>
      </c>
      <c r="H17" s="18">
        <v>0.85416666666666696</v>
      </c>
      <c r="I17" s="17"/>
      <c r="J17" s="18"/>
      <c r="K17" s="17"/>
      <c r="L17" s="18"/>
      <c r="M17" s="17"/>
      <c r="N17" s="18"/>
      <c r="O17" s="29">
        <f t="shared" si="4"/>
        <v>3.4722222222222987E-2</v>
      </c>
      <c r="P17" s="30">
        <f t="shared" si="5"/>
        <v>0.34722222222222199</v>
      </c>
      <c r="Q17" s="43">
        <f t="shared" si="6"/>
        <v>0.38194444444444497</v>
      </c>
      <c r="R17" s="44">
        <f t="shared" si="0"/>
        <v>0.35416666666666702</v>
      </c>
      <c r="S17" s="45">
        <f t="shared" si="7"/>
        <v>0.86111111111111205</v>
      </c>
      <c r="T17" s="43" t="str">
        <f t="shared" si="8"/>
        <v>- 0:10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155:32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45094</v>
      </c>
      <c r="B18" s="16">
        <f t="shared" si="9"/>
        <v>7</v>
      </c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29" t="str">
        <f t="shared" si="4"/>
        <v/>
      </c>
      <c r="P18" s="30" t="str">
        <f t="shared" si="5"/>
        <v/>
      </c>
      <c r="Q18" s="43" t="str">
        <f t="shared" si="6"/>
        <v/>
      </c>
      <c r="R18" s="44" t="str">
        <f t="shared" si="0"/>
        <v/>
      </c>
      <c r="S18" s="45" t="str">
        <f t="shared" si="7"/>
        <v/>
      </c>
      <c r="T18" s="43" t="str">
        <f t="shared" si="8"/>
        <v/>
      </c>
      <c r="U18" s="46" t="str">
        <f t="shared" si="1"/>
        <v/>
      </c>
      <c r="V18" s="41" t="str">
        <f t="shared" si="2"/>
        <v xml:space="preserve">Saturday  </v>
      </c>
      <c r="W18" s="222" t="str">
        <f>"Expected Work Hours "&amp;TEXT(SUM($R2:$R33),"[h]:mm")</f>
        <v>Expected Work Hours 178:30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45095</v>
      </c>
      <c r="B19" s="16">
        <f t="shared" si="9"/>
        <v>1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Sunday  </v>
      </c>
      <c r="W19" s="219" t="str">
        <f>"Actual Average Hours "&amp;TEXT(IFERROR(AVERAGEIF($P2:$P33,"&lt;&gt;0",$P2:$P33),""),"[h]:mm")</f>
        <v>Actual Average Hours 7:24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45096</v>
      </c>
      <c r="B20" s="16">
        <f t="shared" si="9"/>
        <v>2</v>
      </c>
      <c r="C20" s="17">
        <v>0.45833333333333298</v>
      </c>
      <c r="D20" s="18">
        <v>0.56944444444444398</v>
      </c>
      <c r="E20" s="17">
        <v>0.58680555555555602</v>
      </c>
      <c r="F20" s="18">
        <v>0.64930555555555602</v>
      </c>
      <c r="G20" s="17">
        <v>0.65625</v>
      </c>
      <c r="H20" s="18">
        <v>0.83333333333333304</v>
      </c>
      <c r="I20" s="17"/>
      <c r="J20" s="18"/>
      <c r="K20" s="17"/>
      <c r="L20" s="18"/>
      <c r="M20" s="17"/>
      <c r="N20" s="18"/>
      <c r="O20" s="29">
        <f t="shared" si="4"/>
        <v>2.4305555555556024E-2</v>
      </c>
      <c r="P20" s="30">
        <f t="shared" si="5"/>
        <v>0.35069444444444403</v>
      </c>
      <c r="Q20" s="43">
        <f t="shared" si="6"/>
        <v>0.37500000000000006</v>
      </c>
      <c r="R20" s="44">
        <f t="shared" si="0"/>
        <v>0.35416666666666702</v>
      </c>
      <c r="S20" s="45">
        <f t="shared" si="7"/>
        <v>0.83680555555555602</v>
      </c>
      <c r="T20" s="43" t="str">
        <f t="shared" si="8"/>
        <v>- 0:05</v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45097</v>
      </c>
      <c r="B21" s="16">
        <f t="shared" si="9"/>
        <v>3</v>
      </c>
      <c r="C21" s="17">
        <v>0.42986111111111103</v>
      </c>
      <c r="D21" s="18">
        <v>0.55555555555555602</v>
      </c>
      <c r="E21" s="17">
        <v>0.57986111111111105</v>
      </c>
      <c r="F21" s="18">
        <v>0.66111111111111098</v>
      </c>
      <c r="G21" s="17">
        <v>0.66527777777777797</v>
      </c>
      <c r="H21" s="18">
        <v>0.8125</v>
      </c>
      <c r="I21" s="17"/>
      <c r="J21" s="18"/>
      <c r="K21" s="17"/>
      <c r="L21" s="18"/>
      <c r="M21" s="17"/>
      <c r="N21" s="18"/>
      <c r="O21" s="29">
        <f t="shared" si="4"/>
        <v>2.847222222222201E-2</v>
      </c>
      <c r="P21" s="30">
        <f t="shared" si="5"/>
        <v>0.35416666666666696</v>
      </c>
      <c r="Q21" s="43">
        <f t="shared" si="6"/>
        <v>0.38263888888888897</v>
      </c>
      <c r="R21" s="44">
        <f t="shared" si="0"/>
        <v>0.35416666666666702</v>
      </c>
      <c r="S21" s="45">
        <f t="shared" si="7"/>
        <v>0.8125</v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22:58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45098</v>
      </c>
      <c r="B22" s="16">
        <f t="shared" si="9"/>
        <v>4</v>
      </c>
      <c r="C22" s="17">
        <v>0.44444444444444398</v>
      </c>
      <c r="D22" s="18">
        <v>0.53125</v>
      </c>
      <c r="E22" s="17">
        <v>0.54861111111111105</v>
      </c>
      <c r="F22" s="18">
        <v>0.55902777777777801</v>
      </c>
      <c r="G22" s="17">
        <v>0.58402777777777803</v>
      </c>
      <c r="H22" s="18">
        <v>0.66666666666666696</v>
      </c>
      <c r="I22" s="17">
        <v>0.67361111111111105</v>
      </c>
      <c r="J22" s="18">
        <v>0.83333333333333304</v>
      </c>
      <c r="K22" s="17"/>
      <c r="L22" s="18"/>
      <c r="M22" s="17"/>
      <c r="N22" s="18"/>
      <c r="O22" s="29">
        <f t="shared" si="4"/>
        <v>4.9305555555555158E-2</v>
      </c>
      <c r="P22" s="30">
        <f t="shared" si="5"/>
        <v>0.3395833333333339</v>
      </c>
      <c r="Q22" s="43">
        <f t="shared" si="6"/>
        <v>0.38888888888888906</v>
      </c>
      <c r="R22" s="44">
        <f t="shared" si="0"/>
        <v>0.35416666666666702</v>
      </c>
      <c r="S22" s="45">
        <f t="shared" si="7"/>
        <v>0.84791666666666621</v>
      </c>
      <c r="T22" s="43" t="str">
        <f t="shared" si="8"/>
        <v>- 0:21</v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167:49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45099</v>
      </c>
      <c r="B23" s="16">
        <f t="shared" si="9"/>
        <v>5</v>
      </c>
      <c r="C23" s="17">
        <v>0.47499999999999998</v>
      </c>
      <c r="D23" s="18">
        <v>0.64583333333333304</v>
      </c>
      <c r="E23" s="17">
        <v>0.64930555555555602</v>
      </c>
      <c r="F23" s="18">
        <v>0.83333333333333304</v>
      </c>
      <c r="G23" s="17"/>
      <c r="H23" s="18"/>
      <c r="I23" s="17"/>
      <c r="J23" s="18"/>
      <c r="K23" s="17"/>
      <c r="L23" s="18"/>
      <c r="M23" s="17"/>
      <c r="N23" s="18"/>
      <c r="O23" s="29">
        <f t="shared" si="4"/>
        <v>3.472222222222987E-3</v>
      </c>
      <c r="P23" s="30">
        <f t="shared" si="5"/>
        <v>0.35486111111111007</v>
      </c>
      <c r="Q23" s="43">
        <f t="shared" si="6"/>
        <v>0.35833333333333306</v>
      </c>
      <c r="R23" s="44">
        <f t="shared" si="0"/>
        <v>0.35416666666666702</v>
      </c>
      <c r="S23" s="45">
        <f t="shared" si="7"/>
        <v>0.83263888888889004</v>
      </c>
      <c r="T23" s="43" t="str">
        <f t="shared" si="8"/>
        <v>+ 0:01</v>
      </c>
      <c r="U23" s="46" t="str">
        <f t="shared" si="1"/>
        <v/>
      </c>
      <c r="V23" s="41" t="str">
        <f t="shared" si="2"/>
        <v xml:space="preserve">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45100</v>
      </c>
      <c r="B24" s="16">
        <f t="shared" si="9"/>
        <v>6</v>
      </c>
      <c r="C24" s="17">
        <v>0.44791666666666702</v>
      </c>
      <c r="D24" s="18">
        <v>0.54513888888888895</v>
      </c>
      <c r="E24" s="17">
        <v>0.563194444444444</v>
      </c>
      <c r="F24" s="18">
        <v>0.64583333333333304</v>
      </c>
      <c r="G24" s="17">
        <v>0.69097222222222199</v>
      </c>
      <c r="H24" s="18">
        <v>0.83333333333333304</v>
      </c>
      <c r="I24" s="17"/>
      <c r="J24" s="18"/>
      <c r="K24" s="17"/>
      <c r="L24" s="18"/>
      <c r="M24" s="17"/>
      <c r="N24" s="18"/>
      <c r="O24" s="29">
        <f t="shared" si="4"/>
        <v>6.3194444444443998E-2</v>
      </c>
      <c r="P24" s="30">
        <f t="shared" si="5"/>
        <v>0.32222222222222202</v>
      </c>
      <c r="Q24" s="43">
        <f t="shared" si="6"/>
        <v>0.38541666666666602</v>
      </c>
      <c r="R24" s="44">
        <f t="shared" si="0"/>
        <v>0.35416666666666702</v>
      </c>
      <c r="S24" s="45">
        <f t="shared" si="7"/>
        <v>0.86527777777777803</v>
      </c>
      <c r="T24" s="43" t="str">
        <f t="shared" si="8"/>
        <v>- 0:46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45101</v>
      </c>
      <c r="B25" s="16">
        <f t="shared" si="9"/>
        <v>7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29" t="str">
        <f t="shared" si="4"/>
        <v/>
      </c>
      <c r="P25" s="30" t="str">
        <f t="shared" si="5"/>
        <v/>
      </c>
      <c r="Q25" s="43" t="str">
        <f t="shared" si="6"/>
        <v/>
      </c>
      <c r="R25" s="44" t="str">
        <f t="shared" si="0"/>
        <v/>
      </c>
      <c r="S25" s="45" t="str">
        <f t="shared" si="7"/>
        <v/>
      </c>
      <c r="T25" s="43" t="str">
        <f t="shared" si="8"/>
        <v/>
      </c>
      <c r="U25" s="46" t="str">
        <f t="shared" si="1"/>
        <v/>
      </c>
      <c r="V25" s="41" t="str">
        <f t="shared" si="2"/>
        <v xml:space="preserve">Saturday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45102</v>
      </c>
      <c r="B26" s="16">
        <f t="shared" si="9"/>
        <v>1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Sunday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45103</v>
      </c>
      <c r="B27" s="16">
        <f t="shared" si="9"/>
        <v>2</v>
      </c>
      <c r="C27" s="17">
        <v>0.42361111111111099</v>
      </c>
      <c r="D27" s="18">
        <v>0.58333333333333304</v>
      </c>
      <c r="E27" s="17">
        <v>0.59722222222222199</v>
      </c>
      <c r="F27" s="18">
        <v>0.72916666666666696</v>
      </c>
      <c r="G27" s="17"/>
      <c r="H27" s="18"/>
      <c r="I27" s="17"/>
      <c r="J27" s="18"/>
      <c r="K27" s="17"/>
      <c r="L27" s="18"/>
      <c r="M27" s="17"/>
      <c r="N27" s="18"/>
      <c r="O27" s="29">
        <f t="shared" si="4"/>
        <v>1.3888888888888951E-2</v>
      </c>
      <c r="P27" s="30">
        <f t="shared" si="5"/>
        <v>0.29166666666666702</v>
      </c>
      <c r="Q27" s="43">
        <f t="shared" si="6"/>
        <v>0.30555555555555597</v>
      </c>
      <c r="R27" s="44">
        <f t="shared" si="0"/>
        <v>0.35416666666666702</v>
      </c>
      <c r="S27" s="45">
        <f t="shared" si="7"/>
        <v>0.79166666666666696</v>
      </c>
      <c r="T27" s="43" t="str">
        <f t="shared" si="8"/>
        <v>- 1:30</v>
      </c>
      <c r="U27" s="46" t="str">
        <f t="shared" si="1"/>
        <v/>
      </c>
      <c r="V27" s="41" t="str">
        <f t="shared" si="2"/>
        <v xml:space="preserve">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45104</v>
      </c>
      <c r="B28" s="16">
        <f t="shared" si="9"/>
        <v>3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45105</v>
      </c>
      <c r="B29" s="16">
        <f t="shared" si="9"/>
        <v>4</v>
      </c>
      <c r="C29" s="17">
        <v>0.41875000000000001</v>
      </c>
      <c r="D29" s="18">
        <v>0.55208333333333304</v>
      </c>
      <c r="E29" s="17">
        <v>0.57430555555555596</v>
      </c>
      <c r="F29" s="18">
        <v>0.655555555555556</v>
      </c>
      <c r="G29" s="17">
        <v>0.66111111111111098</v>
      </c>
      <c r="H29" s="18">
        <v>0.67361111111111105</v>
      </c>
      <c r="I29" s="17">
        <v>0.6875</v>
      </c>
      <c r="J29" s="18">
        <v>0.79166666666666696</v>
      </c>
      <c r="K29" s="17"/>
      <c r="L29" s="18"/>
      <c r="M29" s="17"/>
      <c r="N29" s="18"/>
      <c r="O29" s="29">
        <f t="shared" si="4"/>
        <v>4.1666666666666852E-2</v>
      </c>
      <c r="P29" s="30">
        <f t="shared" si="5"/>
        <v>0.3312500000000001</v>
      </c>
      <c r="Q29" s="43">
        <f t="shared" si="6"/>
        <v>0.37291666666666695</v>
      </c>
      <c r="R29" s="44">
        <f t="shared" si="0"/>
        <v>0.35416666666666702</v>
      </c>
      <c r="S29" s="45">
        <f t="shared" si="7"/>
        <v>0.81458333333333388</v>
      </c>
      <c r="T29" s="43" t="str">
        <f t="shared" si="8"/>
        <v>- 0:33</v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45106</v>
      </c>
      <c r="B30" s="16">
        <f t="shared" si="9"/>
        <v>5</v>
      </c>
      <c r="C30" s="17">
        <v>0.43611111111111101</v>
      </c>
      <c r="D30" s="18">
        <v>0.58680555555555602</v>
      </c>
      <c r="E30" s="17">
        <v>0.59375</v>
      </c>
      <c r="F30" s="18">
        <v>0.79166666666666696</v>
      </c>
      <c r="G30" s="17"/>
      <c r="H30" s="18"/>
      <c r="I30" s="17"/>
      <c r="J30" s="18"/>
      <c r="K30" s="17"/>
      <c r="L30" s="18"/>
      <c r="M30" s="17"/>
      <c r="N30" s="18"/>
      <c r="O30" s="29">
        <f t="shared" si="4"/>
        <v>6.9444444444439757E-3</v>
      </c>
      <c r="P30" s="30">
        <f t="shared" si="5"/>
        <v>0.34861111111111198</v>
      </c>
      <c r="Q30" s="43">
        <f t="shared" si="6"/>
        <v>0.35555555555555596</v>
      </c>
      <c r="R30" s="44">
        <f t="shared" si="0"/>
        <v>0.35416666666666702</v>
      </c>
      <c r="S30" s="45">
        <f t="shared" si="7"/>
        <v>0.79722222222222205</v>
      </c>
      <c r="T30" s="43" t="str">
        <f t="shared" si="8"/>
        <v>- 0:08</v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45107</v>
      </c>
      <c r="B31" s="16">
        <f t="shared" si="9"/>
        <v>6</v>
      </c>
      <c r="C31" s="17">
        <v>0.452777777777778</v>
      </c>
      <c r="D31" s="18">
        <v>0.656944444444444</v>
      </c>
      <c r="E31" s="17">
        <v>0.66666666666666696</v>
      </c>
      <c r="F31" s="18">
        <v>0.83055555555555605</v>
      </c>
      <c r="G31" s="17"/>
      <c r="H31" s="18"/>
      <c r="I31" s="17"/>
      <c r="J31" s="18"/>
      <c r="K31" s="17"/>
      <c r="L31" s="18"/>
      <c r="M31" s="17"/>
      <c r="N31" s="18"/>
      <c r="O31" s="29">
        <f t="shared" si="4"/>
        <v>9.7222222222229648E-3</v>
      </c>
      <c r="P31" s="30">
        <f t="shared" si="5"/>
        <v>0.36805555555555508</v>
      </c>
      <c r="Q31" s="43">
        <f t="shared" si="6"/>
        <v>0.37777777777777805</v>
      </c>
      <c r="R31" s="44">
        <f t="shared" si="0"/>
        <v>0.35416666666666702</v>
      </c>
      <c r="S31" s="45">
        <f t="shared" si="7"/>
        <v>0.81666666666666798</v>
      </c>
      <c r="T31" s="43" t="str">
        <f t="shared" si="8"/>
        <v>+ 0:20</v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 t="str">
        <f t="shared" si="3"/>
        <v/>
      </c>
      <c r="B32" s="16" t="str">
        <f t="shared" si="9"/>
        <v/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72" priority="9" stopIfTrue="1">
      <formula>OR($X$11="",MONTH(NOW())&lt;&gt;MONTH($X$11))</formula>
    </cfRule>
  </conditionalFormatting>
  <conditionalFormatting sqref="W15">
    <cfRule type="expression" dxfId="71" priority="4" stopIfTrue="1">
      <formula>TotalLeave&gt;=Yearly_Leaves</formula>
    </cfRule>
  </conditionalFormatting>
  <conditionalFormatting sqref="W1:AC8 W11 AC11 W12:AC22 W24:AC33 U2:V33">
    <cfRule type="expression" dxfId="70" priority="8" stopIfTrue="1">
      <formula>$X$11=""</formula>
    </cfRule>
  </conditionalFormatting>
  <conditionalFormatting sqref="A2:V33">
    <cfRule type="expression" dxfId="6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68" priority="2" stopIfTrue="1">
      <formula>AND(NOT(ISNA(MATCH($A2,hdate,0))),COUNTIF($V2,"*Optional*")&lt;1)</formula>
    </cfRule>
    <cfRule type="expression" dxfId="67" priority="3" stopIfTrue="1">
      <formula>AND($P2&lt;&gt;$R2,$P2&lt;$R2,$D2&lt;&gt;"")</formula>
    </cfRule>
  </conditionalFormatting>
  <conditionalFormatting sqref="U2:V33">
    <cfRule type="expression" dxfId="6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65" priority="5" stopIfTrue="1">
      <formula>W3=TODAY()</formula>
    </cfRule>
    <cfRule type="expression" dxfId="64" priority="6" stopIfTrue="1">
      <formula>NOT(ISNA(MATCH(W3,ldate,0)))</formula>
    </cfRule>
    <cfRule type="expression" dxfId="6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8" activePane="bottomLeft" state="frozen"/>
      <selection pane="bottomLeft" activeCell="E28" sqref="E28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45108</v>
      </c>
      <c r="X1" s="240">
        <f>$X$11</f>
        <v>45108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45103</v>
      </c>
      <c r="AD1" s="67"/>
    </row>
    <row r="2" spans="1:31" ht="15" customHeight="1">
      <c r="A2" s="11">
        <f>IF($X$11="","",DATE(YEAR($X$11),MONTH($X$11),1))</f>
        <v>45108</v>
      </c>
      <c r="B2" s="12">
        <f>IF($A2="","",WEEKDAY(A2))</f>
        <v>7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Saturday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45109</v>
      </c>
      <c r="B3" s="16">
        <f>IF($A3="","",WEEKDAY(A3))</f>
        <v>1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Sunday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>
        <v>45108</v>
      </c>
      <c r="AC3" s="69">
        <v>45109</v>
      </c>
      <c r="AD3" s="67"/>
    </row>
    <row r="4" spans="1:31" ht="15" customHeight="1">
      <c r="A4" s="15">
        <f t="shared" si="3"/>
        <v>45110</v>
      </c>
      <c r="B4" s="16">
        <f t="shared" ref="B4:B33" si="9">IF($A4="","",WEEKDAY(A4))</f>
        <v>2</v>
      </c>
      <c r="C4" s="17">
        <v>0.47916666666666702</v>
      </c>
      <c r="D4" s="18">
        <v>0.55277777777777803</v>
      </c>
      <c r="E4" s="17">
        <v>0.57638888888888895</v>
      </c>
      <c r="F4" s="18">
        <v>0.8125</v>
      </c>
      <c r="G4" s="17"/>
      <c r="H4" s="18"/>
      <c r="I4" s="17"/>
      <c r="J4" s="18"/>
      <c r="K4" s="17"/>
      <c r="L4" s="18"/>
      <c r="M4" s="17"/>
      <c r="N4" s="18"/>
      <c r="O4" s="29">
        <f t="shared" si="4"/>
        <v>2.3611111111110916E-2</v>
      </c>
      <c r="P4" s="30">
        <f t="shared" si="5"/>
        <v>0.30972222222222207</v>
      </c>
      <c r="Q4" s="43">
        <f t="shared" si="6"/>
        <v>0.33333333333333298</v>
      </c>
      <c r="R4" s="44">
        <f t="shared" si="0"/>
        <v>0.35416666666666702</v>
      </c>
      <c r="S4" s="45">
        <f t="shared" si="7"/>
        <v>0.85694444444444495</v>
      </c>
      <c r="T4" s="43" t="str">
        <f t="shared" si="8"/>
        <v>- 1:04</v>
      </c>
      <c r="U4" s="46" t="str">
        <f t="shared" si="1"/>
        <v/>
      </c>
      <c r="V4" s="41" t="str">
        <f t="shared" si="2"/>
        <v xml:space="preserve">  </v>
      </c>
      <c r="W4" s="49">
        <v>45110</v>
      </c>
      <c r="X4" s="50">
        <v>45111</v>
      </c>
      <c r="Y4" s="50">
        <v>45112</v>
      </c>
      <c r="Z4" s="50">
        <v>45113</v>
      </c>
      <c r="AA4" s="50">
        <v>45114</v>
      </c>
      <c r="AB4" s="50">
        <v>45115</v>
      </c>
      <c r="AC4" s="70">
        <v>45116</v>
      </c>
      <c r="AD4" s="67"/>
    </row>
    <row r="5" spans="1:31" ht="15" customHeight="1">
      <c r="A5" s="15">
        <f t="shared" si="3"/>
        <v>45111</v>
      </c>
      <c r="B5" s="16">
        <f t="shared" si="9"/>
        <v>3</v>
      </c>
      <c r="C5" s="17">
        <v>0.469444444444444</v>
      </c>
      <c r="D5" s="18">
        <v>0.56805555555555598</v>
      </c>
      <c r="E5" s="17">
        <v>0.58750000000000002</v>
      </c>
      <c r="F5" s="18">
        <v>0.8125</v>
      </c>
      <c r="G5" s="17"/>
      <c r="H5" s="18"/>
      <c r="I5" s="17"/>
      <c r="J5" s="18"/>
      <c r="K5" s="17"/>
      <c r="L5" s="18"/>
      <c r="M5" s="17"/>
      <c r="N5" s="18"/>
      <c r="O5" s="29">
        <f t="shared" si="4"/>
        <v>1.9444444444444042E-2</v>
      </c>
      <c r="P5" s="30">
        <f t="shared" si="5"/>
        <v>0.32361111111111196</v>
      </c>
      <c r="Q5" s="43">
        <f t="shared" si="6"/>
        <v>0.343055555555556</v>
      </c>
      <c r="R5" s="44">
        <f t="shared" si="0"/>
        <v>0.35416666666666702</v>
      </c>
      <c r="S5" s="45">
        <f t="shared" si="7"/>
        <v>0.843055555555555</v>
      </c>
      <c r="T5" s="43" t="str">
        <f t="shared" si="8"/>
        <v>- 0:44</v>
      </c>
      <c r="U5" s="46" t="str">
        <f t="shared" si="1"/>
        <v/>
      </c>
      <c r="V5" s="41" t="str">
        <f t="shared" si="2"/>
        <v xml:space="preserve">  </v>
      </c>
      <c r="W5" s="49">
        <v>45117</v>
      </c>
      <c r="X5" s="50">
        <v>45118</v>
      </c>
      <c r="Y5" s="50">
        <v>45119</v>
      </c>
      <c r="Z5" s="50">
        <v>45120</v>
      </c>
      <c r="AA5" s="50">
        <v>45121</v>
      </c>
      <c r="AB5" s="50">
        <v>45122</v>
      </c>
      <c r="AC5" s="70">
        <v>45123</v>
      </c>
      <c r="AD5" s="67"/>
    </row>
    <row r="6" spans="1:31" ht="15" customHeight="1">
      <c r="A6" s="15">
        <f t="shared" si="3"/>
        <v>45112</v>
      </c>
      <c r="B6" s="16">
        <f t="shared" si="9"/>
        <v>4</v>
      </c>
      <c r="C6" s="17">
        <v>0.4375</v>
      </c>
      <c r="D6" s="18">
        <v>0.58333333333333304</v>
      </c>
      <c r="E6" s="17">
        <v>0.59027777777777801</v>
      </c>
      <c r="F6" s="18">
        <v>0.65972222222222199</v>
      </c>
      <c r="G6" s="17">
        <v>0.66597222222222197</v>
      </c>
      <c r="H6" s="18">
        <v>0.67847222222222203</v>
      </c>
      <c r="I6" s="17">
        <v>0.68611111111111101</v>
      </c>
      <c r="J6" s="18">
        <v>0.8125</v>
      </c>
      <c r="K6" s="17"/>
      <c r="L6" s="18"/>
      <c r="M6" s="17"/>
      <c r="N6" s="18"/>
      <c r="O6" s="29">
        <f t="shared" si="4"/>
        <v>2.0833333333333925E-2</v>
      </c>
      <c r="P6" s="30">
        <f t="shared" si="5"/>
        <v>0.35416666666666607</v>
      </c>
      <c r="Q6" s="43">
        <f t="shared" si="6"/>
        <v>0.375</v>
      </c>
      <c r="R6" s="44">
        <f t="shared" si="0"/>
        <v>0.35416666666666702</v>
      </c>
      <c r="S6" s="45">
        <f t="shared" si="7"/>
        <v>0.81250000000000089</v>
      </c>
      <c r="T6" s="43" t="str">
        <f t="shared" si="8"/>
        <v>- 0:00</v>
      </c>
      <c r="U6" s="46" t="str">
        <f t="shared" si="1"/>
        <v/>
      </c>
      <c r="V6" s="41" t="str">
        <f t="shared" si="2"/>
        <v xml:space="preserve">  </v>
      </c>
      <c r="W6" s="49">
        <v>45124</v>
      </c>
      <c r="X6" s="50">
        <v>45125</v>
      </c>
      <c r="Y6" s="50">
        <v>45126</v>
      </c>
      <c r="Z6" s="50">
        <v>45127</v>
      </c>
      <c r="AA6" s="50">
        <v>45128</v>
      </c>
      <c r="AB6" s="50">
        <v>45129</v>
      </c>
      <c r="AC6" s="70">
        <v>45130</v>
      </c>
      <c r="AD6" s="67"/>
    </row>
    <row r="7" spans="1:31" ht="15" customHeight="1">
      <c r="A7" s="15">
        <f t="shared" si="3"/>
        <v>45113</v>
      </c>
      <c r="B7" s="16">
        <f t="shared" si="9"/>
        <v>5</v>
      </c>
      <c r="C7" s="17">
        <v>0.42569444444444399</v>
      </c>
      <c r="D7" s="18">
        <v>0.54166666666666696</v>
      </c>
      <c r="E7" s="17">
        <v>0.54513888888888895</v>
      </c>
      <c r="F7" s="18">
        <v>0.57986111111111105</v>
      </c>
      <c r="G7" s="17">
        <v>0.58333333333333304</v>
      </c>
      <c r="H7" s="18">
        <v>0.65625</v>
      </c>
      <c r="I7" s="17">
        <v>0.66319444444444398</v>
      </c>
      <c r="J7" s="18">
        <v>0.79166666666666696</v>
      </c>
      <c r="K7" s="17"/>
      <c r="L7" s="18"/>
      <c r="M7" s="17"/>
      <c r="N7" s="18"/>
      <c r="O7" s="29">
        <f t="shared" si="4"/>
        <v>1.3888888888887951E-2</v>
      </c>
      <c r="P7" s="30">
        <f t="shared" si="5"/>
        <v>0.35208333333333502</v>
      </c>
      <c r="Q7" s="43">
        <f t="shared" si="6"/>
        <v>0.36597222222222298</v>
      </c>
      <c r="R7" s="44">
        <f t="shared" si="0"/>
        <v>0.35416666666666702</v>
      </c>
      <c r="S7" s="45">
        <f t="shared" si="7"/>
        <v>0.79374999999999896</v>
      </c>
      <c r="T7" s="43" t="str">
        <f t="shared" si="8"/>
        <v>- 0:03</v>
      </c>
      <c r="U7" s="46" t="str">
        <f t="shared" si="1"/>
        <v/>
      </c>
      <c r="V7" s="41" t="str">
        <f t="shared" si="2"/>
        <v xml:space="preserve">  </v>
      </c>
      <c r="W7" s="49">
        <v>45131</v>
      </c>
      <c r="X7" s="50">
        <v>45132</v>
      </c>
      <c r="Y7" s="50">
        <v>45133</v>
      </c>
      <c r="Z7" s="50">
        <v>45134</v>
      </c>
      <c r="AA7" s="50">
        <v>45135</v>
      </c>
      <c r="AB7" s="50">
        <v>45136</v>
      </c>
      <c r="AC7" s="70">
        <v>45137</v>
      </c>
      <c r="AD7" s="67"/>
    </row>
    <row r="8" spans="1:31" ht="15" customHeight="1">
      <c r="A8" s="15">
        <f t="shared" si="3"/>
        <v>45114</v>
      </c>
      <c r="B8" s="16">
        <f t="shared" si="9"/>
        <v>6</v>
      </c>
      <c r="C8" s="17">
        <v>0.52083333333333304</v>
      </c>
      <c r="D8" s="18">
        <v>0.8125</v>
      </c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>
        <f t="shared" si="5"/>
        <v>0.29166666666666696</v>
      </c>
      <c r="Q8" s="43">
        <f t="shared" si="6"/>
        <v>0.29166666666666696</v>
      </c>
      <c r="R8" s="44">
        <f t="shared" si="0"/>
        <v>0.35416666666666702</v>
      </c>
      <c r="S8" s="45">
        <f t="shared" si="7"/>
        <v>0.875</v>
      </c>
      <c r="T8" s="43" t="str">
        <f t="shared" si="8"/>
        <v>- 1:30</v>
      </c>
      <c r="U8" s="46" t="str">
        <f t="shared" si="1"/>
        <v/>
      </c>
      <c r="V8" s="41" t="str">
        <f t="shared" si="2"/>
        <v xml:space="preserve">  </v>
      </c>
      <c r="W8" s="51">
        <v>45138</v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45115</v>
      </c>
      <c r="B9" s="16">
        <f t="shared" si="9"/>
        <v>7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Saturday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45116</v>
      </c>
      <c r="B10" s="16">
        <f t="shared" si="9"/>
        <v>1</v>
      </c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4"/>
        <v/>
      </c>
      <c r="P10" s="30" t="str">
        <f t="shared" si="5"/>
        <v/>
      </c>
      <c r="Q10" s="43" t="str">
        <f t="shared" si="6"/>
        <v/>
      </c>
      <c r="R10" s="44" t="str">
        <f t="shared" si="0"/>
        <v/>
      </c>
      <c r="S10" s="45" t="str">
        <f t="shared" si="7"/>
        <v/>
      </c>
      <c r="T10" s="43" t="str">
        <f t="shared" si="8"/>
        <v/>
      </c>
      <c r="U10" s="46" t="str">
        <f t="shared" si="1"/>
        <v/>
      </c>
      <c r="V10" s="41" t="str">
        <f t="shared" si="2"/>
        <v xml:space="preserve">Sunday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45117</v>
      </c>
      <c r="B11" s="16">
        <f t="shared" si="9"/>
        <v>2</v>
      </c>
      <c r="C11" s="17">
        <v>0.49305555555555602</v>
      </c>
      <c r="D11" s="18">
        <v>0.67013888888888895</v>
      </c>
      <c r="E11" s="17">
        <v>0.67708333333333304</v>
      </c>
      <c r="F11" s="18">
        <v>0.8125</v>
      </c>
      <c r="G11" s="17"/>
      <c r="H11" s="18"/>
      <c r="I11" s="17"/>
      <c r="J11" s="18"/>
      <c r="K11" s="17"/>
      <c r="L11" s="18"/>
      <c r="M11" s="17"/>
      <c r="N11" s="18"/>
      <c r="O11" s="29">
        <f t="shared" si="4"/>
        <v>6.9444444444440867E-3</v>
      </c>
      <c r="P11" s="30">
        <f t="shared" si="5"/>
        <v>0.31249999999999989</v>
      </c>
      <c r="Q11" s="43">
        <f t="shared" si="6"/>
        <v>0.31944444444444398</v>
      </c>
      <c r="R11" s="44">
        <f t="shared" si="0"/>
        <v>0.35416666666666702</v>
      </c>
      <c r="S11" s="45">
        <f t="shared" si="7"/>
        <v>0.85416666666666718</v>
      </c>
      <c r="T11" s="43" t="str">
        <f t="shared" si="8"/>
        <v>- 1:00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45108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45118</v>
      </c>
      <c r="B12" s="16">
        <f t="shared" si="9"/>
        <v>3</v>
      </c>
      <c r="C12" s="17">
        <v>0.43402777777777801</v>
      </c>
      <c r="D12" s="18">
        <v>0.55555555555555602</v>
      </c>
      <c r="E12" s="17">
        <v>0.5625</v>
      </c>
      <c r="F12" s="18">
        <v>0.79166666666666696</v>
      </c>
      <c r="G12" s="17"/>
      <c r="H12" s="18"/>
      <c r="I12" s="17"/>
      <c r="J12" s="18"/>
      <c r="K12" s="17"/>
      <c r="L12" s="18"/>
      <c r="M12" s="17"/>
      <c r="N12" s="18"/>
      <c r="O12" s="29">
        <f t="shared" si="4"/>
        <v>6.9444444444439757E-3</v>
      </c>
      <c r="P12" s="30">
        <f t="shared" si="5"/>
        <v>0.35069444444444497</v>
      </c>
      <c r="Q12" s="43">
        <f t="shared" si="6"/>
        <v>0.35763888888888895</v>
      </c>
      <c r="R12" s="44">
        <f t="shared" si="0"/>
        <v>0.35416666666666702</v>
      </c>
      <c r="S12" s="45">
        <f t="shared" si="7"/>
        <v>0.79513888888888906</v>
      </c>
      <c r="T12" s="43" t="str">
        <f t="shared" si="8"/>
        <v>- 0:05</v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45119</v>
      </c>
      <c r="B13" s="16">
        <f t="shared" si="9"/>
        <v>4</v>
      </c>
      <c r="C13" s="17">
        <v>0.4375</v>
      </c>
      <c r="D13" s="18">
        <v>0.56597222222222199</v>
      </c>
      <c r="E13" s="17">
        <v>0.57638888888888895</v>
      </c>
      <c r="F13" s="18">
        <v>0.80208333333333304</v>
      </c>
      <c r="G13" s="17"/>
      <c r="H13" s="18"/>
      <c r="I13" s="17"/>
      <c r="J13" s="18"/>
      <c r="K13" s="17"/>
      <c r="L13" s="18"/>
      <c r="M13" s="17"/>
      <c r="N13" s="18"/>
      <c r="O13" s="29">
        <f t="shared" si="4"/>
        <v>1.0416666666666963E-2</v>
      </c>
      <c r="P13" s="30">
        <f t="shared" si="5"/>
        <v>0.35416666666666607</v>
      </c>
      <c r="Q13" s="43">
        <f t="shared" si="6"/>
        <v>0.36458333333333304</v>
      </c>
      <c r="R13" s="44">
        <f t="shared" si="0"/>
        <v>0.35416666666666702</v>
      </c>
      <c r="S13" s="45">
        <f t="shared" si="7"/>
        <v>0.80208333333333393</v>
      </c>
      <c r="T13" s="43" t="str">
        <f t="shared" si="8"/>
        <v>- 0:00</v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2*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45120</v>
      </c>
      <c r="B14" s="16">
        <f t="shared" si="9"/>
        <v>5</v>
      </c>
      <c r="C14" s="17">
        <v>0.47222222222222199</v>
      </c>
      <c r="D14" s="18">
        <v>0.5625</v>
      </c>
      <c r="E14" s="17">
        <v>0.57986111111111105</v>
      </c>
      <c r="F14" s="18">
        <v>0.66319444444444398</v>
      </c>
      <c r="G14" s="17">
        <v>0.67013888888888895</v>
      </c>
      <c r="H14" s="18">
        <v>0.8125</v>
      </c>
      <c r="I14" s="17"/>
      <c r="J14" s="18"/>
      <c r="K14" s="17"/>
      <c r="L14" s="18"/>
      <c r="M14" s="17"/>
      <c r="N14" s="18"/>
      <c r="O14" s="29">
        <f t="shared" si="4"/>
        <v>2.4305555555556024E-2</v>
      </c>
      <c r="P14" s="30">
        <f t="shared" si="5"/>
        <v>0.31597222222222199</v>
      </c>
      <c r="Q14" s="43">
        <f t="shared" si="6"/>
        <v>0.34027777777777801</v>
      </c>
      <c r="R14" s="44">
        <f t="shared" si="0"/>
        <v>0.35416666666666702</v>
      </c>
      <c r="S14" s="45">
        <f t="shared" si="7"/>
        <v>0.85069444444444509</v>
      </c>
      <c r="T14" s="43" t="str">
        <f t="shared" si="8"/>
        <v>- 0:55</v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10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45121</v>
      </c>
      <c r="B15" s="16">
        <f t="shared" si="9"/>
        <v>6</v>
      </c>
      <c r="C15" s="17">
        <v>0.42499999999999999</v>
      </c>
      <c r="D15" s="18">
        <v>0.55208333333333304</v>
      </c>
      <c r="E15" s="17">
        <v>0.57291666666666696</v>
      </c>
      <c r="F15" s="18">
        <v>0.65277777777777801</v>
      </c>
      <c r="G15" s="17">
        <v>0.65972222222222199</v>
      </c>
      <c r="H15" s="18">
        <v>0.8125</v>
      </c>
      <c r="I15" s="17"/>
      <c r="J15" s="18"/>
      <c r="K15" s="17"/>
      <c r="L15" s="18"/>
      <c r="M15" s="17"/>
      <c r="N15" s="18"/>
      <c r="O15" s="29">
        <f t="shared" si="4"/>
        <v>2.7777777777777901E-2</v>
      </c>
      <c r="P15" s="30">
        <f t="shared" si="5"/>
        <v>0.35972222222222211</v>
      </c>
      <c r="Q15" s="43">
        <f t="shared" si="6"/>
        <v>0.38750000000000001</v>
      </c>
      <c r="R15" s="44">
        <f t="shared" si="0"/>
        <v>0.35416666666666702</v>
      </c>
      <c r="S15" s="45">
        <f t="shared" si="7"/>
        <v>0.80694444444444491</v>
      </c>
      <c r="T15" s="43" t="str">
        <f t="shared" si="8"/>
        <v>+ 0:08</v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Jul-23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5</v>
      </c>
      <c r="AE15" s="74"/>
    </row>
    <row r="16" spans="1:31" ht="15" customHeight="1">
      <c r="A16" s="15">
        <f t="shared" si="3"/>
        <v>45122</v>
      </c>
      <c r="B16" s="16">
        <f t="shared" si="9"/>
        <v>7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Saturday  </v>
      </c>
      <c r="W16" s="225" t="str">
        <f>"Break Hours "&amp;TEXT(SUM($O2:$O33),"[h]:mm")</f>
        <v>Break Hours 8:29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45123</v>
      </c>
      <c r="B17" s="16">
        <f t="shared" si="9"/>
        <v>1</v>
      </c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29" t="str">
        <f t="shared" si="4"/>
        <v/>
      </c>
      <c r="P17" s="30" t="str">
        <f t="shared" si="5"/>
        <v/>
      </c>
      <c r="Q17" s="43" t="str">
        <f t="shared" si="6"/>
        <v/>
      </c>
      <c r="R17" s="44" t="str">
        <f t="shared" si="0"/>
        <v/>
      </c>
      <c r="S17" s="45" t="str">
        <f t="shared" si="7"/>
        <v/>
      </c>
      <c r="T17" s="43" t="str">
        <f t="shared" si="8"/>
        <v/>
      </c>
      <c r="U17" s="46" t="str">
        <f t="shared" si="1"/>
        <v/>
      </c>
      <c r="V17" s="41" t="str">
        <f t="shared" si="2"/>
        <v xml:space="preserve">Sunday  </v>
      </c>
      <c r="W17" s="219" t="str">
        <f>"Actual work Hours "&amp;TEXT(SUM($P2:$P33),"[h]:mm")</f>
        <v>Actual work Hours 153:36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45124</v>
      </c>
      <c r="B18" s="16">
        <f t="shared" si="9"/>
        <v>2</v>
      </c>
      <c r="C18" s="17">
        <v>0.47847222222222202</v>
      </c>
      <c r="D18" s="18">
        <v>0.55069444444444404</v>
      </c>
      <c r="E18" s="17">
        <v>0.56597222222222199</v>
      </c>
      <c r="F18" s="18">
        <v>0.66319444444444398</v>
      </c>
      <c r="G18" s="17">
        <v>0.66805555555555596</v>
      </c>
      <c r="H18" s="18">
        <v>0.8125</v>
      </c>
      <c r="I18" s="17"/>
      <c r="J18" s="18"/>
      <c r="K18" s="17"/>
      <c r="L18" s="18"/>
      <c r="M18" s="17"/>
      <c r="N18" s="18"/>
      <c r="O18" s="29">
        <f t="shared" si="4"/>
        <v>2.0138888888889928E-2</v>
      </c>
      <c r="P18" s="30">
        <f t="shared" si="5"/>
        <v>0.31388888888888805</v>
      </c>
      <c r="Q18" s="43">
        <f t="shared" si="6"/>
        <v>0.33402777777777798</v>
      </c>
      <c r="R18" s="44">
        <f t="shared" si="0"/>
        <v>0.35416666666666702</v>
      </c>
      <c r="S18" s="45">
        <f t="shared" si="7"/>
        <v>0.85277777777777897</v>
      </c>
      <c r="T18" s="43" t="str">
        <f t="shared" si="8"/>
        <v>- 0:58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161:30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45125</v>
      </c>
      <c r="B19" s="16">
        <f t="shared" si="9"/>
        <v>3</v>
      </c>
      <c r="C19" s="17">
        <v>0.45833333333333298</v>
      </c>
      <c r="D19" s="18">
        <v>0.5625</v>
      </c>
      <c r="E19" s="17">
        <v>0.59722222222222199</v>
      </c>
      <c r="F19" s="18">
        <v>0.67361111111111105</v>
      </c>
      <c r="G19" s="17">
        <v>0.68055555555555602</v>
      </c>
      <c r="H19" s="18">
        <v>0.83333333333333304</v>
      </c>
      <c r="I19" s="17"/>
      <c r="J19" s="18"/>
      <c r="K19" s="17"/>
      <c r="L19" s="18"/>
      <c r="M19" s="17"/>
      <c r="N19" s="18"/>
      <c r="O19" s="29">
        <f t="shared" si="4"/>
        <v>4.1666666666666963E-2</v>
      </c>
      <c r="P19" s="30">
        <f t="shared" si="5"/>
        <v>0.33333333333333309</v>
      </c>
      <c r="Q19" s="43">
        <f t="shared" si="6"/>
        <v>0.37500000000000006</v>
      </c>
      <c r="R19" s="44">
        <f t="shared" si="0"/>
        <v>0.35416666666666702</v>
      </c>
      <c r="S19" s="45">
        <f t="shared" si="7"/>
        <v>0.85416666666666696</v>
      </c>
      <c r="T19" s="43" t="str">
        <f t="shared" si="8"/>
        <v>- 0:30</v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8:05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45126</v>
      </c>
      <c r="B20" s="16">
        <f t="shared" si="9"/>
        <v>4</v>
      </c>
      <c r="C20" s="17">
        <v>0.44444444444444398</v>
      </c>
      <c r="D20" s="18">
        <v>0.54444444444444395</v>
      </c>
      <c r="E20" s="17">
        <v>0.561805555555556</v>
      </c>
      <c r="F20" s="18">
        <v>0.74652777777777801</v>
      </c>
      <c r="G20" s="17">
        <v>0.77222222222222203</v>
      </c>
      <c r="H20" s="18">
        <v>0.8125</v>
      </c>
      <c r="I20" s="17"/>
      <c r="J20" s="18"/>
      <c r="K20" s="17"/>
      <c r="L20" s="18"/>
      <c r="M20" s="17"/>
      <c r="N20" s="18"/>
      <c r="O20" s="29">
        <f t="shared" si="4"/>
        <v>4.3055555555556069E-2</v>
      </c>
      <c r="P20" s="30">
        <f t="shared" si="5"/>
        <v>0.32499999999999996</v>
      </c>
      <c r="Q20" s="43">
        <f t="shared" si="6"/>
        <v>0.36805555555555602</v>
      </c>
      <c r="R20" s="44">
        <f t="shared" si="0"/>
        <v>0.35416666666666702</v>
      </c>
      <c r="S20" s="45">
        <f t="shared" si="7"/>
        <v>0.84166666666666701</v>
      </c>
      <c r="T20" s="43" t="str">
        <f t="shared" si="8"/>
        <v>- 0:42</v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45127</v>
      </c>
      <c r="B21" s="16">
        <f t="shared" si="9"/>
        <v>5</v>
      </c>
      <c r="C21" s="17">
        <v>0.44583333333333303</v>
      </c>
      <c r="D21" s="18">
        <v>0.65972222222222199</v>
      </c>
      <c r="E21" s="17">
        <v>0.67013888888888895</v>
      </c>
      <c r="F21" s="18">
        <v>0.74097222222222203</v>
      </c>
      <c r="G21" s="17">
        <v>0.75763888888888897</v>
      </c>
      <c r="H21" s="18">
        <v>0.8125</v>
      </c>
      <c r="I21" s="17"/>
      <c r="J21" s="18"/>
      <c r="K21" s="17"/>
      <c r="L21" s="18"/>
      <c r="M21" s="17"/>
      <c r="N21" s="18"/>
      <c r="O21" s="29">
        <f t="shared" si="4"/>
        <v>2.7083333333333903E-2</v>
      </c>
      <c r="P21" s="30">
        <f t="shared" si="5"/>
        <v>0.33958333333333307</v>
      </c>
      <c r="Q21" s="43">
        <f t="shared" si="6"/>
        <v>0.36666666666666697</v>
      </c>
      <c r="R21" s="44">
        <f t="shared" si="0"/>
        <v>0.35416666666666702</v>
      </c>
      <c r="S21" s="45">
        <f t="shared" si="7"/>
        <v>0.82708333333333395</v>
      </c>
      <c r="T21" s="43" t="str">
        <f t="shared" si="8"/>
        <v>- 0:21</v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7:54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45128</v>
      </c>
      <c r="B22" s="16">
        <f t="shared" si="9"/>
        <v>6</v>
      </c>
      <c r="C22" s="17">
        <v>0.453472222222222</v>
      </c>
      <c r="D22" s="18">
        <v>0.59027777777777801</v>
      </c>
      <c r="E22" s="17">
        <v>0.59375</v>
      </c>
      <c r="F22" s="18">
        <v>0.80555555555555602</v>
      </c>
      <c r="G22" s="17"/>
      <c r="H22" s="18"/>
      <c r="I22" s="17"/>
      <c r="J22" s="18"/>
      <c r="K22" s="17"/>
      <c r="L22" s="18"/>
      <c r="M22" s="17"/>
      <c r="N22" s="18"/>
      <c r="O22" s="29">
        <f t="shared" si="4"/>
        <v>3.4722222222219878E-3</v>
      </c>
      <c r="P22" s="30">
        <f t="shared" si="5"/>
        <v>0.34861111111111204</v>
      </c>
      <c r="Q22" s="43">
        <f t="shared" si="6"/>
        <v>0.35208333333333403</v>
      </c>
      <c r="R22" s="44">
        <f t="shared" si="0"/>
        <v>0.35416666666666702</v>
      </c>
      <c r="S22" s="45">
        <f t="shared" si="7"/>
        <v>0.81111111111111101</v>
      </c>
      <c r="T22" s="43" t="str">
        <f t="shared" si="8"/>
        <v>- 0:08</v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162:05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45129</v>
      </c>
      <c r="B23" s="16">
        <f t="shared" si="9"/>
        <v>7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Saturday  </v>
      </c>
      <c r="W23" s="228" t="s">
        <v>47</v>
      </c>
      <c r="X23" s="229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45130</v>
      </c>
      <c r="B24" s="16">
        <f t="shared" si="9"/>
        <v>1</v>
      </c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29" t="str">
        <f t="shared" si="4"/>
        <v/>
      </c>
      <c r="P24" s="30" t="str">
        <f t="shared" si="5"/>
        <v/>
      </c>
      <c r="Q24" s="43" t="str">
        <f t="shared" si="6"/>
        <v/>
      </c>
      <c r="R24" s="44" t="str">
        <f t="shared" si="0"/>
        <v/>
      </c>
      <c r="S24" s="45" t="str">
        <f t="shared" si="7"/>
        <v/>
      </c>
      <c r="T24" s="43" t="str">
        <f t="shared" si="8"/>
        <v/>
      </c>
      <c r="U24" s="46" t="str">
        <f t="shared" si="1"/>
        <v/>
      </c>
      <c r="V24" s="41" t="str">
        <f t="shared" si="2"/>
        <v xml:space="preserve">Sunday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45131</v>
      </c>
      <c r="B25" s="16">
        <f t="shared" si="9"/>
        <v>2</v>
      </c>
      <c r="C25" s="17">
        <v>0.438194444444444</v>
      </c>
      <c r="D25" s="18">
        <v>0.65972222222222199</v>
      </c>
      <c r="E25" s="17">
        <v>0.67916666666666703</v>
      </c>
      <c r="F25" s="18">
        <v>0.80555555555555602</v>
      </c>
      <c r="G25" s="17"/>
      <c r="H25" s="18"/>
      <c r="I25" s="17"/>
      <c r="J25" s="18"/>
      <c r="K25" s="17"/>
      <c r="L25" s="18"/>
      <c r="M25" s="17"/>
      <c r="N25" s="18"/>
      <c r="O25" s="29">
        <f t="shared" si="4"/>
        <v>1.9444444444445041E-2</v>
      </c>
      <c r="P25" s="30">
        <f t="shared" si="5"/>
        <v>0.34791666666666698</v>
      </c>
      <c r="Q25" s="43">
        <f t="shared" si="6"/>
        <v>0.36736111111111203</v>
      </c>
      <c r="R25" s="44">
        <f t="shared" si="0"/>
        <v>0.35416666666666702</v>
      </c>
      <c r="S25" s="45">
        <f t="shared" si="7"/>
        <v>0.81180555555555611</v>
      </c>
      <c r="T25" s="43" t="str">
        <f t="shared" si="8"/>
        <v>- 0:09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45132</v>
      </c>
      <c r="B26" s="16">
        <f t="shared" si="9"/>
        <v>3</v>
      </c>
      <c r="C26" s="17">
        <v>0.43055555555555602</v>
      </c>
      <c r="D26" s="18">
        <v>0.44791666666666702</v>
      </c>
      <c r="E26" s="17">
        <v>0.46180555555555602</v>
      </c>
      <c r="F26" s="18">
        <v>0.65416666666666701</v>
      </c>
      <c r="G26" s="17">
        <v>0.66736111111111096</v>
      </c>
      <c r="H26" s="18">
        <v>0.8125</v>
      </c>
      <c r="I26" s="17"/>
      <c r="J26" s="18"/>
      <c r="K26" s="17"/>
      <c r="L26" s="18"/>
      <c r="M26" s="17"/>
      <c r="N26" s="18"/>
      <c r="O26" s="29">
        <f t="shared" si="4"/>
        <v>2.708333333333296E-2</v>
      </c>
      <c r="P26" s="30">
        <f t="shared" si="5"/>
        <v>0.35486111111111102</v>
      </c>
      <c r="Q26" s="43">
        <f t="shared" si="6"/>
        <v>0.38194444444444398</v>
      </c>
      <c r="R26" s="44">
        <f t="shared" si="0"/>
        <v>0.35416666666666702</v>
      </c>
      <c r="S26" s="45">
        <f t="shared" si="7"/>
        <v>0.811805555555556</v>
      </c>
      <c r="T26" s="43" t="str">
        <f t="shared" si="8"/>
        <v>+ 0:01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45133</v>
      </c>
      <c r="B27" s="16">
        <f t="shared" si="9"/>
        <v>4</v>
      </c>
      <c r="C27" s="17">
        <v>0.44791666666666702</v>
      </c>
      <c r="D27" s="18">
        <v>0.54166666666666696</v>
      </c>
      <c r="E27" s="17">
        <v>0.55902777777777801</v>
      </c>
      <c r="F27" s="18">
        <v>0.8125</v>
      </c>
      <c r="G27" s="17"/>
      <c r="H27" s="18"/>
      <c r="I27" s="17"/>
      <c r="J27" s="18"/>
      <c r="K27" s="17"/>
      <c r="L27" s="18"/>
      <c r="M27" s="17"/>
      <c r="N27" s="18"/>
      <c r="O27" s="29">
        <f t="shared" si="4"/>
        <v>1.7361111111111049E-2</v>
      </c>
      <c r="P27" s="30">
        <f t="shared" si="5"/>
        <v>0.34722222222222193</v>
      </c>
      <c r="Q27" s="43">
        <f t="shared" si="6"/>
        <v>0.36458333333333298</v>
      </c>
      <c r="R27" s="44">
        <f t="shared" si="0"/>
        <v>0.35416666666666702</v>
      </c>
      <c r="S27" s="45">
        <f t="shared" si="7"/>
        <v>0.81944444444444509</v>
      </c>
      <c r="T27" s="43" t="str">
        <f t="shared" si="8"/>
        <v>- 0:10</v>
      </c>
      <c r="U27" s="46" t="str">
        <f t="shared" si="1"/>
        <v/>
      </c>
      <c r="V27" s="41" t="str">
        <f t="shared" si="2"/>
        <v xml:space="preserve">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45134</v>
      </c>
      <c r="B28" s="16">
        <f t="shared" si="9"/>
        <v>5</v>
      </c>
      <c r="C28" s="17">
        <v>0.42638888888888898</v>
      </c>
      <c r="D28" s="18">
        <v>0.79166666666666696</v>
      </c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>
        <f t="shared" si="5"/>
        <v>0.36527777777777798</v>
      </c>
      <c r="Q28" s="43">
        <f t="shared" si="6"/>
        <v>0.36527777777777798</v>
      </c>
      <c r="R28" s="44">
        <f t="shared" si="0"/>
        <v>0.35416666666666702</v>
      </c>
      <c r="S28" s="45">
        <f t="shared" si="7"/>
        <v>0.780555555555556</v>
      </c>
      <c r="T28" s="43" t="str">
        <f t="shared" si="8"/>
        <v>+ 0:16</v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45135</v>
      </c>
      <c r="B29" s="16">
        <f t="shared" si="9"/>
        <v>6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45136</v>
      </c>
      <c r="B30" s="16">
        <f t="shared" si="9"/>
        <v>7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Saturday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45137</v>
      </c>
      <c r="B31" s="16">
        <f t="shared" si="9"/>
        <v>1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Sunday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45138</v>
      </c>
      <c r="B32" s="16">
        <f t="shared" si="9"/>
        <v>2</v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62" priority="9" stopIfTrue="1">
      <formula>OR($X$11="",MONTH(NOW())&lt;&gt;MONTH($X$11))</formula>
    </cfRule>
  </conditionalFormatting>
  <conditionalFormatting sqref="W15">
    <cfRule type="expression" dxfId="61" priority="4" stopIfTrue="1">
      <formula>TotalLeave&gt;=Yearly_Leaves</formula>
    </cfRule>
  </conditionalFormatting>
  <conditionalFormatting sqref="W1:AC8 W11 AC11 W12:AC22 W24:AC33 U2:V33">
    <cfRule type="expression" dxfId="60" priority="8" stopIfTrue="1">
      <formula>$X$11=""</formula>
    </cfRule>
  </conditionalFormatting>
  <conditionalFormatting sqref="A2:V33">
    <cfRule type="expression" dxfId="5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58" priority="2" stopIfTrue="1">
      <formula>AND(NOT(ISNA(MATCH($A2,hdate,0))),COUNTIF($V2,"*Optional*")&lt;1)</formula>
    </cfRule>
    <cfRule type="expression" dxfId="57" priority="3" stopIfTrue="1">
      <formula>AND($P2&lt;&gt;$R2,$P2&lt;$R2,$D2&lt;&gt;"")</formula>
    </cfRule>
  </conditionalFormatting>
  <conditionalFormatting sqref="U2:V33">
    <cfRule type="expression" dxfId="5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55" priority="5" stopIfTrue="1">
      <formula>W3=TODAY()</formula>
    </cfRule>
    <cfRule type="expression" dxfId="54" priority="6" stopIfTrue="1">
      <formula>NOT(ISNA(MATCH(W3,ldate,0)))</formula>
    </cfRule>
    <cfRule type="expression" dxfId="5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17" activePane="bottomLeft" state="frozen"/>
      <selection pane="bottomLeft" activeCell="C32" sqref="C32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45139</v>
      </c>
      <c r="X1" s="240">
        <f>$X$11</f>
        <v>45139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45138</v>
      </c>
      <c r="AD1" s="67"/>
    </row>
    <row r="2" spans="1:31" ht="15" customHeight="1">
      <c r="A2" s="11">
        <f>IF($X$11="","",DATE(YEAR($X$11),MONTH($X$11),1))</f>
        <v>45139</v>
      </c>
      <c r="B2" s="12">
        <f>IF($A2="","",WEEKDAY(A2))</f>
        <v>3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45140</v>
      </c>
      <c r="B3" s="16">
        <f>IF($A3="","",WEEKDAY(A3))</f>
        <v>4</v>
      </c>
      <c r="C3" s="17">
        <v>0.42708333333333331</v>
      </c>
      <c r="D3" s="18">
        <v>0.53472222222222221</v>
      </c>
      <c r="E3" s="17">
        <v>0.5625</v>
      </c>
      <c r="F3" s="18">
        <v>0.62152777777777779</v>
      </c>
      <c r="G3" s="17">
        <v>0.63055555555555554</v>
      </c>
      <c r="H3" s="18">
        <v>0.71875</v>
      </c>
      <c r="I3" s="17">
        <v>0.73263888888888884</v>
      </c>
      <c r="J3" s="18">
        <v>0.82638888888888884</v>
      </c>
      <c r="K3" s="17"/>
      <c r="L3" s="18"/>
      <c r="M3" s="17"/>
      <c r="N3" s="18"/>
      <c r="O3" s="29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>5.0694444444444375E-2</v>
      </c>
      <c r="P3" s="30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>0.34861111111111115</v>
      </c>
      <c r="Q3" s="43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>0.39930555555555552</v>
      </c>
      <c r="R3" s="44">
        <f t="shared" si="0"/>
        <v>0.35416666666666702</v>
      </c>
      <c r="S3" s="45">
        <f t="shared" ref="S3:S33" si="7">IF(AND($C3&lt;&gt;"",$O3=""),($C3+$R3),IF($C3&lt;&gt;"",($C3+($R3+$O3)),""))</f>
        <v>0.83194444444444471</v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>- 0:08</v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>
        <v>45139</v>
      </c>
      <c r="Y3" s="48">
        <v>45140</v>
      </c>
      <c r="Z3" s="48">
        <v>45141</v>
      </c>
      <c r="AA3" s="48">
        <v>45142</v>
      </c>
      <c r="AB3" s="48">
        <v>45143</v>
      </c>
      <c r="AC3" s="69">
        <v>45144</v>
      </c>
      <c r="AD3" s="67"/>
    </row>
    <row r="4" spans="1:31" ht="15" customHeight="1">
      <c r="A4" s="15">
        <f t="shared" si="3"/>
        <v>45141</v>
      </c>
      <c r="B4" s="16">
        <f t="shared" ref="B4:B33" si="9">IF($A4="","",WEEKDAY(A4))</f>
        <v>5</v>
      </c>
      <c r="C4" s="17">
        <v>0.4548611111111111</v>
      </c>
      <c r="D4" s="18">
        <v>0.5625</v>
      </c>
      <c r="E4" s="17">
        <v>0.59375</v>
      </c>
      <c r="F4" s="18">
        <v>0.6777777777777777</v>
      </c>
      <c r="G4" s="17">
        <v>0.69097222222222221</v>
      </c>
      <c r="H4" s="18">
        <v>0.84027777777777779</v>
      </c>
      <c r="I4" s="17"/>
      <c r="J4" s="18"/>
      <c r="K4" s="17"/>
      <c r="L4" s="18"/>
      <c r="M4" s="17"/>
      <c r="N4" s="18"/>
      <c r="O4" s="29">
        <f t="shared" si="4"/>
        <v>4.4444444444444509E-2</v>
      </c>
      <c r="P4" s="30">
        <f t="shared" si="5"/>
        <v>0.34097222222222218</v>
      </c>
      <c r="Q4" s="43">
        <f t="shared" si="6"/>
        <v>0.38541666666666669</v>
      </c>
      <c r="R4" s="44">
        <f t="shared" si="0"/>
        <v>0.35416666666666702</v>
      </c>
      <c r="S4" s="45">
        <f t="shared" si="7"/>
        <v>0.85347222222222263</v>
      </c>
      <c r="T4" s="43" t="str">
        <f t="shared" si="8"/>
        <v>- 0:19</v>
      </c>
      <c r="U4" s="46" t="str">
        <f t="shared" si="1"/>
        <v/>
      </c>
      <c r="V4" s="41" t="str">
        <f t="shared" si="2"/>
        <v xml:space="preserve">  </v>
      </c>
      <c r="W4" s="49">
        <v>45145</v>
      </c>
      <c r="X4" s="50">
        <v>45146</v>
      </c>
      <c r="Y4" s="50">
        <v>45147</v>
      </c>
      <c r="Z4" s="50">
        <v>45148</v>
      </c>
      <c r="AA4" s="50">
        <v>45149</v>
      </c>
      <c r="AB4" s="50">
        <v>45150</v>
      </c>
      <c r="AC4" s="70">
        <v>45151</v>
      </c>
      <c r="AD4" s="67"/>
    </row>
    <row r="5" spans="1:31" ht="15" customHeight="1">
      <c r="A5" s="15">
        <f t="shared" si="3"/>
        <v>45142</v>
      </c>
      <c r="B5" s="16">
        <f t="shared" si="9"/>
        <v>6</v>
      </c>
      <c r="C5" s="17">
        <v>0.4548611111111111</v>
      </c>
      <c r="D5" s="18">
        <v>0.55555555555555558</v>
      </c>
      <c r="E5" s="17">
        <v>0.60069444444444442</v>
      </c>
      <c r="F5" s="18">
        <v>0.70486111111111116</v>
      </c>
      <c r="G5" s="17">
        <v>0.72083333333333333</v>
      </c>
      <c r="H5" s="18">
        <v>0.85416666666666663</v>
      </c>
      <c r="I5" s="17"/>
      <c r="J5" s="18"/>
      <c r="K5" s="17"/>
      <c r="L5" s="18"/>
      <c r="M5" s="17"/>
      <c r="N5" s="18"/>
      <c r="O5" s="29">
        <f t="shared" si="4"/>
        <v>6.1111111111111005E-2</v>
      </c>
      <c r="P5" s="30">
        <f t="shared" si="5"/>
        <v>0.33819444444444452</v>
      </c>
      <c r="Q5" s="43">
        <f t="shared" si="6"/>
        <v>0.39930555555555552</v>
      </c>
      <c r="R5" s="44">
        <f t="shared" si="0"/>
        <v>0.35416666666666702</v>
      </c>
      <c r="S5" s="45">
        <f t="shared" si="7"/>
        <v>0.87013888888888913</v>
      </c>
      <c r="T5" s="43" t="str">
        <f t="shared" si="8"/>
        <v>- 0:23</v>
      </c>
      <c r="U5" s="46" t="str">
        <f t="shared" si="1"/>
        <v/>
      </c>
      <c r="V5" s="41" t="str">
        <f t="shared" si="2"/>
        <v xml:space="preserve">  </v>
      </c>
      <c r="W5" s="49">
        <v>45152</v>
      </c>
      <c r="X5" s="50">
        <v>45153</v>
      </c>
      <c r="Y5" s="50">
        <v>45154</v>
      </c>
      <c r="Z5" s="50">
        <v>45155</v>
      </c>
      <c r="AA5" s="50">
        <v>45156</v>
      </c>
      <c r="AB5" s="50">
        <v>45157</v>
      </c>
      <c r="AC5" s="70">
        <v>45158</v>
      </c>
      <c r="AD5" s="67"/>
    </row>
    <row r="6" spans="1:31" ht="15" customHeight="1">
      <c r="A6" s="15">
        <f t="shared" si="3"/>
        <v>45143</v>
      </c>
      <c r="B6" s="16">
        <f t="shared" si="9"/>
        <v>7</v>
      </c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 t="str">
        <f t="shared" si="5"/>
        <v/>
      </c>
      <c r="Q6" s="43" t="str">
        <f t="shared" si="6"/>
        <v/>
      </c>
      <c r="R6" s="44" t="str">
        <f t="shared" si="0"/>
        <v/>
      </c>
      <c r="S6" s="45" t="str">
        <f t="shared" si="7"/>
        <v/>
      </c>
      <c r="T6" s="43" t="str">
        <f t="shared" si="8"/>
        <v/>
      </c>
      <c r="U6" s="46" t="str">
        <f t="shared" si="1"/>
        <v/>
      </c>
      <c r="V6" s="41" t="str">
        <f t="shared" si="2"/>
        <v xml:space="preserve">Saturday  </v>
      </c>
      <c r="W6" s="49">
        <v>45159</v>
      </c>
      <c r="X6" s="50">
        <v>45160</v>
      </c>
      <c r="Y6" s="50">
        <v>45161</v>
      </c>
      <c r="Z6" s="50">
        <v>45162</v>
      </c>
      <c r="AA6" s="50">
        <v>45163</v>
      </c>
      <c r="AB6" s="50">
        <v>45164</v>
      </c>
      <c r="AC6" s="70">
        <v>45165</v>
      </c>
      <c r="AD6" s="67"/>
    </row>
    <row r="7" spans="1:31" ht="15" customHeight="1">
      <c r="A7" s="15">
        <f t="shared" si="3"/>
        <v>45144</v>
      </c>
      <c r="B7" s="16">
        <f t="shared" si="9"/>
        <v>1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Sunday  </v>
      </c>
      <c r="W7" s="49">
        <v>45166</v>
      </c>
      <c r="X7" s="50">
        <v>45167</v>
      </c>
      <c r="Y7" s="50">
        <v>45168</v>
      </c>
      <c r="Z7" s="50">
        <v>45169</v>
      </c>
      <c r="AA7" s="50" t="str">
        <v/>
      </c>
      <c r="AB7" s="50" t="str">
        <v/>
      </c>
      <c r="AC7" s="70" t="str">
        <v/>
      </c>
      <c r="AD7" s="67"/>
    </row>
    <row r="8" spans="1:31" ht="15" customHeight="1">
      <c r="A8" s="15">
        <f t="shared" si="3"/>
        <v>45145</v>
      </c>
      <c r="B8" s="16">
        <f t="shared" si="9"/>
        <v>2</v>
      </c>
      <c r="C8" s="17">
        <v>0.45902777777777781</v>
      </c>
      <c r="D8" s="18">
        <v>0.56944444444444442</v>
      </c>
      <c r="E8" s="17">
        <v>0.59375</v>
      </c>
      <c r="F8" s="18">
        <v>0.60972222222222217</v>
      </c>
      <c r="G8" s="17">
        <v>0.62986111111111109</v>
      </c>
      <c r="H8" s="18">
        <v>0.83333333333333337</v>
      </c>
      <c r="I8" s="17"/>
      <c r="J8" s="18"/>
      <c r="K8" s="17"/>
      <c r="L8" s="18"/>
      <c r="M8" s="17"/>
      <c r="N8" s="18"/>
      <c r="O8" s="29">
        <f t="shared" si="4"/>
        <v>4.4444444444444509E-2</v>
      </c>
      <c r="P8" s="30">
        <f t="shared" si="5"/>
        <v>0.32986111111111105</v>
      </c>
      <c r="Q8" s="43">
        <f t="shared" si="6"/>
        <v>0.37430555555555556</v>
      </c>
      <c r="R8" s="44">
        <f t="shared" si="0"/>
        <v>0.35416666666666702</v>
      </c>
      <c r="S8" s="45">
        <f t="shared" si="7"/>
        <v>0.85763888888888928</v>
      </c>
      <c r="T8" s="43" t="str">
        <f t="shared" si="8"/>
        <v>- 0:35</v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45146</v>
      </c>
      <c r="B9" s="16">
        <f t="shared" si="9"/>
        <v>3</v>
      </c>
      <c r="C9" s="17">
        <v>0.46180555555555558</v>
      </c>
      <c r="D9" s="18">
        <v>0.56111111111111112</v>
      </c>
      <c r="E9" s="17">
        <v>0.58333333333333337</v>
      </c>
      <c r="F9" s="18">
        <v>0.61111111111111105</v>
      </c>
      <c r="G9" s="17">
        <v>0.62361111111111112</v>
      </c>
      <c r="H9" s="18">
        <v>0.85416666666666663</v>
      </c>
      <c r="I9" s="17"/>
      <c r="J9" s="18"/>
      <c r="K9" s="17"/>
      <c r="L9" s="18"/>
      <c r="M9" s="17"/>
      <c r="N9" s="18"/>
      <c r="O9" s="29">
        <f t="shared" si="4"/>
        <v>3.4722222222222321E-2</v>
      </c>
      <c r="P9" s="30">
        <f t="shared" si="5"/>
        <v>0.35763888888888873</v>
      </c>
      <c r="Q9" s="43">
        <f t="shared" si="6"/>
        <v>0.39236111111111105</v>
      </c>
      <c r="R9" s="44">
        <f t="shared" si="0"/>
        <v>0.35416666666666702</v>
      </c>
      <c r="S9" s="45">
        <f t="shared" si="7"/>
        <v>0.85069444444444486</v>
      </c>
      <c r="T9" s="43" t="str">
        <f t="shared" si="8"/>
        <v>+ 0:05</v>
      </c>
      <c r="U9" s="46" t="str">
        <f t="shared" si="1"/>
        <v/>
      </c>
      <c r="V9" s="41" t="str">
        <f t="shared" si="2"/>
        <v xml:space="preserve">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45147</v>
      </c>
      <c r="B10" s="16">
        <f t="shared" si="9"/>
        <v>4</v>
      </c>
      <c r="C10" s="17">
        <v>0.44791666666666669</v>
      </c>
      <c r="D10" s="18">
        <v>0.56111111111111112</v>
      </c>
      <c r="E10" s="17">
        <v>0.58124999999999993</v>
      </c>
      <c r="F10" s="18">
        <v>0.61111111111111105</v>
      </c>
      <c r="G10" s="17">
        <v>0.63194444444444442</v>
      </c>
      <c r="H10" s="18">
        <v>0.81597222222222221</v>
      </c>
      <c r="I10" s="17"/>
      <c r="J10" s="18"/>
      <c r="K10" s="17"/>
      <c r="L10" s="18"/>
      <c r="M10" s="17"/>
      <c r="N10" s="18"/>
      <c r="O10" s="29">
        <f t="shared" si="4"/>
        <v>4.0972222222222188E-2</v>
      </c>
      <c r="P10" s="30">
        <f t="shared" si="5"/>
        <v>0.32708333333333334</v>
      </c>
      <c r="Q10" s="43">
        <f t="shared" si="6"/>
        <v>0.36805555555555552</v>
      </c>
      <c r="R10" s="44">
        <f t="shared" si="0"/>
        <v>0.35416666666666702</v>
      </c>
      <c r="S10" s="45">
        <f t="shared" si="7"/>
        <v>0.84305555555555589</v>
      </c>
      <c r="T10" s="43" t="str">
        <f t="shared" si="8"/>
        <v>- 0:39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45148</v>
      </c>
      <c r="B11" s="16">
        <f t="shared" si="9"/>
        <v>5</v>
      </c>
      <c r="C11" s="17">
        <v>0.43888888888888888</v>
      </c>
      <c r="D11" s="18">
        <v>0.49652777777777773</v>
      </c>
      <c r="E11" s="17">
        <v>0.59513888888888888</v>
      </c>
      <c r="F11" s="18">
        <v>0.83333333333333337</v>
      </c>
      <c r="G11" s="17"/>
      <c r="H11" s="18"/>
      <c r="I11" s="17"/>
      <c r="J11" s="18"/>
      <c r="K11" s="17"/>
      <c r="L11" s="18"/>
      <c r="M11" s="17"/>
      <c r="N11" s="18"/>
      <c r="O11" s="29">
        <f t="shared" si="4"/>
        <v>9.8611111111111149E-2</v>
      </c>
      <c r="P11" s="30">
        <f t="shared" si="5"/>
        <v>0.29583333333333334</v>
      </c>
      <c r="Q11" s="43">
        <f t="shared" si="6"/>
        <v>0.39444444444444449</v>
      </c>
      <c r="R11" s="44">
        <f t="shared" si="0"/>
        <v>0.35416666666666702</v>
      </c>
      <c r="S11" s="45">
        <f t="shared" si="7"/>
        <v>0.89166666666666705</v>
      </c>
      <c r="T11" s="43" t="str">
        <f t="shared" si="8"/>
        <v>- 1:24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45139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45149</v>
      </c>
      <c r="B12" s="16">
        <f t="shared" si="9"/>
        <v>6</v>
      </c>
      <c r="C12" s="17">
        <v>0.45694444444444443</v>
      </c>
      <c r="D12" s="18">
        <v>0.56944444444444442</v>
      </c>
      <c r="E12" s="17">
        <v>0.59722222222222221</v>
      </c>
      <c r="F12" s="18">
        <v>0.83333333333333337</v>
      </c>
      <c r="G12" s="17"/>
      <c r="H12" s="18"/>
      <c r="I12" s="17"/>
      <c r="J12" s="18"/>
      <c r="K12" s="17"/>
      <c r="L12" s="18"/>
      <c r="M12" s="17"/>
      <c r="N12" s="18"/>
      <c r="O12" s="29">
        <f t="shared" si="4"/>
        <v>2.777777777777779E-2</v>
      </c>
      <c r="P12" s="30">
        <f t="shared" si="5"/>
        <v>0.34861111111111115</v>
      </c>
      <c r="Q12" s="43">
        <f t="shared" si="6"/>
        <v>0.37638888888888894</v>
      </c>
      <c r="R12" s="44">
        <f t="shared" si="0"/>
        <v>0.35416666666666702</v>
      </c>
      <c r="S12" s="45">
        <f t="shared" si="7"/>
        <v>0.83888888888888924</v>
      </c>
      <c r="T12" s="43" t="str">
        <f t="shared" si="8"/>
        <v>- 0:08</v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45150</v>
      </c>
      <c r="B13" s="16">
        <f t="shared" si="9"/>
        <v>7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Saturday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3*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45151</v>
      </c>
      <c r="B14" s="16">
        <f t="shared" si="9"/>
        <v>1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Sunday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8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45152</v>
      </c>
      <c r="B15" s="16">
        <f t="shared" si="9"/>
        <v>2</v>
      </c>
      <c r="C15" s="17">
        <v>0.43541666666666662</v>
      </c>
      <c r="D15" s="18">
        <v>0.60416666666666663</v>
      </c>
      <c r="E15" s="17">
        <v>0.63124999999999998</v>
      </c>
      <c r="F15" s="18">
        <v>0.81944444444444453</v>
      </c>
      <c r="G15" s="17"/>
      <c r="H15" s="18"/>
      <c r="I15" s="17"/>
      <c r="J15" s="18"/>
      <c r="K15" s="17"/>
      <c r="L15" s="18"/>
      <c r="M15" s="17"/>
      <c r="N15" s="18"/>
      <c r="O15" s="29">
        <f t="shared" si="4"/>
        <v>2.7083333333333348E-2</v>
      </c>
      <c r="P15" s="30">
        <f t="shared" si="5"/>
        <v>0.35694444444444456</v>
      </c>
      <c r="Q15" s="43">
        <f t="shared" si="6"/>
        <v>0.38402777777777791</v>
      </c>
      <c r="R15" s="44">
        <f t="shared" si="0"/>
        <v>0.35416666666666702</v>
      </c>
      <c r="S15" s="45">
        <f t="shared" si="7"/>
        <v>0.81666666666666698</v>
      </c>
      <c r="T15" s="43" t="str">
        <f t="shared" si="8"/>
        <v>+ 0:04</v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Aug-23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45153</v>
      </c>
      <c r="B16" s="16">
        <f t="shared" si="9"/>
        <v>3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  </v>
      </c>
      <c r="W16" s="225" t="e">
        <f>"Break Hours "&amp;TEXT(SUM($O2:$O33),"[h]:mm")</f>
        <v>#VALUE!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45154</v>
      </c>
      <c r="B17" s="16">
        <f t="shared" si="9"/>
        <v>4</v>
      </c>
      <c r="C17" s="17">
        <v>0.42708333333333331</v>
      </c>
      <c r="D17" s="18">
        <v>0.5625</v>
      </c>
      <c r="E17" s="17">
        <v>0.59166666666666667</v>
      </c>
      <c r="F17" s="18">
        <v>0.8125</v>
      </c>
      <c r="G17" s="17"/>
      <c r="H17" s="18"/>
      <c r="I17" s="17"/>
      <c r="J17" s="18"/>
      <c r="K17" s="17"/>
      <c r="L17" s="18"/>
      <c r="M17" s="17"/>
      <c r="N17" s="18"/>
      <c r="O17" s="29">
        <f t="shared" si="4"/>
        <v>2.9166666666666674E-2</v>
      </c>
      <c r="P17" s="30">
        <f t="shared" si="5"/>
        <v>0.35625000000000001</v>
      </c>
      <c r="Q17" s="43">
        <f t="shared" si="6"/>
        <v>0.38541666666666669</v>
      </c>
      <c r="R17" s="44">
        <f t="shared" si="0"/>
        <v>0.35416666666666702</v>
      </c>
      <c r="S17" s="45">
        <f t="shared" si="7"/>
        <v>0.81041666666666701</v>
      </c>
      <c r="T17" s="43" t="str">
        <f t="shared" si="8"/>
        <v>+ 0:03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166:10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45155</v>
      </c>
      <c r="B18" s="16">
        <f t="shared" si="9"/>
        <v>5</v>
      </c>
      <c r="C18" s="17">
        <v>0.42708333333333331</v>
      </c>
      <c r="D18" s="18">
        <v>0.5625</v>
      </c>
      <c r="E18" s="17">
        <v>0.59166666666666667</v>
      </c>
      <c r="F18" s="18">
        <v>0.8125</v>
      </c>
      <c r="G18" s="17"/>
      <c r="H18" s="18"/>
      <c r="I18" s="17"/>
      <c r="J18" s="18"/>
      <c r="K18" s="17"/>
      <c r="L18" s="18"/>
      <c r="M18" s="17"/>
      <c r="N18" s="18"/>
      <c r="O18" s="29">
        <f t="shared" si="4"/>
        <v>2.9166666666666674E-2</v>
      </c>
      <c r="P18" s="30">
        <f t="shared" si="5"/>
        <v>0.35625000000000001</v>
      </c>
      <c r="Q18" s="43">
        <f t="shared" si="6"/>
        <v>0.38541666666666669</v>
      </c>
      <c r="R18" s="44">
        <f t="shared" si="0"/>
        <v>0.35416666666666702</v>
      </c>
      <c r="S18" s="45">
        <f t="shared" si="7"/>
        <v>0.81041666666666701</v>
      </c>
      <c r="T18" s="43" t="str">
        <f t="shared" si="8"/>
        <v>+ 0:03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170:00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45156</v>
      </c>
      <c r="B19" s="16">
        <f t="shared" si="9"/>
        <v>6</v>
      </c>
      <c r="C19" s="17">
        <v>0.43402777777777773</v>
      </c>
      <c r="D19" s="18">
        <v>0.57777777777777783</v>
      </c>
      <c r="E19" s="17">
        <v>0.61249999999999993</v>
      </c>
      <c r="F19" s="18">
        <v>0.8125</v>
      </c>
      <c r="G19" s="17"/>
      <c r="H19" s="18"/>
      <c r="I19" s="17"/>
      <c r="J19" s="18"/>
      <c r="K19" s="17"/>
      <c r="L19" s="18"/>
      <c r="M19" s="17"/>
      <c r="N19" s="18"/>
      <c r="O19" s="29">
        <f t="shared" si="4"/>
        <v>3.4722222222222099E-2</v>
      </c>
      <c r="P19" s="30">
        <f t="shared" si="5"/>
        <v>0.34375000000000017</v>
      </c>
      <c r="Q19" s="43">
        <f t="shared" si="6"/>
        <v>0.37847222222222227</v>
      </c>
      <c r="R19" s="44">
        <f t="shared" si="0"/>
        <v>0.35416666666666702</v>
      </c>
      <c r="S19" s="45">
        <f t="shared" si="7"/>
        <v>0.82291666666666685</v>
      </c>
      <c r="T19" s="43" t="str">
        <f t="shared" si="8"/>
        <v>- 0:15</v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8:18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45157</v>
      </c>
      <c r="B20" s="16">
        <f t="shared" si="9"/>
        <v>7</v>
      </c>
      <c r="C20" s="17"/>
      <c r="D20" s="18"/>
      <c r="E20" s="17" t="s">
        <v>51</v>
      </c>
      <c r="F20" s="18"/>
      <c r="G20" s="17"/>
      <c r="H20" s="18"/>
      <c r="I20" s="17"/>
      <c r="J20" s="18"/>
      <c r="K20" s="17"/>
      <c r="L20" s="18"/>
      <c r="M20" s="17"/>
      <c r="N20" s="18"/>
      <c r="O20" s="29" t="e">
        <f t="shared" si="4"/>
        <v>#VALUE!</v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e">
        <f t="shared" si="7"/>
        <v>#VALUE!</v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Saturday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45158</v>
      </c>
      <c r="B21" s="16">
        <f t="shared" si="9"/>
        <v>1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29" t="str">
        <f t="shared" si="4"/>
        <v/>
      </c>
      <c r="P21" s="30" t="str">
        <f t="shared" si="5"/>
        <v/>
      </c>
      <c r="Q21" s="43" t="str">
        <f t="shared" si="6"/>
        <v/>
      </c>
      <c r="R21" s="44" t="str">
        <f t="shared" si="0"/>
        <v/>
      </c>
      <c r="S21" s="45" t="str">
        <f t="shared" si="7"/>
        <v/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Sunday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3:50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45159</v>
      </c>
      <c r="B22" s="16">
        <f t="shared" si="9"/>
        <v>2</v>
      </c>
      <c r="C22" s="17">
        <v>0.43055555555555558</v>
      </c>
      <c r="D22" s="18">
        <v>0.55555555555555558</v>
      </c>
      <c r="E22" s="17">
        <v>0.59375</v>
      </c>
      <c r="F22" s="18">
        <v>0.69444444444444453</v>
      </c>
      <c r="G22" s="17">
        <v>0.70833333333333337</v>
      </c>
      <c r="H22" s="18">
        <v>0.83680555555555547</v>
      </c>
      <c r="I22" s="17"/>
      <c r="J22" s="18"/>
      <c r="K22" s="17"/>
      <c r="L22" s="18"/>
      <c r="M22" s="17"/>
      <c r="N22" s="18"/>
      <c r="O22" s="29">
        <f t="shared" si="4"/>
        <v>5.2083333333333259E-2</v>
      </c>
      <c r="P22" s="30">
        <f t="shared" si="5"/>
        <v>0.35416666666666663</v>
      </c>
      <c r="Q22" s="43">
        <f t="shared" si="6"/>
        <v>0.40624999999999989</v>
      </c>
      <c r="R22" s="44">
        <f t="shared" si="0"/>
        <v>0.35416666666666702</v>
      </c>
      <c r="S22" s="45">
        <f t="shared" si="7"/>
        <v>0.8368055555555558</v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186:53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45160</v>
      </c>
      <c r="B23" s="16">
        <f t="shared" si="9"/>
        <v>3</v>
      </c>
      <c r="C23" s="17">
        <v>0.43055555555555558</v>
      </c>
      <c r="D23" s="18">
        <v>0.57291666666666663</v>
      </c>
      <c r="E23" s="17">
        <v>0.59791666666666665</v>
      </c>
      <c r="F23" s="18">
        <v>0.8125</v>
      </c>
      <c r="G23" s="17"/>
      <c r="H23" s="18"/>
      <c r="I23" s="17"/>
      <c r="J23" s="18"/>
      <c r="K23" s="17"/>
      <c r="L23" s="18"/>
      <c r="M23" s="17"/>
      <c r="N23" s="18"/>
      <c r="O23" s="29">
        <f t="shared" si="4"/>
        <v>2.5000000000000022E-2</v>
      </c>
      <c r="P23" s="30">
        <f t="shared" si="5"/>
        <v>0.3569444444444444</v>
      </c>
      <c r="Q23" s="43">
        <f t="shared" si="6"/>
        <v>0.38194444444444442</v>
      </c>
      <c r="R23" s="44">
        <f t="shared" si="0"/>
        <v>0.35416666666666702</v>
      </c>
      <c r="S23" s="45">
        <f t="shared" si="7"/>
        <v>0.80972222222222268</v>
      </c>
      <c r="T23" s="43" t="str">
        <f t="shared" si="8"/>
        <v>+ 0:04</v>
      </c>
      <c r="U23" s="46" t="str">
        <f t="shared" si="1"/>
        <v/>
      </c>
      <c r="V23" s="41" t="str">
        <f t="shared" si="2"/>
        <v xml:space="preserve">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45161</v>
      </c>
      <c r="B24" s="16">
        <f t="shared" si="9"/>
        <v>4</v>
      </c>
      <c r="C24" s="17">
        <v>0.4375</v>
      </c>
      <c r="D24" s="18">
        <v>0.56388888888888888</v>
      </c>
      <c r="E24" s="17">
        <v>0.5854166666666667</v>
      </c>
      <c r="F24" s="18">
        <v>0.70000000000000007</v>
      </c>
      <c r="G24" s="17">
        <v>0.71597222222222223</v>
      </c>
      <c r="H24" s="18">
        <v>0.81944444444444453</v>
      </c>
      <c r="I24" s="17"/>
      <c r="J24" s="18"/>
      <c r="K24" s="17"/>
      <c r="L24" s="18"/>
      <c r="M24" s="17"/>
      <c r="N24" s="18"/>
      <c r="O24" s="29">
        <f t="shared" si="4"/>
        <v>3.7499999999999978E-2</v>
      </c>
      <c r="P24" s="30">
        <f t="shared" si="5"/>
        <v>0.34444444444444455</v>
      </c>
      <c r="Q24" s="43">
        <f t="shared" si="6"/>
        <v>0.38194444444444453</v>
      </c>
      <c r="R24" s="44">
        <f t="shared" si="0"/>
        <v>0.35416666666666702</v>
      </c>
      <c r="S24" s="45">
        <f t="shared" si="7"/>
        <v>0.82916666666666705</v>
      </c>
      <c r="T24" s="43" t="str">
        <f t="shared" si="8"/>
        <v>- 0:14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45162</v>
      </c>
      <c r="B25" s="16">
        <f t="shared" si="9"/>
        <v>5</v>
      </c>
      <c r="C25" s="17">
        <v>0.4284722222222222</v>
      </c>
      <c r="D25" s="18">
        <v>0.5625</v>
      </c>
      <c r="E25" s="17">
        <v>0.58333333333333337</v>
      </c>
      <c r="F25" s="18">
        <v>0.67222222222222217</v>
      </c>
      <c r="G25" s="17">
        <v>0.69097222222222221</v>
      </c>
      <c r="H25" s="18">
        <v>0.82291666666666663</v>
      </c>
      <c r="I25" s="17"/>
      <c r="J25" s="18"/>
      <c r="K25" s="17"/>
      <c r="L25" s="18"/>
      <c r="M25" s="17"/>
      <c r="N25" s="18"/>
      <c r="O25" s="29">
        <f t="shared" si="4"/>
        <v>3.9583333333333415E-2</v>
      </c>
      <c r="P25" s="30">
        <f t="shared" si="5"/>
        <v>0.35486111111111102</v>
      </c>
      <c r="Q25" s="43">
        <f t="shared" si="6"/>
        <v>0.39444444444444443</v>
      </c>
      <c r="R25" s="44">
        <f t="shared" si="0"/>
        <v>0.35416666666666702</v>
      </c>
      <c r="S25" s="45">
        <f t="shared" si="7"/>
        <v>0.82222222222222263</v>
      </c>
      <c r="T25" s="43" t="str">
        <f t="shared" si="8"/>
        <v>+ 0:01</v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45163</v>
      </c>
      <c r="B26" s="16">
        <f t="shared" si="9"/>
        <v>6</v>
      </c>
      <c r="C26" s="17">
        <v>0.42708333333333331</v>
      </c>
      <c r="D26" s="18">
        <v>0.55555555555555558</v>
      </c>
      <c r="E26" s="17">
        <v>0.58333333333333337</v>
      </c>
      <c r="F26" s="18">
        <v>0.69513888888888886</v>
      </c>
      <c r="G26" s="17">
        <v>0.71875</v>
      </c>
      <c r="H26" s="18">
        <v>0.83333333333333337</v>
      </c>
      <c r="I26" s="17"/>
      <c r="J26" s="18"/>
      <c r="K26" s="17"/>
      <c r="L26" s="18"/>
      <c r="M26" s="17"/>
      <c r="N26" s="18"/>
      <c r="O26" s="29">
        <f t="shared" si="4"/>
        <v>5.1388888888888928E-2</v>
      </c>
      <c r="P26" s="30">
        <f t="shared" si="5"/>
        <v>0.35486111111111113</v>
      </c>
      <c r="Q26" s="43">
        <f t="shared" si="6"/>
        <v>0.40625000000000006</v>
      </c>
      <c r="R26" s="44">
        <f t="shared" si="0"/>
        <v>0.35416666666666702</v>
      </c>
      <c r="S26" s="45">
        <f t="shared" si="7"/>
        <v>0.83263888888888926</v>
      </c>
      <c r="T26" s="43" t="str">
        <f t="shared" si="8"/>
        <v>+ 0:01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45164</v>
      </c>
      <c r="B27" s="16">
        <f t="shared" si="9"/>
        <v>7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Saturday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45165</v>
      </c>
      <c r="B28" s="16">
        <f t="shared" si="9"/>
        <v>1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Sunday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45166</v>
      </c>
      <c r="B29" s="16">
        <f t="shared" si="9"/>
        <v>2</v>
      </c>
      <c r="C29" s="17">
        <v>0.4236111111111111</v>
      </c>
      <c r="D29" s="18">
        <v>0.55902777777777779</v>
      </c>
      <c r="E29" s="17">
        <v>0.58333333333333337</v>
      </c>
      <c r="F29" s="18">
        <v>0.70972222222222225</v>
      </c>
      <c r="G29" s="17">
        <v>0.72152777777777777</v>
      </c>
      <c r="H29" s="18">
        <v>0.81944444444444453</v>
      </c>
      <c r="I29" s="17"/>
      <c r="J29" s="18"/>
      <c r="K29" s="17"/>
      <c r="L29" s="18"/>
      <c r="M29" s="17"/>
      <c r="N29" s="18"/>
      <c r="O29" s="29">
        <f t="shared" si="4"/>
        <v>3.6111111111111094E-2</v>
      </c>
      <c r="P29" s="30">
        <f t="shared" si="5"/>
        <v>0.35972222222222233</v>
      </c>
      <c r="Q29" s="43">
        <f t="shared" si="6"/>
        <v>0.39583333333333343</v>
      </c>
      <c r="R29" s="44">
        <f t="shared" si="0"/>
        <v>0.35416666666666702</v>
      </c>
      <c r="S29" s="45">
        <f t="shared" si="7"/>
        <v>0.81388888888888922</v>
      </c>
      <c r="T29" s="43" t="str">
        <f t="shared" si="8"/>
        <v>+ 0:08</v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45167</v>
      </c>
      <c r="B30" s="16">
        <f t="shared" si="9"/>
        <v>3</v>
      </c>
      <c r="C30" s="17">
        <v>0.42777777777777781</v>
      </c>
      <c r="D30" s="18">
        <v>0.53125</v>
      </c>
      <c r="E30" s="17">
        <v>0.59583333333333333</v>
      </c>
      <c r="F30" s="18">
        <v>0.83333333333333337</v>
      </c>
      <c r="G30" s="17"/>
      <c r="H30" s="18"/>
      <c r="I30" s="17"/>
      <c r="J30" s="18"/>
      <c r="K30" s="17"/>
      <c r="L30" s="18"/>
      <c r="M30" s="17"/>
      <c r="N30" s="18"/>
      <c r="O30" s="29">
        <f t="shared" si="4"/>
        <v>6.4583333333333326E-2</v>
      </c>
      <c r="P30" s="30">
        <f t="shared" si="5"/>
        <v>0.34097222222222223</v>
      </c>
      <c r="Q30" s="43">
        <f t="shared" si="6"/>
        <v>0.40555555555555556</v>
      </c>
      <c r="R30" s="44">
        <f t="shared" si="0"/>
        <v>0.35416666666666702</v>
      </c>
      <c r="S30" s="45">
        <f t="shared" si="7"/>
        <v>0.84652777777777821</v>
      </c>
      <c r="T30" s="43" t="str">
        <f t="shared" si="8"/>
        <v>- 0:19</v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45168</v>
      </c>
      <c r="B31" s="16">
        <f t="shared" si="9"/>
        <v>4</v>
      </c>
      <c r="C31" s="17">
        <v>0.44166666666666665</v>
      </c>
      <c r="D31" s="18">
        <v>0.57291666666666663</v>
      </c>
      <c r="E31" s="17">
        <v>0.59166666666666667</v>
      </c>
      <c r="F31" s="18">
        <v>0.69652777777777775</v>
      </c>
      <c r="G31" s="17">
        <v>0.71180555555555547</v>
      </c>
      <c r="H31" s="18">
        <v>0.83333333333333337</v>
      </c>
      <c r="I31" s="17"/>
      <c r="J31" s="18"/>
      <c r="K31" s="17"/>
      <c r="L31" s="18"/>
      <c r="M31" s="17"/>
      <c r="N31" s="18"/>
      <c r="O31" s="29">
        <f t="shared" si="4"/>
        <v>3.4027777777777768E-2</v>
      </c>
      <c r="P31" s="30">
        <f t="shared" si="5"/>
        <v>0.35763888888888895</v>
      </c>
      <c r="Q31" s="43">
        <f t="shared" si="6"/>
        <v>0.39166666666666672</v>
      </c>
      <c r="R31" s="44">
        <f t="shared" si="0"/>
        <v>0.35416666666666702</v>
      </c>
      <c r="S31" s="45">
        <f t="shared" si="7"/>
        <v>0.82986111111111138</v>
      </c>
      <c r="T31" s="43" t="str">
        <f t="shared" si="8"/>
        <v>+ 0:05</v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45169</v>
      </c>
      <c r="B32" s="16">
        <f t="shared" si="9"/>
        <v>5</v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52" priority="9" stopIfTrue="1">
      <formula>OR($X$11="",MONTH(NOW())&lt;&gt;MONTH($X$11))</formula>
    </cfRule>
  </conditionalFormatting>
  <conditionalFormatting sqref="W15">
    <cfRule type="expression" dxfId="51" priority="4" stopIfTrue="1">
      <formula>TotalLeave&gt;=Yearly_Leaves</formula>
    </cfRule>
  </conditionalFormatting>
  <conditionalFormatting sqref="W1:AC8 W11 AC11 W12:AC22 W24:AC33 U2:V33">
    <cfRule type="expression" dxfId="50" priority="8" stopIfTrue="1">
      <formula>$X$11=""</formula>
    </cfRule>
  </conditionalFormatting>
  <conditionalFormatting sqref="A2:V33">
    <cfRule type="expression" dxfId="4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48" priority="2" stopIfTrue="1">
      <formula>AND(NOT(ISNA(MATCH($A2,hdate,0))),COUNTIF($V2,"*Optional*")&lt;1)</formula>
    </cfRule>
    <cfRule type="expression" dxfId="47" priority="3" stopIfTrue="1">
      <formula>AND($P2&lt;&gt;$R2,$P2&lt;$R2,$D2&lt;&gt;"")</formula>
    </cfRule>
  </conditionalFormatting>
  <conditionalFormatting sqref="U2:V33">
    <cfRule type="expression" dxfId="4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45" priority="5" stopIfTrue="1">
      <formula>W3=TODAY()</formula>
    </cfRule>
    <cfRule type="expression" dxfId="44" priority="6" stopIfTrue="1">
      <formula>NOT(ISNA(MATCH(W3,ldate,0)))</formula>
    </cfRule>
    <cfRule type="expression" dxfId="4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2" activePane="bottomLeft" state="frozen"/>
      <selection pane="bottomLeft" activeCell="F19" sqref="F19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45536</v>
      </c>
      <c r="X1" s="240">
        <f>$X$11</f>
        <v>45536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45537</v>
      </c>
      <c r="AD1" s="67"/>
    </row>
    <row r="2" spans="1:31" ht="15" customHeight="1">
      <c r="A2" s="11">
        <f>IF($X$11="","",DATE(YEAR($X$11),MONTH($X$11),1))</f>
        <v>45536</v>
      </c>
      <c r="B2" s="12">
        <f>IF($A2="","",WEEKDAY(A2))</f>
        <v>1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Sunday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45537</v>
      </c>
      <c r="B3" s="16">
        <f>IF($A3="","",WEEKDAY(A3))</f>
        <v>2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 t="str">
        <v/>
      </c>
      <c r="AC3" s="69">
        <v>45536</v>
      </c>
      <c r="AD3" s="67"/>
    </row>
    <row r="4" spans="1:31" ht="15" customHeight="1">
      <c r="A4" s="15">
        <f t="shared" si="3"/>
        <v>45538</v>
      </c>
      <c r="B4" s="16">
        <f t="shared" ref="B4:B33" si="9">IF($A4="","",WEEKDAY(A4))</f>
        <v>3</v>
      </c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29" t="str">
        <f t="shared" si="4"/>
        <v/>
      </c>
      <c r="P4" s="30" t="str">
        <f t="shared" si="5"/>
        <v/>
      </c>
      <c r="Q4" s="43" t="str">
        <f t="shared" si="6"/>
        <v/>
      </c>
      <c r="R4" s="44" t="str">
        <f t="shared" si="0"/>
        <v/>
      </c>
      <c r="S4" s="45" t="str">
        <f t="shared" si="7"/>
        <v/>
      </c>
      <c r="T4" s="43" t="str">
        <f t="shared" si="8"/>
        <v/>
      </c>
      <c r="U4" s="46" t="str">
        <f t="shared" si="1"/>
        <v/>
      </c>
      <c r="V4" s="41" t="str">
        <f t="shared" si="2"/>
        <v xml:space="preserve">  </v>
      </c>
      <c r="W4" s="49">
        <v>45537</v>
      </c>
      <c r="X4" s="50">
        <v>45538</v>
      </c>
      <c r="Y4" s="50">
        <v>45539</v>
      </c>
      <c r="Z4" s="50">
        <v>45540</v>
      </c>
      <c r="AA4" s="50">
        <v>45541</v>
      </c>
      <c r="AB4" s="50">
        <v>45542</v>
      </c>
      <c r="AC4" s="70">
        <v>45543</v>
      </c>
      <c r="AD4" s="67"/>
    </row>
    <row r="5" spans="1:31" ht="15" customHeight="1">
      <c r="A5" s="15">
        <f t="shared" si="3"/>
        <v>45539</v>
      </c>
      <c r="B5" s="16">
        <f t="shared" si="9"/>
        <v>4</v>
      </c>
      <c r="C5" s="17"/>
      <c r="D5" s="18"/>
      <c r="E5" s="17"/>
      <c r="F5" s="18"/>
      <c r="G5" s="17"/>
      <c r="H5" s="18"/>
      <c r="I5" s="17"/>
      <c r="J5" s="18"/>
      <c r="K5" s="17"/>
      <c r="L5" s="18"/>
      <c r="M5" s="17"/>
      <c r="N5" s="18"/>
      <c r="O5" s="29" t="str">
        <f t="shared" si="4"/>
        <v/>
      </c>
      <c r="P5" s="30" t="str">
        <f t="shared" si="5"/>
        <v/>
      </c>
      <c r="Q5" s="43" t="str">
        <f t="shared" si="6"/>
        <v/>
      </c>
      <c r="R5" s="44" t="str">
        <f t="shared" si="0"/>
        <v/>
      </c>
      <c r="S5" s="45" t="str">
        <f t="shared" si="7"/>
        <v/>
      </c>
      <c r="T5" s="43" t="str">
        <f t="shared" si="8"/>
        <v/>
      </c>
      <c r="U5" s="46" t="str">
        <f t="shared" si="1"/>
        <v/>
      </c>
      <c r="V5" s="41" t="str">
        <f t="shared" si="2"/>
        <v xml:space="preserve">  </v>
      </c>
      <c r="W5" s="49">
        <v>45544</v>
      </c>
      <c r="X5" s="50">
        <v>45545</v>
      </c>
      <c r="Y5" s="50">
        <v>45546</v>
      </c>
      <c r="Z5" s="50">
        <v>45547</v>
      </c>
      <c r="AA5" s="50">
        <v>45548</v>
      </c>
      <c r="AB5" s="50">
        <v>45549</v>
      </c>
      <c r="AC5" s="70">
        <v>45550</v>
      </c>
      <c r="AD5" s="67"/>
    </row>
    <row r="6" spans="1:31" ht="15" customHeight="1">
      <c r="A6" s="15">
        <f t="shared" si="3"/>
        <v>45540</v>
      </c>
      <c r="B6" s="16">
        <f t="shared" si="9"/>
        <v>5</v>
      </c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 t="str">
        <f t="shared" si="5"/>
        <v/>
      </c>
      <c r="Q6" s="43" t="str">
        <f t="shared" si="6"/>
        <v/>
      </c>
      <c r="R6" s="44" t="str">
        <f t="shared" si="0"/>
        <v/>
      </c>
      <c r="S6" s="45" t="str">
        <f t="shared" si="7"/>
        <v/>
      </c>
      <c r="T6" s="43" t="str">
        <f t="shared" si="8"/>
        <v/>
      </c>
      <c r="U6" s="46" t="str">
        <f t="shared" si="1"/>
        <v/>
      </c>
      <c r="V6" s="41" t="str">
        <f t="shared" si="2"/>
        <v xml:space="preserve">  </v>
      </c>
      <c r="W6" s="49">
        <v>45551</v>
      </c>
      <c r="X6" s="50">
        <v>45552</v>
      </c>
      <c r="Y6" s="50">
        <v>45553</v>
      </c>
      <c r="Z6" s="50">
        <v>45554</v>
      </c>
      <c r="AA6" s="50">
        <v>45555</v>
      </c>
      <c r="AB6" s="50">
        <v>45556</v>
      </c>
      <c r="AC6" s="70">
        <v>45557</v>
      </c>
      <c r="AD6" s="67"/>
    </row>
    <row r="7" spans="1:31" ht="15" customHeight="1">
      <c r="A7" s="15">
        <f t="shared" si="3"/>
        <v>45541</v>
      </c>
      <c r="B7" s="16">
        <f t="shared" si="9"/>
        <v>6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  </v>
      </c>
      <c r="W7" s="49">
        <v>45558</v>
      </c>
      <c r="X7" s="50">
        <v>45559</v>
      </c>
      <c r="Y7" s="50">
        <v>45560</v>
      </c>
      <c r="Z7" s="50">
        <v>45561</v>
      </c>
      <c r="AA7" s="50">
        <v>45562</v>
      </c>
      <c r="AB7" s="50">
        <v>45563</v>
      </c>
      <c r="AC7" s="70">
        <v>45564</v>
      </c>
      <c r="AD7" s="67"/>
    </row>
    <row r="8" spans="1:31" ht="15" customHeight="1">
      <c r="A8" s="15">
        <f t="shared" si="3"/>
        <v>45542</v>
      </c>
      <c r="B8" s="16">
        <f t="shared" si="9"/>
        <v>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 t="str">
        <f t="shared" si="5"/>
        <v/>
      </c>
      <c r="Q8" s="43" t="str">
        <f t="shared" si="6"/>
        <v/>
      </c>
      <c r="R8" s="44" t="str">
        <f t="shared" si="0"/>
        <v/>
      </c>
      <c r="S8" s="45" t="str">
        <f t="shared" si="7"/>
        <v/>
      </c>
      <c r="T8" s="43" t="str">
        <f t="shared" si="8"/>
        <v/>
      </c>
      <c r="U8" s="46" t="str">
        <f t="shared" si="1"/>
        <v/>
      </c>
      <c r="V8" s="41" t="str">
        <f t="shared" si="2"/>
        <v xml:space="preserve">Saturday  </v>
      </c>
      <c r="W8" s="51">
        <v>45565</v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45543</v>
      </c>
      <c r="B9" s="16">
        <f t="shared" si="9"/>
        <v>1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Sunday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45544</v>
      </c>
      <c r="B10" s="16">
        <f t="shared" si="9"/>
        <v>2</v>
      </c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4"/>
        <v/>
      </c>
      <c r="P10" s="30" t="str">
        <f t="shared" si="5"/>
        <v/>
      </c>
      <c r="Q10" s="43" t="str">
        <f t="shared" si="6"/>
        <v/>
      </c>
      <c r="R10" s="44" t="str">
        <f t="shared" si="0"/>
        <v/>
      </c>
      <c r="S10" s="45" t="str">
        <f t="shared" si="7"/>
        <v/>
      </c>
      <c r="T10" s="43" t="str">
        <f t="shared" si="8"/>
        <v/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45545</v>
      </c>
      <c r="B11" s="16">
        <f t="shared" si="9"/>
        <v>3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29" t="str">
        <f t="shared" si="4"/>
        <v/>
      </c>
      <c r="P11" s="30" t="str">
        <f t="shared" si="5"/>
        <v/>
      </c>
      <c r="Q11" s="43" t="str">
        <f t="shared" si="6"/>
        <v/>
      </c>
      <c r="R11" s="44" t="str">
        <f t="shared" si="0"/>
        <v/>
      </c>
      <c r="S11" s="45" t="str">
        <f t="shared" si="7"/>
        <v/>
      </c>
      <c r="T11" s="43" t="str">
        <f t="shared" si="8"/>
        <v/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45536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45546</v>
      </c>
      <c r="B12" s="16">
        <f t="shared" si="9"/>
        <v>4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30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45547</v>
      </c>
      <c r="B13" s="16">
        <f t="shared" si="9"/>
        <v>5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19*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30</v>
      </c>
      <c r="AE13" s="74"/>
    </row>
    <row r="14" spans="1:31" ht="15" customHeight="1">
      <c r="A14" s="15">
        <f t="shared" si="3"/>
        <v>45548</v>
      </c>
      <c r="B14" s="16">
        <f t="shared" si="9"/>
        <v>6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9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45549</v>
      </c>
      <c r="B15" s="16">
        <f t="shared" si="9"/>
        <v>7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Saturday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Sep-24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45550</v>
      </c>
      <c r="B16" s="16">
        <f t="shared" si="9"/>
        <v>1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Sunday  </v>
      </c>
      <c r="W16" s="225" t="str">
        <f>"Break Hours "&amp;TEXT(SUM($O2:$O33),"[h]:mm")</f>
        <v>Break Hours 1:26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45551</v>
      </c>
      <c r="B17" s="16">
        <f t="shared" si="9"/>
        <v>2</v>
      </c>
      <c r="C17" s="17">
        <v>0.43611111111111112</v>
      </c>
      <c r="D17" s="18">
        <v>0.55555555555555558</v>
      </c>
      <c r="E17" s="17">
        <v>0.57986111111111105</v>
      </c>
      <c r="F17" s="18">
        <v>0.8125</v>
      </c>
      <c r="G17" s="17"/>
      <c r="H17" s="18"/>
      <c r="I17" s="17"/>
      <c r="J17" s="18"/>
      <c r="K17" s="17"/>
      <c r="L17" s="18"/>
      <c r="M17" s="17"/>
      <c r="N17" s="18"/>
      <c r="O17" s="29">
        <f t="shared" si="4"/>
        <v>2.4305555555555469E-2</v>
      </c>
      <c r="P17" s="30">
        <f t="shared" si="5"/>
        <v>0.35208333333333341</v>
      </c>
      <c r="Q17" s="43">
        <f t="shared" si="6"/>
        <v>0.37638888888888888</v>
      </c>
      <c r="R17" s="44">
        <f t="shared" si="0"/>
        <v>0.35416666666666702</v>
      </c>
      <c r="S17" s="45">
        <f t="shared" si="7"/>
        <v>0.81458333333333366</v>
      </c>
      <c r="T17" s="43" t="str">
        <f t="shared" si="8"/>
        <v>- 0:03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15:05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45552</v>
      </c>
      <c r="B18" s="16">
        <f t="shared" si="9"/>
        <v>3</v>
      </c>
      <c r="C18" s="17">
        <v>0.4381944444444445</v>
      </c>
      <c r="D18" s="18">
        <v>0.56319444444444444</v>
      </c>
      <c r="E18" s="17">
        <v>0.59861111111111109</v>
      </c>
      <c r="F18" s="18">
        <v>0.75</v>
      </c>
      <c r="G18" s="17"/>
      <c r="H18" s="18"/>
      <c r="I18" s="17"/>
      <c r="J18" s="18"/>
      <c r="K18" s="17"/>
      <c r="L18" s="18"/>
      <c r="M18" s="17"/>
      <c r="N18" s="18"/>
      <c r="O18" s="29">
        <f t="shared" si="4"/>
        <v>3.5416666666666652E-2</v>
      </c>
      <c r="P18" s="30">
        <f t="shared" si="5"/>
        <v>0.27638888888888885</v>
      </c>
      <c r="Q18" s="43">
        <f t="shared" si="6"/>
        <v>0.3118055555555555</v>
      </c>
      <c r="R18" s="44">
        <f t="shared" si="0"/>
        <v>0.35416666666666702</v>
      </c>
      <c r="S18" s="45">
        <f t="shared" si="7"/>
        <v>0.82777777777777817</v>
      </c>
      <c r="T18" s="43" t="str">
        <f t="shared" si="8"/>
        <v>- 1:52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17:00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45553</v>
      </c>
      <c r="B19" s="16">
        <f t="shared" si="9"/>
        <v>4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7:32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45554</v>
      </c>
      <c r="B20" s="16">
        <f t="shared" si="9"/>
        <v>5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45555</v>
      </c>
      <c r="B21" s="16">
        <f t="shared" si="9"/>
        <v>6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29" t="str">
        <f t="shared" si="4"/>
        <v/>
      </c>
      <c r="P21" s="30" t="str">
        <f t="shared" si="5"/>
        <v/>
      </c>
      <c r="Q21" s="43" t="str">
        <f t="shared" si="6"/>
        <v/>
      </c>
      <c r="R21" s="44" t="str">
        <f t="shared" si="0"/>
        <v/>
      </c>
      <c r="S21" s="45" t="str">
        <f t="shared" si="7"/>
        <v/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1:55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45556</v>
      </c>
      <c r="B22" s="16">
        <f t="shared" si="9"/>
        <v>7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4"/>
        <v/>
      </c>
      <c r="P22" s="30" t="str">
        <f t="shared" si="5"/>
        <v/>
      </c>
      <c r="Q22" s="43" t="str">
        <f t="shared" si="6"/>
        <v/>
      </c>
      <c r="R22" s="44" t="str">
        <f t="shared" si="0"/>
        <v/>
      </c>
      <c r="S22" s="45" t="str">
        <f t="shared" si="7"/>
        <v/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Saturday  </v>
      </c>
      <c r="W22" s="225" t="str">
        <f>"Total Hours "&amp;TEXT(SUM($Q2:$Q33),"[h]:mm")</f>
        <v>Total Hours 16:31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45557</v>
      </c>
      <c r="B23" s="16">
        <f t="shared" si="9"/>
        <v>1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Sunday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45558</v>
      </c>
      <c r="B24" s="16">
        <f t="shared" si="9"/>
        <v>2</v>
      </c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29" t="str">
        <f t="shared" si="4"/>
        <v/>
      </c>
      <c r="P24" s="30" t="str">
        <f t="shared" si="5"/>
        <v/>
      </c>
      <c r="Q24" s="43" t="str">
        <f t="shared" si="6"/>
        <v/>
      </c>
      <c r="R24" s="44" t="str">
        <f t="shared" si="0"/>
        <v/>
      </c>
      <c r="S24" s="45" t="str">
        <f t="shared" si="7"/>
        <v/>
      </c>
      <c r="T24" s="43" t="str">
        <f t="shared" si="8"/>
        <v/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45559</v>
      </c>
      <c r="B25" s="16">
        <f t="shared" si="9"/>
        <v>3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29" t="str">
        <f t="shared" si="4"/>
        <v/>
      </c>
      <c r="P25" s="30" t="str">
        <f t="shared" si="5"/>
        <v/>
      </c>
      <c r="Q25" s="43" t="str">
        <f t="shared" si="6"/>
        <v/>
      </c>
      <c r="R25" s="44" t="str">
        <f t="shared" si="0"/>
        <v/>
      </c>
      <c r="S25" s="45" t="str">
        <f t="shared" si="7"/>
        <v/>
      </c>
      <c r="T25" s="43" t="str">
        <f t="shared" si="8"/>
        <v/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45560</v>
      </c>
      <c r="B26" s="16">
        <f t="shared" si="9"/>
        <v>4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45561</v>
      </c>
      <c r="B27" s="16">
        <f t="shared" si="9"/>
        <v>5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  </v>
      </c>
      <c r="W27" s="214"/>
      <c r="X27" s="215"/>
      <c r="Y27" s="79"/>
      <c r="Z27" s="204"/>
      <c r="AA27" s="205"/>
      <c r="AB27" s="205"/>
      <c r="AC27" s="206"/>
      <c r="AD27" s="67"/>
    </row>
    <row r="28" spans="1:31" ht="15" customHeight="1">
      <c r="A28" s="15">
        <f t="shared" si="3"/>
        <v>45562</v>
      </c>
      <c r="B28" s="16">
        <f t="shared" si="9"/>
        <v>6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  </v>
      </c>
      <c r="W28" s="214"/>
      <c r="X28" s="215"/>
      <c r="Y28" s="79"/>
      <c r="Z28" s="204"/>
      <c r="AA28" s="205"/>
      <c r="AB28" s="205"/>
      <c r="AC28" s="206"/>
      <c r="AD28" s="67"/>
    </row>
    <row r="29" spans="1:31" ht="15" customHeight="1">
      <c r="A29" s="15">
        <f t="shared" si="3"/>
        <v>45563</v>
      </c>
      <c r="B29" s="16">
        <f t="shared" si="9"/>
        <v>7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Saturday  </v>
      </c>
      <c r="W29" s="214"/>
      <c r="X29" s="215"/>
      <c r="Y29" s="79"/>
      <c r="Z29" s="204"/>
      <c r="AA29" s="205"/>
      <c r="AB29" s="205"/>
      <c r="AC29" s="206"/>
      <c r="AD29" s="67"/>
    </row>
    <row r="30" spans="1:31" ht="15" customHeight="1">
      <c r="A30" s="15">
        <f t="shared" si="3"/>
        <v>45564</v>
      </c>
      <c r="B30" s="16">
        <f t="shared" si="9"/>
        <v>1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Sunday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45565</v>
      </c>
      <c r="B31" s="16">
        <f t="shared" si="9"/>
        <v>2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 t="str">
        <f t="shared" si="3"/>
        <v/>
      </c>
      <c r="B32" s="16" t="str">
        <f t="shared" si="9"/>
        <v/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42" priority="9" stopIfTrue="1">
      <formula>OR($X$11="",MONTH(NOW())&lt;&gt;MONTH($X$11))</formula>
    </cfRule>
  </conditionalFormatting>
  <conditionalFormatting sqref="W15">
    <cfRule type="expression" dxfId="41" priority="4" stopIfTrue="1">
      <formula>TotalLeave&gt;=Yearly_Leaves</formula>
    </cfRule>
  </conditionalFormatting>
  <conditionalFormatting sqref="W1:AC8 W11 AC11 W12:AC22 W24:AC33 U2:V33">
    <cfRule type="expression" dxfId="40" priority="8" stopIfTrue="1">
      <formula>$X$11=""</formula>
    </cfRule>
  </conditionalFormatting>
  <conditionalFormatting sqref="A2:V33">
    <cfRule type="expression" dxfId="3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38" priority="2" stopIfTrue="1">
      <formula>AND(NOT(ISNA(MATCH($A2,hdate,0))),COUNTIF($V2,"*Optional*")&lt;1)</formula>
    </cfRule>
    <cfRule type="expression" dxfId="37" priority="3" stopIfTrue="1">
      <formula>AND($P2&lt;&gt;$R2,$P2&lt;$R2,$D2&lt;&gt;"")</formula>
    </cfRule>
  </conditionalFormatting>
  <conditionalFormatting sqref="U2:V33">
    <cfRule type="expression" dxfId="3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35" priority="5" stopIfTrue="1">
      <formula>W3=TODAY()</formula>
    </cfRule>
    <cfRule type="expression" dxfId="34" priority="6" stopIfTrue="1">
      <formula>NOT(ISNA(MATCH(W3,ldate,0)))</formula>
    </cfRule>
    <cfRule type="expression" dxfId="3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30" zoomScaleNormal="130" workbookViewId="0">
      <pane ySplit="1" topLeftCell="A18" activePane="bottomLeft" state="frozen"/>
      <selection pane="bottomLeft" activeCell="F27" sqref="F27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45200</v>
      </c>
      <c r="X1" s="240">
        <f>$X$11</f>
        <v>45200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45201</v>
      </c>
      <c r="AD1" s="67"/>
    </row>
    <row r="2" spans="1:31" ht="15" customHeight="1">
      <c r="A2" s="11">
        <f>IF($X$11="","",DATE(YEAR($X$11),MONTH($X$11),1))</f>
        <v>45200</v>
      </c>
      <c r="B2" s="12">
        <f>IF($A2="","",WEEKDAY(A2))</f>
        <v>1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Sunday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45201</v>
      </c>
      <c r="B3" s="16">
        <f>IF($A3="","",WEEKDAY(A3))</f>
        <v>2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 t="str">
        <v/>
      </c>
      <c r="AC3" s="69">
        <v>45200</v>
      </c>
      <c r="AD3" s="67"/>
    </row>
    <row r="4" spans="1:31" ht="15" customHeight="1">
      <c r="A4" s="15">
        <f t="shared" si="3"/>
        <v>45202</v>
      </c>
      <c r="B4" s="16">
        <f t="shared" ref="B4:B33" si="9">IF($A4="","",WEEKDAY(A4))</f>
        <v>3</v>
      </c>
      <c r="C4" s="17">
        <v>0.52222222222222225</v>
      </c>
      <c r="D4" s="18">
        <v>0.70624999999999993</v>
      </c>
      <c r="E4" s="17">
        <v>0.73541666666666661</v>
      </c>
      <c r="F4" s="18">
        <v>0.85416666666666663</v>
      </c>
      <c r="G4" s="17"/>
      <c r="H4" s="18"/>
      <c r="I4" s="17"/>
      <c r="J4" s="18"/>
      <c r="K4" s="17"/>
      <c r="L4" s="18"/>
      <c r="M4" s="17"/>
      <c r="N4" s="18"/>
      <c r="O4" s="29">
        <f t="shared" si="4"/>
        <v>2.9166666666666674E-2</v>
      </c>
      <c r="P4" s="30">
        <f t="shared" si="5"/>
        <v>0.3027777777777777</v>
      </c>
      <c r="Q4" s="43">
        <f t="shared" si="6"/>
        <v>0.33194444444444438</v>
      </c>
      <c r="R4" s="44">
        <f t="shared" si="0"/>
        <v>0.35416666666666702</v>
      </c>
      <c r="S4" s="45">
        <f t="shared" si="7"/>
        <v>0.90555555555555589</v>
      </c>
      <c r="T4" s="43" t="str">
        <f t="shared" si="8"/>
        <v>- 1:14</v>
      </c>
      <c r="U4" s="46" t="str">
        <f t="shared" si="1"/>
        <v/>
      </c>
      <c r="V4" s="41" t="str">
        <f t="shared" si="2"/>
        <v xml:space="preserve">  </v>
      </c>
      <c r="W4" s="49">
        <v>45201</v>
      </c>
      <c r="X4" s="50">
        <v>45202</v>
      </c>
      <c r="Y4" s="50">
        <v>45203</v>
      </c>
      <c r="Z4" s="50">
        <v>45204</v>
      </c>
      <c r="AA4" s="50">
        <v>45205</v>
      </c>
      <c r="AB4" s="50">
        <v>45206</v>
      </c>
      <c r="AC4" s="70">
        <v>45207</v>
      </c>
      <c r="AD4" s="67"/>
    </row>
    <row r="5" spans="1:31" ht="15" customHeight="1">
      <c r="A5" s="15">
        <f t="shared" si="3"/>
        <v>45203</v>
      </c>
      <c r="B5" s="16">
        <f t="shared" si="9"/>
        <v>4</v>
      </c>
      <c r="C5" s="17">
        <v>0.43124999999999997</v>
      </c>
      <c r="D5" s="18">
        <v>0.56527777777777777</v>
      </c>
      <c r="E5" s="17">
        <v>0.58680555555555558</v>
      </c>
      <c r="F5" s="18">
        <v>0.8125</v>
      </c>
      <c r="G5" s="17"/>
      <c r="H5" s="18"/>
      <c r="I5" s="17"/>
      <c r="J5" s="18"/>
      <c r="K5" s="17"/>
      <c r="L5" s="18"/>
      <c r="M5" s="17"/>
      <c r="N5" s="18"/>
      <c r="O5" s="29">
        <f t="shared" si="4"/>
        <v>2.1527777777777812E-2</v>
      </c>
      <c r="P5" s="30">
        <f t="shared" si="5"/>
        <v>0.35972222222222222</v>
      </c>
      <c r="Q5" s="43">
        <f t="shared" si="6"/>
        <v>0.38125000000000003</v>
      </c>
      <c r="R5" s="44">
        <f t="shared" si="0"/>
        <v>0.35416666666666702</v>
      </c>
      <c r="S5" s="45">
        <f t="shared" si="7"/>
        <v>0.8069444444444448</v>
      </c>
      <c r="T5" s="43" t="str">
        <f t="shared" si="8"/>
        <v>+ 0:08</v>
      </c>
      <c r="U5" s="46" t="str">
        <f t="shared" si="1"/>
        <v/>
      </c>
      <c r="V5" s="41" t="str">
        <f t="shared" si="2"/>
        <v xml:space="preserve">  </v>
      </c>
      <c r="W5" s="49">
        <v>45208</v>
      </c>
      <c r="X5" s="50">
        <v>45209</v>
      </c>
      <c r="Y5" s="50">
        <v>45210</v>
      </c>
      <c r="Z5" s="50">
        <v>45211</v>
      </c>
      <c r="AA5" s="50">
        <v>45212</v>
      </c>
      <c r="AB5" s="50">
        <v>45213</v>
      </c>
      <c r="AC5" s="70">
        <v>45214</v>
      </c>
      <c r="AD5" s="67"/>
    </row>
    <row r="6" spans="1:31" ht="15" customHeight="1">
      <c r="A6" s="15">
        <f t="shared" si="3"/>
        <v>45204</v>
      </c>
      <c r="B6" s="16">
        <f t="shared" si="9"/>
        <v>5</v>
      </c>
      <c r="C6" s="17">
        <v>0.42708333333333331</v>
      </c>
      <c r="D6" s="18">
        <v>0.55972222222222223</v>
      </c>
      <c r="E6" s="17">
        <v>0.58194444444444449</v>
      </c>
      <c r="F6" s="18">
        <v>0.7090277777777777</v>
      </c>
      <c r="G6" s="17">
        <v>0.74444444444444446</v>
      </c>
      <c r="H6" s="18">
        <v>0.83333333333333337</v>
      </c>
      <c r="I6" s="17"/>
      <c r="J6" s="18"/>
      <c r="K6" s="17"/>
      <c r="L6" s="18"/>
      <c r="M6" s="17"/>
      <c r="N6" s="18"/>
      <c r="O6" s="29">
        <f t="shared" si="4"/>
        <v>5.7638888888889017E-2</v>
      </c>
      <c r="P6" s="30">
        <f t="shared" si="5"/>
        <v>0.34861111111111104</v>
      </c>
      <c r="Q6" s="43">
        <f t="shared" si="6"/>
        <v>0.40625000000000006</v>
      </c>
      <c r="R6" s="44">
        <f t="shared" si="0"/>
        <v>0.35416666666666702</v>
      </c>
      <c r="S6" s="45">
        <f t="shared" si="7"/>
        <v>0.83888888888888935</v>
      </c>
      <c r="T6" s="43" t="str">
        <f t="shared" si="8"/>
        <v>- 0:08</v>
      </c>
      <c r="U6" s="46" t="str">
        <f t="shared" si="1"/>
        <v/>
      </c>
      <c r="V6" s="41" t="str">
        <f t="shared" si="2"/>
        <v xml:space="preserve">  </v>
      </c>
      <c r="W6" s="49">
        <v>45215</v>
      </c>
      <c r="X6" s="50">
        <v>45216</v>
      </c>
      <c r="Y6" s="50">
        <v>45217</v>
      </c>
      <c r="Z6" s="50">
        <v>45218</v>
      </c>
      <c r="AA6" s="50">
        <v>45219</v>
      </c>
      <c r="AB6" s="50">
        <v>45220</v>
      </c>
      <c r="AC6" s="70">
        <v>45221</v>
      </c>
      <c r="AD6" s="67"/>
    </row>
    <row r="7" spans="1:31" ht="15" customHeight="1">
      <c r="A7" s="15">
        <f t="shared" si="3"/>
        <v>45205</v>
      </c>
      <c r="B7" s="16">
        <f t="shared" si="9"/>
        <v>6</v>
      </c>
      <c r="C7" s="17">
        <v>0.4201388888888889</v>
      </c>
      <c r="D7" s="18">
        <v>0.5708333333333333</v>
      </c>
      <c r="E7" s="17">
        <v>0.59305555555555556</v>
      </c>
      <c r="F7" s="18">
        <v>0.80208333333333337</v>
      </c>
      <c r="G7" s="17"/>
      <c r="H7" s="18"/>
      <c r="I7" s="17"/>
      <c r="J7" s="18"/>
      <c r="K7" s="17"/>
      <c r="L7" s="18"/>
      <c r="M7" s="17"/>
      <c r="N7" s="18"/>
      <c r="O7" s="29">
        <f t="shared" si="4"/>
        <v>2.2222222222222254E-2</v>
      </c>
      <c r="P7" s="30">
        <f t="shared" si="5"/>
        <v>0.35972222222222222</v>
      </c>
      <c r="Q7" s="43">
        <f t="shared" si="6"/>
        <v>0.38194444444444448</v>
      </c>
      <c r="R7" s="44">
        <f t="shared" si="0"/>
        <v>0.35416666666666702</v>
      </c>
      <c r="S7" s="45">
        <f t="shared" si="7"/>
        <v>0.79652777777777817</v>
      </c>
      <c r="T7" s="43" t="str">
        <f t="shared" si="8"/>
        <v>+ 0:08</v>
      </c>
      <c r="U7" s="46" t="str">
        <f t="shared" si="1"/>
        <v/>
      </c>
      <c r="V7" s="41" t="str">
        <f t="shared" si="2"/>
        <v xml:space="preserve">  </v>
      </c>
      <c r="W7" s="49">
        <v>45222</v>
      </c>
      <c r="X7" s="50">
        <v>45223</v>
      </c>
      <c r="Y7" s="50">
        <v>45224</v>
      </c>
      <c r="Z7" s="50">
        <v>45225</v>
      </c>
      <c r="AA7" s="50">
        <v>45226</v>
      </c>
      <c r="AB7" s="50">
        <v>45227</v>
      </c>
      <c r="AC7" s="70">
        <v>45228</v>
      </c>
      <c r="AD7" s="67"/>
    </row>
    <row r="8" spans="1:31" ht="15" customHeight="1">
      <c r="A8" s="15">
        <f t="shared" si="3"/>
        <v>45206</v>
      </c>
      <c r="B8" s="16">
        <f t="shared" si="9"/>
        <v>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 t="str">
        <f t="shared" si="5"/>
        <v/>
      </c>
      <c r="Q8" s="43" t="str">
        <f t="shared" si="6"/>
        <v/>
      </c>
      <c r="R8" s="44" t="str">
        <f t="shared" si="0"/>
        <v/>
      </c>
      <c r="S8" s="45" t="str">
        <f t="shared" si="7"/>
        <v/>
      </c>
      <c r="T8" s="43" t="str">
        <f t="shared" si="8"/>
        <v/>
      </c>
      <c r="U8" s="46" t="str">
        <f t="shared" si="1"/>
        <v/>
      </c>
      <c r="V8" s="41" t="str">
        <f t="shared" si="2"/>
        <v xml:space="preserve">Saturday  </v>
      </c>
      <c r="W8" s="51">
        <v>45229</v>
      </c>
      <c r="X8" s="52">
        <v>45230</v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45207</v>
      </c>
      <c r="B9" s="16">
        <f t="shared" si="9"/>
        <v>1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Sunday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45208</v>
      </c>
      <c r="B10" s="16">
        <f t="shared" si="9"/>
        <v>2</v>
      </c>
      <c r="C10" s="17">
        <v>0.43124999999999997</v>
      </c>
      <c r="D10" s="18">
        <v>0.56111111111111112</v>
      </c>
      <c r="E10" s="17">
        <v>0.59097222222222223</v>
      </c>
      <c r="F10" s="18">
        <v>0.71597222222222223</v>
      </c>
      <c r="G10" s="17">
        <v>0.74791666666666667</v>
      </c>
      <c r="H10" s="18">
        <v>0.82638888888888884</v>
      </c>
      <c r="I10" s="17"/>
      <c r="J10" s="18"/>
      <c r="K10" s="17"/>
      <c r="L10" s="18"/>
      <c r="M10" s="17"/>
      <c r="N10" s="18"/>
      <c r="O10" s="29">
        <f t="shared" si="4"/>
        <v>6.1805555555555558E-2</v>
      </c>
      <c r="P10" s="30">
        <f t="shared" si="5"/>
        <v>0.33333333333333331</v>
      </c>
      <c r="Q10" s="43">
        <f t="shared" si="6"/>
        <v>0.39513888888888887</v>
      </c>
      <c r="R10" s="44">
        <f t="shared" si="0"/>
        <v>0.35416666666666702</v>
      </c>
      <c r="S10" s="45">
        <f t="shared" si="7"/>
        <v>0.84722222222222254</v>
      </c>
      <c r="T10" s="43" t="str">
        <f t="shared" si="8"/>
        <v>- 0:30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45209</v>
      </c>
      <c r="B11" s="16">
        <f t="shared" si="9"/>
        <v>3</v>
      </c>
      <c r="C11" s="17">
        <v>0.42430555555555555</v>
      </c>
      <c r="D11" s="18">
        <v>0.56388888888888888</v>
      </c>
      <c r="E11" s="17">
        <v>0.59861111111111109</v>
      </c>
      <c r="F11" s="18">
        <v>0.8125</v>
      </c>
      <c r="G11" s="17"/>
      <c r="H11" s="18"/>
      <c r="I11" s="17"/>
      <c r="J11" s="18"/>
      <c r="K11" s="17"/>
      <c r="L11" s="18"/>
      <c r="M11" s="17"/>
      <c r="N11" s="18"/>
      <c r="O11" s="29">
        <f t="shared" si="4"/>
        <v>3.472222222222221E-2</v>
      </c>
      <c r="P11" s="30">
        <f t="shared" si="5"/>
        <v>0.35347222222222224</v>
      </c>
      <c r="Q11" s="43">
        <f t="shared" si="6"/>
        <v>0.38819444444444445</v>
      </c>
      <c r="R11" s="44">
        <f t="shared" si="0"/>
        <v>0.35416666666666702</v>
      </c>
      <c r="S11" s="45">
        <f t="shared" si="7"/>
        <v>0.81319444444444478</v>
      </c>
      <c r="T11" s="43" t="str">
        <f t="shared" si="8"/>
        <v>- 0:01</v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45200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45210</v>
      </c>
      <c r="B12" s="16">
        <f t="shared" si="9"/>
        <v>4</v>
      </c>
      <c r="C12" s="17">
        <v>0.43194444444444446</v>
      </c>
      <c r="D12" s="18">
        <v>0.56041666666666667</v>
      </c>
      <c r="E12" s="17">
        <v>0.58888888888888891</v>
      </c>
      <c r="F12" s="18">
        <v>0.71180555555555547</v>
      </c>
      <c r="G12" s="17">
        <v>0.71666666666666667</v>
      </c>
      <c r="H12" s="18">
        <v>0.80208333333333337</v>
      </c>
      <c r="I12" s="17"/>
      <c r="J12" s="18"/>
      <c r="K12" s="17"/>
      <c r="L12" s="18"/>
      <c r="M12" s="17"/>
      <c r="N12" s="18"/>
      <c r="O12" s="29">
        <f t="shared" si="4"/>
        <v>3.3333333333333437E-2</v>
      </c>
      <c r="P12" s="30">
        <f t="shared" si="5"/>
        <v>0.33680555555555547</v>
      </c>
      <c r="Q12" s="43">
        <f t="shared" si="6"/>
        <v>0.37013888888888891</v>
      </c>
      <c r="R12" s="44">
        <f t="shared" si="0"/>
        <v>0.35416666666666702</v>
      </c>
      <c r="S12" s="45">
        <f t="shared" si="7"/>
        <v>0.81944444444444486</v>
      </c>
      <c r="T12" s="43" t="str">
        <f t="shared" si="8"/>
        <v>- 0:25</v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45211</v>
      </c>
      <c r="B13" s="16">
        <f t="shared" si="9"/>
        <v>5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3*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45212</v>
      </c>
      <c r="B14" s="16">
        <f t="shared" si="9"/>
        <v>6</v>
      </c>
      <c r="C14" s="17">
        <v>0.37986111111111115</v>
      </c>
      <c r="D14" s="18">
        <v>0.55902777777777779</v>
      </c>
      <c r="E14" s="17">
        <v>0.57291666666666663</v>
      </c>
      <c r="F14" s="18">
        <v>0.75416666666666676</v>
      </c>
      <c r="G14" s="17">
        <v>0.76388888888888884</v>
      </c>
      <c r="H14" s="18">
        <v>0.79166666666666663</v>
      </c>
      <c r="I14" s="17"/>
      <c r="J14" s="18"/>
      <c r="K14" s="17"/>
      <c r="L14" s="18"/>
      <c r="M14" s="17"/>
      <c r="N14" s="18"/>
      <c r="O14" s="29">
        <f t="shared" si="4"/>
        <v>2.3611111111110916E-2</v>
      </c>
      <c r="P14" s="30">
        <f t="shared" si="5"/>
        <v>0.38819444444444456</v>
      </c>
      <c r="Q14" s="43">
        <f t="shared" si="6"/>
        <v>0.41180555555555548</v>
      </c>
      <c r="R14" s="44">
        <f t="shared" si="0"/>
        <v>0.35416666666666702</v>
      </c>
      <c r="S14" s="45">
        <f t="shared" si="7"/>
        <v>0.75763888888888908</v>
      </c>
      <c r="T14" s="43" t="str">
        <f t="shared" si="8"/>
        <v>+ 0:49</v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9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45213</v>
      </c>
      <c r="B15" s="16">
        <f t="shared" si="9"/>
        <v>7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Saturday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Oct-23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45214</v>
      </c>
      <c r="B16" s="16">
        <f t="shared" si="9"/>
        <v>1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Sunday  </v>
      </c>
      <c r="W16" s="225" t="str">
        <f>"Break Hours "&amp;TEXT(SUM($O2:$O33),"[h]:mm")</f>
        <v>Break Hours 14:26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45215</v>
      </c>
      <c r="B17" s="16">
        <f t="shared" si="9"/>
        <v>2</v>
      </c>
      <c r="C17" s="17">
        <v>0.44097222222222227</v>
      </c>
      <c r="D17" s="18">
        <v>0.55902777777777779</v>
      </c>
      <c r="E17" s="17">
        <v>0.57638888888888895</v>
      </c>
      <c r="F17" s="18">
        <v>0.6875</v>
      </c>
      <c r="G17" s="17">
        <v>0.69444444444444453</v>
      </c>
      <c r="H17" s="18">
        <v>0.8125</v>
      </c>
      <c r="I17" s="17"/>
      <c r="J17" s="18"/>
      <c r="K17" s="17"/>
      <c r="L17" s="18"/>
      <c r="M17" s="17"/>
      <c r="N17" s="18"/>
      <c r="O17" s="29">
        <f t="shared" si="4"/>
        <v>2.4305555555555691E-2</v>
      </c>
      <c r="P17" s="30">
        <f t="shared" si="5"/>
        <v>0.34722222222222204</v>
      </c>
      <c r="Q17" s="43">
        <f t="shared" si="6"/>
        <v>0.37152777777777773</v>
      </c>
      <c r="R17" s="44">
        <f t="shared" si="0"/>
        <v>0.35416666666666702</v>
      </c>
      <c r="S17" s="45">
        <f t="shared" si="7"/>
        <v>0.81944444444444497</v>
      </c>
      <c r="T17" s="43" t="str">
        <f t="shared" si="8"/>
        <v>- 0:10</v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158:34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45216</v>
      </c>
      <c r="B18" s="16">
        <f t="shared" si="9"/>
        <v>3</v>
      </c>
      <c r="C18" s="17">
        <v>0.43263888888888885</v>
      </c>
      <c r="D18" s="18">
        <v>0.55555555555555558</v>
      </c>
      <c r="E18" s="17">
        <v>0.57986111111111105</v>
      </c>
      <c r="F18" s="18">
        <v>0.8125</v>
      </c>
      <c r="G18" s="17"/>
      <c r="H18" s="18"/>
      <c r="I18" s="17"/>
      <c r="J18" s="18"/>
      <c r="K18" s="17"/>
      <c r="L18" s="18"/>
      <c r="M18" s="17"/>
      <c r="N18" s="18"/>
      <c r="O18" s="29">
        <f t="shared" si="4"/>
        <v>2.4305555555555469E-2</v>
      </c>
      <c r="P18" s="30">
        <f t="shared" si="5"/>
        <v>0.35555555555555568</v>
      </c>
      <c r="Q18" s="43">
        <f t="shared" si="6"/>
        <v>0.37986111111111115</v>
      </c>
      <c r="R18" s="44">
        <f t="shared" si="0"/>
        <v>0.35416666666666702</v>
      </c>
      <c r="S18" s="45">
        <f t="shared" si="7"/>
        <v>0.81111111111111134</v>
      </c>
      <c r="T18" s="43" t="str">
        <f t="shared" si="8"/>
        <v>+ 0:02</v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161:30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45217</v>
      </c>
      <c r="B19" s="16">
        <f t="shared" si="9"/>
        <v>4</v>
      </c>
      <c r="C19" s="17">
        <v>0.43472222222222223</v>
      </c>
      <c r="D19" s="18">
        <v>0.55972222222222223</v>
      </c>
      <c r="E19" s="17">
        <v>0.60069444444444442</v>
      </c>
      <c r="F19" s="18">
        <v>0.8125</v>
      </c>
      <c r="G19" s="17"/>
      <c r="H19" s="18"/>
      <c r="I19" s="17"/>
      <c r="J19" s="18"/>
      <c r="K19" s="17"/>
      <c r="L19" s="18"/>
      <c r="M19" s="17"/>
      <c r="N19" s="18"/>
      <c r="O19" s="29">
        <f t="shared" si="4"/>
        <v>4.0972222222222188E-2</v>
      </c>
      <c r="P19" s="30">
        <f t="shared" si="5"/>
        <v>0.33680555555555558</v>
      </c>
      <c r="Q19" s="43">
        <f t="shared" si="6"/>
        <v>0.37777777777777777</v>
      </c>
      <c r="R19" s="44">
        <f t="shared" si="0"/>
        <v>0.35416666666666702</v>
      </c>
      <c r="S19" s="45">
        <f t="shared" si="7"/>
        <v>0.82986111111111138</v>
      </c>
      <c r="T19" s="43" t="str">
        <f t="shared" si="8"/>
        <v>- 0:25</v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8:20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45218</v>
      </c>
      <c r="B20" s="16">
        <f t="shared" si="9"/>
        <v>5</v>
      </c>
      <c r="C20" s="17">
        <v>0.43402777777777773</v>
      </c>
      <c r="D20" s="18">
        <v>0.56388888888888888</v>
      </c>
      <c r="E20" s="17">
        <v>0.58333333333333337</v>
      </c>
      <c r="F20" s="18">
        <v>0.79166666666666663</v>
      </c>
      <c r="G20" s="17"/>
      <c r="H20" s="18"/>
      <c r="I20" s="17"/>
      <c r="J20" s="18"/>
      <c r="K20" s="17"/>
      <c r="L20" s="18"/>
      <c r="M20" s="17"/>
      <c r="N20" s="18"/>
      <c r="O20" s="29">
        <f t="shared" si="4"/>
        <v>1.9444444444444486E-2</v>
      </c>
      <c r="P20" s="30">
        <f t="shared" si="5"/>
        <v>0.33819444444444441</v>
      </c>
      <c r="Q20" s="43">
        <f t="shared" si="6"/>
        <v>0.3576388888888889</v>
      </c>
      <c r="R20" s="44">
        <f t="shared" si="0"/>
        <v>0.35416666666666702</v>
      </c>
      <c r="S20" s="45">
        <f t="shared" si="7"/>
        <v>0.80763888888888924</v>
      </c>
      <c r="T20" s="43" t="str">
        <f t="shared" si="8"/>
        <v>- 0:23</v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45219</v>
      </c>
      <c r="B21" s="16">
        <f t="shared" si="9"/>
        <v>6</v>
      </c>
      <c r="C21" s="17">
        <v>0.42152777777777778</v>
      </c>
      <c r="D21" s="18">
        <v>0.56458333333333333</v>
      </c>
      <c r="E21" s="17">
        <v>0.58402777777777781</v>
      </c>
      <c r="F21" s="18">
        <v>0.72569444444444453</v>
      </c>
      <c r="G21" s="17">
        <v>0.77222222222222225</v>
      </c>
      <c r="H21" s="18">
        <v>0.83333333333333337</v>
      </c>
      <c r="I21" s="17"/>
      <c r="J21" s="18"/>
      <c r="K21" s="17"/>
      <c r="L21" s="18"/>
      <c r="M21" s="17"/>
      <c r="N21" s="18"/>
      <c r="O21" s="29">
        <f t="shared" si="4"/>
        <v>6.597222222222221E-2</v>
      </c>
      <c r="P21" s="30">
        <f t="shared" si="5"/>
        <v>0.34583333333333338</v>
      </c>
      <c r="Q21" s="43">
        <f t="shared" si="6"/>
        <v>0.41180555555555559</v>
      </c>
      <c r="R21" s="44">
        <f t="shared" si="0"/>
        <v>0.35416666666666702</v>
      </c>
      <c r="S21" s="45">
        <f t="shared" si="7"/>
        <v>0.84166666666666701</v>
      </c>
      <c r="T21" s="43" t="str">
        <f t="shared" si="8"/>
        <v>- 0:12</v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2:56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45220</v>
      </c>
      <c r="B22" s="16">
        <f t="shared" si="9"/>
        <v>7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4"/>
        <v/>
      </c>
      <c r="P22" s="30" t="str">
        <f t="shared" si="5"/>
        <v/>
      </c>
      <c r="Q22" s="43" t="str">
        <f t="shared" si="6"/>
        <v/>
      </c>
      <c r="R22" s="44" t="str">
        <f t="shared" si="0"/>
        <v/>
      </c>
      <c r="S22" s="45" t="str">
        <f t="shared" si="7"/>
        <v/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Saturday  </v>
      </c>
      <c r="W22" s="225" t="str">
        <f>"Total Hours "&amp;TEXT(SUM($Q2:$Q33),"[h]:mm")</f>
        <v>Total Hours 173:00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45221</v>
      </c>
      <c r="B23" s="16">
        <f t="shared" si="9"/>
        <v>1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Sunday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45222</v>
      </c>
      <c r="B24" s="16">
        <f t="shared" si="9"/>
        <v>2</v>
      </c>
      <c r="C24" s="17">
        <v>0.4381944444444445</v>
      </c>
      <c r="D24" s="18">
        <v>0.55902777777777779</v>
      </c>
      <c r="E24" s="17">
        <v>0.5854166666666667</v>
      </c>
      <c r="F24" s="18">
        <v>0.81597222222222221</v>
      </c>
      <c r="G24" s="17"/>
      <c r="H24" s="18"/>
      <c r="I24" s="17"/>
      <c r="J24" s="18"/>
      <c r="K24" s="17"/>
      <c r="L24" s="18"/>
      <c r="M24" s="17"/>
      <c r="N24" s="18"/>
      <c r="O24" s="29">
        <f t="shared" si="4"/>
        <v>2.6388888888888906E-2</v>
      </c>
      <c r="P24" s="30">
        <f t="shared" si="5"/>
        <v>0.35138888888888881</v>
      </c>
      <c r="Q24" s="43">
        <f t="shared" si="6"/>
        <v>0.37777777777777771</v>
      </c>
      <c r="R24" s="44">
        <f t="shared" si="0"/>
        <v>0.35416666666666702</v>
      </c>
      <c r="S24" s="45">
        <f t="shared" si="7"/>
        <v>0.81875000000000042</v>
      </c>
      <c r="T24" s="43" t="str">
        <f t="shared" si="8"/>
        <v>- 0:04</v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45223</v>
      </c>
      <c r="B25" s="16">
        <f t="shared" si="9"/>
        <v>3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29" t="str">
        <f t="shared" si="4"/>
        <v/>
      </c>
      <c r="P25" s="30" t="str">
        <f t="shared" si="5"/>
        <v/>
      </c>
      <c r="Q25" s="43" t="str">
        <f t="shared" si="6"/>
        <v/>
      </c>
      <c r="R25" s="44" t="str">
        <f t="shared" si="0"/>
        <v/>
      </c>
      <c r="S25" s="45" t="str">
        <f t="shared" si="7"/>
        <v/>
      </c>
      <c r="T25" s="43" t="str">
        <f t="shared" si="8"/>
        <v/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45224</v>
      </c>
      <c r="B26" s="16">
        <f t="shared" si="9"/>
        <v>4</v>
      </c>
      <c r="C26" s="17">
        <v>0.41666666666666669</v>
      </c>
      <c r="D26" s="18">
        <v>0.57152777777777775</v>
      </c>
      <c r="E26" s="17">
        <v>0.59027777777777779</v>
      </c>
      <c r="F26" s="18">
        <v>0.79166666666666663</v>
      </c>
      <c r="G26" s="17"/>
      <c r="H26" s="18"/>
      <c r="I26" s="17"/>
      <c r="J26" s="18"/>
      <c r="K26" s="17"/>
      <c r="L26" s="18"/>
      <c r="M26" s="17"/>
      <c r="N26" s="18"/>
      <c r="O26" s="29">
        <f t="shared" si="4"/>
        <v>1.8750000000000044E-2</v>
      </c>
      <c r="P26" s="30">
        <f t="shared" si="5"/>
        <v>0.3562499999999999</v>
      </c>
      <c r="Q26" s="43">
        <f t="shared" si="6"/>
        <v>0.37499999999999994</v>
      </c>
      <c r="R26" s="44">
        <f t="shared" si="0"/>
        <v>0.35416666666666702</v>
      </c>
      <c r="S26" s="45">
        <f t="shared" si="7"/>
        <v>0.78958333333333375</v>
      </c>
      <c r="T26" s="43" t="str">
        <f t="shared" si="8"/>
        <v>+ 0:03</v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45225</v>
      </c>
      <c r="B27" s="16">
        <f t="shared" si="9"/>
        <v>5</v>
      </c>
      <c r="C27" s="17">
        <v>0.4236111111111111</v>
      </c>
      <c r="D27" s="18">
        <v>0.5625</v>
      </c>
      <c r="E27" s="17">
        <v>0.58750000000000002</v>
      </c>
      <c r="F27" s="18">
        <v>0.79861111111111116</v>
      </c>
      <c r="G27" s="17"/>
      <c r="H27" s="18"/>
      <c r="I27" s="17"/>
      <c r="J27" s="18"/>
      <c r="K27" s="17"/>
      <c r="L27" s="18"/>
      <c r="M27" s="17"/>
      <c r="N27" s="18"/>
      <c r="O27" s="29">
        <f t="shared" si="4"/>
        <v>2.5000000000000022E-2</v>
      </c>
      <c r="P27" s="30">
        <f t="shared" si="5"/>
        <v>0.35000000000000003</v>
      </c>
      <c r="Q27" s="43">
        <f t="shared" si="6"/>
        <v>0.37500000000000006</v>
      </c>
      <c r="R27" s="44">
        <f t="shared" si="0"/>
        <v>0.35416666666666702</v>
      </c>
      <c r="S27" s="45">
        <f t="shared" si="7"/>
        <v>0.80277777777777815</v>
      </c>
      <c r="T27" s="43" t="str">
        <f t="shared" si="8"/>
        <v>- 0:06</v>
      </c>
      <c r="U27" s="46" t="str">
        <f t="shared" si="1"/>
        <v/>
      </c>
      <c r="V27" s="41" t="str">
        <f t="shared" si="2"/>
        <v xml:space="preserve">  </v>
      </c>
      <c r="W27" s="214"/>
      <c r="X27" s="215"/>
      <c r="Y27" s="79"/>
      <c r="Z27" s="204"/>
      <c r="AA27" s="205"/>
      <c r="AB27" s="205"/>
      <c r="AC27" s="206"/>
      <c r="AD27" s="67"/>
    </row>
    <row r="28" spans="1:31" ht="15" customHeight="1">
      <c r="A28" s="15">
        <f t="shared" si="3"/>
        <v>45226</v>
      </c>
      <c r="B28" s="16">
        <f t="shared" si="9"/>
        <v>6</v>
      </c>
      <c r="C28" s="17">
        <v>0.4236111111111111</v>
      </c>
      <c r="D28" s="18">
        <v>0.56458333333333333</v>
      </c>
      <c r="E28" s="17">
        <v>0.59097222222222223</v>
      </c>
      <c r="F28" s="18">
        <v>0.79861111111111116</v>
      </c>
      <c r="G28" s="17"/>
      <c r="H28" s="18"/>
      <c r="I28" s="17"/>
      <c r="J28" s="18"/>
      <c r="K28" s="17"/>
      <c r="L28" s="18"/>
      <c r="M28" s="17"/>
      <c r="N28" s="18"/>
      <c r="O28" s="29">
        <f t="shared" si="4"/>
        <v>2.6388888888888906E-2</v>
      </c>
      <c r="P28" s="30">
        <f t="shared" si="5"/>
        <v>0.34861111111111115</v>
      </c>
      <c r="Q28" s="43">
        <f t="shared" si="6"/>
        <v>0.37500000000000006</v>
      </c>
      <c r="R28" s="44">
        <f t="shared" si="0"/>
        <v>0.35416666666666702</v>
      </c>
      <c r="S28" s="45">
        <f t="shared" si="7"/>
        <v>0.80416666666666703</v>
      </c>
      <c r="T28" s="43" t="str">
        <f t="shared" si="8"/>
        <v>- 0:08</v>
      </c>
      <c r="U28" s="46" t="str">
        <f t="shared" si="1"/>
        <v/>
      </c>
      <c r="V28" s="41" t="str">
        <f t="shared" si="2"/>
        <v xml:space="preserve">  </v>
      </c>
      <c r="W28" s="214"/>
      <c r="X28" s="215"/>
      <c r="Y28" s="79"/>
      <c r="Z28" s="204"/>
      <c r="AA28" s="205"/>
      <c r="AB28" s="205"/>
      <c r="AC28" s="206"/>
      <c r="AD28" s="67"/>
    </row>
    <row r="29" spans="1:31" ht="15" customHeight="1">
      <c r="A29" s="15">
        <f t="shared" si="3"/>
        <v>45227</v>
      </c>
      <c r="B29" s="16">
        <f t="shared" si="9"/>
        <v>7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Saturday  </v>
      </c>
      <c r="W29" s="214"/>
      <c r="X29" s="215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45228</v>
      </c>
      <c r="B30" s="16">
        <f t="shared" si="9"/>
        <v>1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Sunday  </v>
      </c>
      <c r="W30" s="214"/>
      <c r="X30" s="215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45229</v>
      </c>
      <c r="B31" s="16">
        <f t="shared" si="9"/>
        <v>2</v>
      </c>
      <c r="C31" s="17">
        <v>0.42222222222222222</v>
      </c>
      <c r="D31" s="18">
        <v>0.55555555555555558</v>
      </c>
      <c r="E31" s="17">
        <v>0.57986111111111105</v>
      </c>
      <c r="F31" s="18">
        <v>0.79861111111111116</v>
      </c>
      <c r="G31" s="17"/>
      <c r="H31" s="18"/>
      <c r="I31" s="17"/>
      <c r="J31" s="18"/>
      <c r="K31" s="17"/>
      <c r="L31" s="18"/>
      <c r="M31" s="17"/>
      <c r="N31" s="18"/>
      <c r="O31" s="29">
        <f t="shared" si="4"/>
        <v>2.4305555555555469E-2</v>
      </c>
      <c r="P31" s="30">
        <f t="shared" si="5"/>
        <v>0.35208333333333347</v>
      </c>
      <c r="Q31" s="43">
        <f t="shared" si="6"/>
        <v>0.37638888888888894</v>
      </c>
      <c r="R31" s="44">
        <f t="shared" si="0"/>
        <v>0.35416666666666702</v>
      </c>
      <c r="S31" s="45">
        <f t="shared" si="7"/>
        <v>0.80069444444444471</v>
      </c>
      <c r="T31" s="43" t="str">
        <f t="shared" si="8"/>
        <v>- 0:03</v>
      </c>
      <c r="U31" s="46" t="str">
        <f t="shared" si="1"/>
        <v/>
      </c>
      <c r="V31" s="41" t="str">
        <f t="shared" si="2"/>
        <v xml:space="preserve">  </v>
      </c>
      <c r="W31" s="214"/>
      <c r="X31" s="215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45230</v>
      </c>
      <c r="B32" s="16">
        <f t="shared" si="9"/>
        <v>3</v>
      </c>
      <c r="C32" s="17">
        <v>0.42777777777777781</v>
      </c>
      <c r="D32" s="18">
        <v>0.55208333333333337</v>
      </c>
      <c r="E32" s="17">
        <v>0.57361111111111118</v>
      </c>
      <c r="F32" s="18">
        <v>0.79166666666666663</v>
      </c>
      <c r="G32" s="17"/>
      <c r="H32" s="18"/>
      <c r="I32" s="17"/>
      <c r="J32" s="18"/>
      <c r="K32" s="17"/>
      <c r="L32" s="18"/>
      <c r="M32" s="17"/>
      <c r="N32" s="18"/>
      <c r="O32" s="29">
        <f t="shared" si="4"/>
        <v>2.1527777777777812E-2</v>
      </c>
      <c r="P32" s="30">
        <f t="shared" si="5"/>
        <v>0.34236111111111101</v>
      </c>
      <c r="Q32" s="43">
        <f t="shared" si="6"/>
        <v>0.36388888888888882</v>
      </c>
      <c r="R32" s="44">
        <f t="shared" si="0"/>
        <v>0.35416666666666702</v>
      </c>
      <c r="S32" s="45">
        <f t="shared" si="7"/>
        <v>0.80347222222222259</v>
      </c>
      <c r="T32" s="43" t="str">
        <f t="shared" si="8"/>
        <v>- 0:17</v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32" priority="9" stopIfTrue="1">
      <formula>OR($X$11="",MONTH(NOW())&lt;&gt;MONTH($X$11))</formula>
    </cfRule>
  </conditionalFormatting>
  <conditionalFormatting sqref="W15">
    <cfRule type="expression" dxfId="31" priority="4" stopIfTrue="1">
      <formula>TotalLeave&gt;=Yearly_Leaves</formula>
    </cfRule>
  </conditionalFormatting>
  <conditionalFormatting sqref="W1:AC8 W11 AC11 W12:AC22 W24:AC33 U2:V33">
    <cfRule type="expression" dxfId="30" priority="8" stopIfTrue="1">
      <formula>$X$11=""</formula>
    </cfRule>
  </conditionalFormatting>
  <conditionalFormatting sqref="A2:V33">
    <cfRule type="expression" dxfId="2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28" priority="2" stopIfTrue="1">
      <formula>AND(NOT(ISNA(MATCH($A2,hdate,0))),COUNTIF($V2,"*Optional*")&lt;1)</formula>
    </cfRule>
    <cfRule type="expression" dxfId="27" priority="3" stopIfTrue="1">
      <formula>AND($P2&lt;&gt;$R2,$P2&lt;$R2,$D2&lt;&gt;"")</formula>
    </cfRule>
  </conditionalFormatting>
  <conditionalFormatting sqref="U2:V33">
    <cfRule type="expression" dxfId="2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25" priority="5" stopIfTrue="1">
      <formula>W3=TODAY()</formula>
    </cfRule>
    <cfRule type="expression" dxfId="24" priority="6" stopIfTrue="1">
      <formula>NOT(ISNA(MATCH(W3,ldate,0)))</formula>
    </cfRule>
    <cfRule type="expression" dxfId="2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zoomScale="115" zoomScaleNormal="115" workbookViewId="0">
      <pane ySplit="1" topLeftCell="A2" activePane="bottomLeft" state="frozen"/>
      <selection pane="bottomLeft" activeCell="H6" sqref="H6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45597</v>
      </c>
      <c r="X1" s="240">
        <f>$X$11</f>
        <v>45597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45593</v>
      </c>
      <c r="AD1" s="67"/>
    </row>
    <row r="2" spans="1:31" ht="15" customHeight="1">
      <c r="A2" s="11">
        <f>IF($X$11="","",DATE(YEAR($X$11),MONTH($X$11),1))</f>
        <v>45597</v>
      </c>
      <c r="B2" s="12">
        <f>IF($A2="","",WEEKDAY(A2))</f>
        <v>6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45598</v>
      </c>
      <c r="B3" s="16">
        <f>IF($A3="","",WEEKDAY(A3))</f>
        <v>7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Saturday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>
        <v>45597</v>
      </c>
      <c r="AB3" s="48">
        <v>45598</v>
      </c>
      <c r="AC3" s="69">
        <v>45599</v>
      </c>
      <c r="AD3" s="67"/>
    </row>
    <row r="4" spans="1:31" ht="15" customHeight="1">
      <c r="A4" s="15">
        <f t="shared" si="3"/>
        <v>45599</v>
      </c>
      <c r="B4" s="16">
        <f t="shared" ref="B4:B33" si="9">IF($A4="","",WEEKDAY(A4))</f>
        <v>1</v>
      </c>
      <c r="C4" s="17"/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29" t="str">
        <f t="shared" si="4"/>
        <v/>
      </c>
      <c r="P4" s="30" t="str">
        <f t="shared" si="5"/>
        <v/>
      </c>
      <c r="Q4" s="43" t="str">
        <f t="shared" si="6"/>
        <v/>
      </c>
      <c r="R4" s="44" t="str">
        <f t="shared" si="0"/>
        <v/>
      </c>
      <c r="S4" s="45" t="str">
        <f t="shared" si="7"/>
        <v/>
      </c>
      <c r="T4" s="43" t="str">
        <f t="shared" si="8"/>
        <v/>
      </c>
      <c r="U4" s="46" t="str">
        <f t="shared" si="1"/>
        <v/>
      </c>
      <c r="V4" s="41" t="str">
        <f t="shared" si="2"/>
        <v xml:space="preserve">Sunday  </v>
      </c>
      <c r="W4" s="49">
        <v>45600</v>
      </c>
      <c r="X4" s="50">
        <v>45601</v>
      </c>
      <c r="Y4" s="50">
        <v>45602</v>
      </c>
      <c r="Z4" s="50">
        <v>45603</v>
      </c>
      <c r="AA4" s="50">
        <v>45604</v>
      </c>
      <c r="AB4" s="50">
        <v>45605</v>
      </c>
      <c r="AC4" s="70">
        <v>45606</v>
      </c>
      <c r="AD4" s="67"/>
    </row>
    <row r="5" spans="1:31" ht="15" customHeight="1">
      <c r="A5" s="15">
        <f t="shared" si="3"/>
        <v>45600</v>
      </c>
      <c r="B5" s="16">
        <f t="shared" si="9"/>
        <v>2</v>
      </c>
      <c r="C5" s="17">
        <v>0.43888888888888888</v>
      </c>
      <c r="D5" s="18">
        <v>0.53263888888888888</v>
      </c>
      <c r="E5" s="17">
        <v>0.55555555555555558</v>
      </c>
      <c r="F5" s="18">
        <v>0.60763888888888895</v>
      </c>
      <c r="G5" s="17">
        <v>0.66041666666666665</v>
      </c>
      <c r="H5" s="18">
        <v>0.8125</v>
      </c>
      <c r="I5" s="17"/>
      <c r="J5" s="18"/>
      <c r="K5" s="17"/>
      <c r="L5" s="18"/>
      <c r="M5" s="17"/>
      <c r="N5" s="18"/>
      <c r="O5" s="29">
        <f t="shared" si="4"/>
        <v>7.5694444444444398E-2</v>
      </c>
      <c r="P5" s="30">
        <f t="shared" si="5"/>
        <v>0.29791666666666672</v>
      </c>
      <c r="Q5" s="43">
        <f t="shared" si="6"/>
        <v>0.37361111111111112</v>
      </c>
      <c r="R5" s="44">
        <f t="shared" si="0"/>
        <v>0.35416666666666702</v>
      </c>
      <c r="S5" s="45">
        <f t="shared" si="7"/>
        <v>0.86875000000000036</v>
      </c>
      <c r="T5" s="43" t="str">
        <f t="shared" si="8"/>
        <v>- 1:21</v>
      </c>
      <c r="U5" s="46" t="str">
        <f t="shared" si="1"/>
        <v/>
      </c>
      <c r="V5" s="41" t="str">
        <f t="shared" si="2"/>
        <v xml:space="preserve">  </v>
      </c>
      <c r="W5" s="49">
        <v>45607</v>
      </c>
      <c r="X5" s="50">
        <v>45608</v>
      </c>
      <c r="Y5" s="50">
        <v>45609</v>
      </c>
      <c r="Z5" s="50">
        <v>45610</v>
      </c>
      <c r="AA5" s="50">
        <v>45611</v>
      </c>
      <c r="AB5" s="50">
        <v>45612</v>
      </c>
      <c r="AC5" s="70">
        <v>45613</v>
      </c>
      <c r="AD5" s="67"/>
    </row>
    <row r="6" spans="1:31" ht="15" customHeight="1">
      <c r="A6" s="15">
        <f t="shared" si="3"/>
        <v>45601</v>
      </c>
      <c r="B6" s="16">
        <f t="shared" si="9"/>
        <v>3</v>
      </c>
      <c r="C6" s="17"/>
      <c r="D6" s="18"/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 t="str">
        <f t="shared" si="5"/>
        <v/>
      </c>
      <c r="Q6" s="43" t="str">
        <f t="shared" si="6"/>
        <v/>
      </c>
      <c r="R6" s="44" t="str">
        <f t="shared" si="0"/>
        <v/>
      </c>
      <c r="S6" s="45" t="str">
        <f t="shared" si="7"/>
        <v/>
      </c>
      <c r="T6" s="43" t="str">
        <f t="shared" si="8"/>
        <v/>
      </c>
      <c r="U6" s="46" t="str">
        <f t="shared" si="1"/>
        <v/>
      </c>
      <c r="V6" s="41" t="str">
        <f t="shared" si="2"/>
        <v xml:space="preserve">  </v>
      </c>
      <c r="W6" s="49">
        <v>45614</v>
      </c>
      <c r="X6" s="50">
        <v>45615</v>
      </c>
      <c r="Y6" s="50">
        <v>45616</v>
      </c>
      <c r="Z6" s="50">
        <v>45617</v>
      </c>
      <c r="AA6" s="50">
        <v>45618</v>
      </c>
      <c r="AB6" s="50">
        <v>45619</v>
      </c>
      <c r="AC6" s="70">
        <v>45620</v>
      </c>
      <c r="AD6" s="67"/>
    </row>
    <row r="7" spans="1:31" ht="15" customHeight="1">
      <c r="A7" s="15">
        <f t="shared" si="3"/>
        <v>45602</v>
      </c>
      <c r="B7" s="16">
        <f t="shared" si="9"/>
        <v>4</v>
      </c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 t="str">
        <f t="shared" si="5"/>
        <v/>
      </c>
      <c r="Q7" s="43" t="str">
        <f t="shared" si="6"/>
        <v/>
      </c>
      <c r="R7" s="44" t="str">
        <f t="shared" si="0"/>
        <v/>
      </c>
      <c r="S7" s="45" t="str">
        <f t="shared" si="7"/>
        <v/>
      </c>
      <c r="T7" s="43" t="str">
        <f t="shared" si="8"/>
        <v/>
      </c>
      <c r="U7" s="46" t="str">
        <f t="shared" si="1"/>
        <v/>
      </c>
      <c r="V7" s="41" t="str">
        <f t="shared" si="2"/>
        <v xml:space="preserve">  </v>
      </c>
      <c r="W7" s="49">
        <v>45621</v>
      </c>
      <c r="X7" s="50">
        <v>45622</v>
      </c>
      <c r="Y7" s="50">
        <v>45623</v>
      </c>
      <c r="Z7" s="50">
        <v>45624</v>
      </c>
      <c r="AA7" s="50">
        <v>45625</v>
      </c>
      <c r="AB7" s="50">
        <v>45626</v>
      </c>
      <c r="AC7" s="70" t="str">
        <v/>
      </c>
      <c r="AD7" s="67"/>
    </row>
    <row r="8" spans="1:31" ht="15" customHeight="1">
      <c r="A8" s="15">
        <f t="shared" si="3"/>
        <v>45603</v>
      </c>
      <c r="B8" s="16">
        <f t="shared" si="9"/>
        <v>5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 t="str">
        <f t="shared" si="5"/>
        <v/>
      </c>
      <c r="Q8" s="43" t="str">
        <f t="shared" si="6"/>
        <v/>
      </c>
      <c r="R8" s="44" t="str">
        <f t="shared" si="0"/>
        <v/>
      </c>
      <c r="S8" s="45" t="str">
        <f t="shared" si="7"/>
        <v/>
      </c>
      <c r="T8" s="43" t="str">
        <f t="shared" si="8"/>
        <v/>
      </c>
      <c r="U8" s="46" t="str">
        <f t="shared" si="1"/>
        <v/>
      </c>
      <c r="V8" s="41" t="str">
        <f t="shared" si="2"/>
        <v xml:space="preserve">  </v>
      </c>
      <c r="W8" s="51" t="str">
        <v/>
      </c>
      <c r="X8" s="52" t="str">
        <v/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45604</v>
      </c>
      <c r="B9" s="16">
        <f t="shared" si="9"/>
        <v>6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45605</v>
      </c>
      <c r="B10" s="16">
        <f t="shared" si="9"/>
        <v>7</v>
      </c>
      <c r="C10" s="17"/>
      <c r="D10" s="18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4"/>
        <v/>
      </c>
      <c r="P10" s="30" t="str">
        <f t="shared" si="5"/>
        <v/>
      </c>
      <c r="Q10" s="43" t="str">
        <f t="shared" si="6"/>
        <v/>
      </c>
      <c r="R10" s="44" t="str">
        <f t="shared" si="0"/>
        <v/>
      </c>
      <c r="S10" s="45" t="str">
        <f t="shared" si="7"/>
        <v/>
      </c>
      <c r="T10" s="43" t="str">
        <f t="shared" si="8"/>
        <v/>
      </c>
      <c r="U10" s="46" t="str">
        <f t="shared" si="1"/>
        <v/>
      </c>
      <c r="V10" s="41" t="str">
        <f t="shared" si="2"/>
        <v xml:space="preserve">Saturday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45606</v>
      </c>
      <c r="B11" s="16">
        <f t="shared" si="9"/>
        <v>1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29" t="str">
        <f t="shared" si="4"/>
        <v/>
      </c>
      <c r="P11" s="30" t="str">
        <f t="shared" si="5"/>
        <v/>
      </c>
      <c r="Q11" s="43" t="str">
        <f t="shared" si="6"/>
        <v/>
      </c>
      <c r="R11" s="44" t="str">
        <f t="shared" si="0"/>
        <v/>
      </c>
      <c r="S11" s="45" t="str">
        <f t="shared" si="7"/>
        <v/>
      </c>
      <c r="T11" s="43" t="str">
        <f t="shared" si="8"/>
        <v/>
      </c>
      <c r="U11" s="46" t="str">
        <f t="shared" si="1"/>
        <v/>
      </c>
      <c r="V11" s="41" t="str">
        <f t="shared" si="2"/>
        <v xml:space="preserve">Sunday  </v>
      </c>
      <c r="W11" s="53"/>
      <c r="X11" s="241">
        <v>45597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45607</v>
      </c>
      <c r="B12" s="16">
        <f t="shared" si="9"/>
        <v>2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30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45608</v>
      </c>
      <c r="B13" s="16">
        <f t="shared" si="9"/>
        <v>3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20*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30</v>
      </c>
      <c r="AE13" s="74"/>
    </row>
    <row r="14" spans="1:31" ht="15" customHeight="1">
      <c r="A14" s="15">
        <f t="shared" si="3"/>
        <v>45609</v>
      </c>
      <c r="B14" s="16">
        <f t="shared" si="9"/>
        <v>4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9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4</v>
      </c>
      <c r="AE14" s="74"/>
    </row>
    <row r="15" spans="1:31" ht="15" customHeight="1">
      <c r="A15" s="15">
        <f t="shared" si="3"/>
        <v>45610</v>
      </c>
      <c r="B15" s="16">
        <f t="shared" si="9"/>
        <v>5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Nov-24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5</v>
      </c>
      <c r="AE15" s="74"/>
    </row>
    <row r="16" spans="1:31" ht="15" customHeight="1">
      <c r="A16" s="15">
        <f t="shared" si="3"/>
        <v>45611</v>
      </c>
      <c r="B16" s="16">
        <f t="shared" si="9"/>
        <v>6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  </v>
      </c>
      <c r="W16" s="225" t="str">
        <f>"Break Hours "&amp;TEXT(SUM($O2:$O33),"[h]:mm")</f>
        <v>Break Hours 1:49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45612</v>
      </c>
      <c r="B17" s="16">
        <f t="shared" si="9"/>
        <v>7</v>
      </c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29" t="str">
        <f t="shared" si="4"/>
        <v/>
      </c>
      <c r="P17" s="30" t="str">
        <f t="shared" si="5"/>
        <v/>
      </c>
      <c r="Q17" s="43" t="str">
        <f t="shared" si="6"/>
        <v/>
      </c>
      <c r="R17" s="44" t="str">
        <f t="shared" si="0"/>
        <v/>
      </c>
      <c r="S17" s="45" t="str">
        <f t="shared" si="7"/>
        <v/>
      </c>
      <c r="T17" s="43" t="str">
        <f t="shared" si="8"/>
        <v/>
      </c>
      <c r="U17" s="46" t="str">
        <f t="shared" si="1"/>
        <v/>
      </c>
      <c r="V17" s="41" t="str">
        <f t="shared" si="2"/>
        <v xml:space="preserve">Saturday  </v>
      </c>
      <c r="W17" s="219" t="str">
        <f>"Actual work Hours "&amp;TEXT(SUM($P2:$P33),"[h]:mm")</f>
        <v>Actual work Hours 7:09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45613</v>
      </c>
      <c r="B18" s="16">
        <f t="shared" si="9"/>
        <v>1</v>
      </c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29" t="str">
        <f t="shared" si="4"/>
        <v/>
      </c>
      <c r="P18" s="30" t="str">
        <f t="shared" si="5"/>
        <v/>
      </c>
      <c r="Q18" s="43" t="str">
        <f t="shared" si="6"/>
        <v/>
      </c>
      <c r="R18" s="44" t="str">
        <f t="shared" si="0"/>
        <v/>
      </c>
      <c r="S18" s="45" t="str">
        <f t="shared" si="7"/>
        <v/>
      </c>
      <c r="T18" s="43" t="str">
        <f t="shared" si="8"/>
        <v/>
      </c>
      <c r="U18" s="46" t="str">
        <f t="shared" si="1"/>
        <v/>
      </c>
      <c r="V18" s="41" t="str">
        <f t="shared" si="2"/>
        <v xml:space="preserve">Sunday  </v>
      </c>
      <c r="W18" s="222" t="str">
        <f>"Expected Work Hours "&amp;TEXT(SUM($R2:$R33),"[h]:mm")</f>
        <v>Expected Work Hours 8:30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45614</v>
      </c>
      <c r="B19" s="16">
        <f t="shared" si="9"/>
        <v>2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7:09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45615</v>
      </c>
      <c r="B20" s="16">
        <f t="shared" si="9"/>
        <v>3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45616</v>
      </c>
      <c r="B21" s="16">
        <f t="shared" si="9"/>
        <v>4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29" t="str">
        <f t="shared" si="4"/>
        <v/>
      </c>
      <c r="P21" s="30" t="str">
        <f t="shared" si="5"/>
        <v/>
      </c>
      <c r="Q21" s="43" t="str">
        <f t="shared" si="6"/>
        <v/>
      </c>
      <c r="R21" s="44" t="str">
        <f t="shared" si="0"/>
        <v/>
      </c>
      <c r="S21" s="45" t="str">
        <f t="shared" si="7"/>
        <v/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1:21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45617</v>
      </c>
      <c r="B22" s="16">
        <f t="shared" si="9"/>
        <v>5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4"/>
        <v/>
      </c>
      <c r="P22" s="30" t="str">
        <f t="shared" si="5"/>
        <v/>
      </c>
      <c r="Q22" s="43" t="str">
        <f t="shared" si="6"/>
        <v/>
      </c>
      <c r="R22" s="44" t="str">
        <f t="shared" si="0"/>
        <v/>
      </c>
      <c r="S22" s="45" t="str">
        <f t="shared" si="7"/>
        <v/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  </v>
      </c>
      <c r="W22" s="225" t="str">
        <f>"Total Hours "&amp;TEXT(SUM($Q2:$Q33),"[h]:mm")</f>
        <v>Total Hours 8:58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45618</v>
      </c>
      <c r="B23" s="16">
        <f t="shared" si="9"/>
        <v>6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  </v>
      </c>
      <c r="W23" s="245" t="s">
        <v>47</v>
      </c>
      <c r="X23" s="230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45619</v>
      </c>
      <c r="B24" s="16">
        <f t="shared" si="9"/>
        <v>7</v>
      </c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29" t="str">
        <f t="shared" si="4"/>
        <v/>
      </c>
      <c r="P24" s="30" t="str">
        <f t="shared" si="5"/>
        <v/>
      </c>
      <c r="Q24" s="43" t="str">
        <f t="shared" si="6"/>
        <v/>
      </c>
      <c r="R24" s="44" t="str">
        <f t="shared" si="0"/>
        <v/>
      </c>
      <c r="S24" s="45" t="str">
        <f t="shared" si="7"/>
        <v/>
      </c>
      <c r="T24" s="43" t="str">
        <f t="shared" si="8"/>
        <v/>
      </c>
      <c r="U24" s="46" t="str">
        <f t="shared" si="1"/>
        <v/>
      </c>
      <c r="V24" s="41" t="str">
        <f t="shared" si="2"/>
        <v xml:space="preserve">Saturday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45620</v>
      </c>
      <c r="B25" s="16">
        <f t="shared" si="9"/>
        <v>1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29" t="str">
        <f t="shared" si="4"/>
        <v/>
      </c>
      <c r="P25" s="30" t="str">
        <f t="shared" si="5"/>
        <v/>
      </c>
      <c r="Q25" s="43" t="str">
        <f t="shared" si="6"/>
        <v/>
      </c>
      <c r="R25" s="44" t="str">
        <f t="shared" si="0"/>
        <v/>
      </c>
      <c r="S25" s="45" t="str">
        <f t="shared" si="7"/>
        <v/>
      </c>
      <c r="T25" s="43" t="str">
        <f t="shared" si="8"/>
        <v/>
      </c>
      <c r="U25" s="46" t="str">
        <f t="shared" si="1"/>
        <v/>
      </c>
      <c r="V25" s="41" t="str">
        <f t="shared" si="2"/>
        <v xml:space="preserve">Sunday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45621</v>
      </c>
      <c r="B26" s="16">
        <f t="shared" si="9"/>
        <v>2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45622</v>
      </c>
      <c r="B27" s="16">
        <f t="shared" si="9"/>
        <v>3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  </v>
      </c>
      <c r="W27" s="214"/>
      <c r="X27" s="215"/>
      <c r="Y27" s="80"/>
      <c r="Z27" s="216"/>
      <c r="AA27" s="217"/>
      <c r="AB27" s="217"/>
      <c r="AC27" s="218"/>
      <c r="AD27" s="67"/>
    </row>
    <row r="28" spans="1:31" ht="15" customHeight="1">
      <c r="A28" s="15">
        <f t="shared" si="3"/>
        <v>45623</v>
      </c>
      <c r="B28" s="16">
        <f t="shared" si="9"/>
        <v>4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45624</v>
      </c>
      <c r="B29" s="16">
        <f t="shared" si="9"/>
        <v>5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45625</v>
      </c>
      <c r="B30" s="16">
        <f t="shared" si="9"/>
        <v>6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45626</v>
      </c>
      <c r="B31" s="16">
        <f t="shared" si="9"/>
        <v>7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Saturday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 t="str">
        <f t="shared" si="3"/>
        <v/>
      </c>
      <c r="B32" s="16" t="str">
        <f t="shared" si="9"/>
        <v/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22" priority="9" stopIfTrue="1">
      <formula>OR($X$11="",MONTH(NOW())&lt;&gt;MONTH($X$11))</formula>
    </cfRule>
  </conditionalFormatting>
  <conditionalFormatting sqref="W15">
    <cfRule type="expression" dxfId="21" priority="4" stopIfTrue="1">
      <formula>TotalLeave&gt;=Yearly_Leaves</formula>
    </cfRule>
  </conditionalFormatting>
  <conditionalFormatting sqref="W1:AC8 W11 AC11 W12:AC22 W24:AC33 U2:V33">
    <cfRule type="expression" dxfId="20" priority="8" stopIfTrue="1">
      <formula>$X$11=""</formula>
    </cfRule>
  </conditionalFormatting>
  <conditionalFormatting sqref="A2:V33">
    <cfRule type="expression" dxfId="1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18" priority="2" stopIfTrue="1">
      <formula>AND(NOT(ISNA(MATCH($A2,hdate,0))),COUNTIF($V2,"*Optional*")&lt;1)</formula>
    </cfRule>
    <cfRule type="expression" dxfId="17" priority="3" stopIfTrue="1">
      <formula>AND($P2&lt;&gt;$R2,$P2&lt;$R2,$D2&lt;&gt;"")</formula>
    </cfRule>
  </conditionalFormatting>
  <conditionalFormatting sqref="U2:V33">
    <cfRule type="expression" dxfId="1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15" priority="5" stopIfTrue="1">
      <formula>W3=TODAY()</formula>
    </cfRule>
    <cfRule type="expression" dxfId="14" priority="6" stopIfTrue="1">
      <formula>NOT(ISNA(MATCH(W3,ldate,0)))</formula>
    </cfRule>
    <cfRule type="expression" dxfId="1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0"/>
  <sheetViews>
    <sheetView showGridLines="0" showZeros="0" tabSelected="1" zoomScale="115" zoomScaleNormal="115" workbookViewId="0">
      <pane ySplit="1" topLeftCell="A2" activePane="bottomLeft" state="frozen"/>
      <selection pane="bottomLeft" activeCell="C11" sqref="C11"/>
    </sheetView>
  </sheetViews>
  <sheetFormatPr defaultColWidth="9.140625" defaultRowHeight="12"/>
  <cols>
    <col min="1" max="1" width="9.28515625" style="1" customWidth="1"/>
    <col min="2" max="2" width="10" style="2" customWidth="1"/>
    <col min="3" max="14" width="8" style="3" customWidth="1"/>
    <col min="15" max="15" width="5.7109375" style="4" customWidth="1"/>
    <col min="16" max="16" width="8" style="4" customWidth="1"/>
    <col min="17" max="17" width="7.85546875" style="4" customWidth="1"/>
    <col min="18" max="18" width="6.7109375" style="5" customWidth="1"/>
    <col min="19" max="19" width="7.28515625" style="5" customWidth="1"/>
    <col min="20" max="20" width="5.5703125" style="5" customWidth="1"/>
    <col min="21" max="21" width="5.42578125" style="6" customWidth="1"/>
    <col min="22" max="22" width="29.28515625" style="7" customWidth="1"/>
    <col min="23" max="29" width="4" style="7" customWidth="1"/>
    <col min="30" max="30" width="7.85546875" style="7" customWidth="1"/>
    <col min="31" max="31" width="4.7109375" style="7" customWidth="1"/>
    <col min="32" max="16384" width="9.140625" style="7"/>
  </cols>
  <sheetData>
    <row r="1" spans="1:31" ht="14.25" customHeight="1">
      <c r="A1" s="8" t="s">
        <v>12</v>
      </c>
      <c r="B1" s="9" t="s">
        <v>13</v>
      </c>
      <c r="C1" s="10" t="s">
        <v>38</v>
      </c>
      <c r="D1" s="10" t="s">
        <v>39</v>
      </c>
      <c r="E1" s="10" t="s">
        <v>38</v>
      </c>
      <c r="F1" s="10" t="s">
        <v>39</v>
      </c>
      <c r="G1" s="10" t="s">
        <v>38</v>
      </c>
      <c r="H1" s="10" t="s">
        <v>39</v>
      </c>
      <c r="I1" s="10" t="s">
        <v>38</v>
      </c>
      <c r="J1" s="10" t="s">
        <v>39</v>
      </c>
      <c r="K1" s="10" t="s">
        <v>38</v>
      </c>
      <c r="L1" s="10" t="s">
        <v>39</v>
      </c>
      <c r="M1" s="10" t="s">
        <v>38</v>
      </c>
      <c r="N1" s="10" t="s">
        <v>39</v>
      </c>
      <c r="O1" s="26" t="s">
        <v>40</v>
      </c>
      <c r="P1" s="26" t="s">
        <v>33</v>
      </c>
      <c r="Q1" s="26" t="s">
        <v>41</v>
      </c>
      <c r="R1" s="34" t="s">
        <v>42</v>
      </c>
      <c r="S1" s="34" t="s">
        <v>43</v>
      </c>
      <c r="T1" s="35" t="s">
        <v>44</v>
      </c>
      <c r="U1" s="238"/>
      <c r="V1" s="239"/>
      <c r="W1" s="36">
        <f>$X$11</f>
        <v>45627</v>
      </c>
      <c r="X1" s="240">
        <f>$X$11</f>
        <v>45627</v>
      </c>
      <c r="Y1" s="240"/>
      <c r="Z1" s="240"/>
      <c r="AA1" s="240"/>
      <c r="AB1" s="240"/>
      <c r="AC1" s="66">
        <f t="array" ref="AC1">DATE(YEAR(W1),MONTH(W1),1)-(WEEKDAY(DATE(YEAR(W1),MONTH(W1),1))-(FirstWeekDay2+1))+{0;1;2;3;4;5}*7+{1,2,3,4,5,6,7}-1</f>
        <v>45628</v>
      </c>
      <c r="AD1" s="67"/>
    </row>
    <row r="2" spans="1:31" ht="15" customHeight="1">
      <c r="A2" s="11">
        <f>IF($X$11="","",DATE(YEAR($X$11),MONTH($X$11),1))</f>
        <v>45627</v>
      </c>
      <c r="B2" s="12">
        <f>IF($A2="","",WEEKDAY(A2))</f>
        <v>1</v>
      </c>
      <c r="C2" s="13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27" t="str">
        <f>IF(ISBLANK($E2),"",IF(ISBLANK($G2),SUM($E2-$D2),IF(ISBLANK($I2),SUM(($E2-$D2),($G2-$F2)),IF(ISBLANK($K2),SUM(($E2-$D2),($G2-$F2),($I2-$H2)),IF(ISBLANK($M2),SUM(($E2-$D2),($G2-$F2),($I2-$H2),($K2-$J2)),SUM(($E2-$D2),($G2-$F2),($I2-$H2),($K2-$J2),($M2-$L2)))))))</f>
        <v/>
      </c>
      <c r="P2" s="28" t="str">
        <f>IF(ISBLANK($D2),"",IF(ISBLANK($F2),SUM($D2-$C2),IF(ISBLANK($H2),SUM(($D2-$C2),($F2-$E2)),IF(ISBLANK($J2),SUM(($D2-$C2),($F2-$E2),($H2-$G2)),IF(ISBLANK($L2),SUM(($D2-$C2),($F2-$E2),($H2-$G2),($J2-$I2)),IF(ISBLANK($N2),SUM(($D2-$C2),($F2-$E2),($H2-$G2),($J2-$I2),($L2-$K2)),SUM(($D2-$C2),($F2-$E2),($H2-$G2),($J2-$I2),($L2-$K2),($N2-$M2))))))))</f>
        <v/>
      </c>
      <c r="Q2" s="37" t="str">
        <f>IF(ISBLANK($D2),"",IF(OR(ISBLANK($E2),ISBLANK($F2)),SUM($D2-$C2),IF(OR(ISBLANK($G2),ISBLANK($H2)),SUM($F2-$C2),IF(OR(ISBLANK($I2),ISBLANK($J2)),SUM($H2-$C2),IF(OR(ISBLANK($K2),ISBLANK($L2)),SUM($J2-$C2),IF(OR(ISBLANK($M2),ISBLANK($N2)),SUM($L2-$C2),SUM($N2-$C2)))))))</f>
        <v/>
      </c>
      <c r="R2" s="38" t="str">
        <f t="shared" ref="R2:R33" si="0">IF(IFERROR(VLOOKUP($A2,Leave,2,FALSE),"")="Half Leave",Half_Day_Time,IF($C2&lt;&gt;"",Full_Day_Time,""))</f>
        <v/>
      </c>
      <c r="S2" s="39" t="str">
        <f>IF(AND($C2&lt;&gt;"",$O2=""),($C2+$R2),IF($C2&lt;&gt;"",($C2+($R2+$O2)),""))</f>
        <v/>
      </c>
      <c r="T2" s="37" t="str">
        <f>IFERROR(IF(AND($P2&lt;&gt;$R2,$R2&lt;&gt;"",$P2&lt;&gt;""),IF(AND($P2&lt;&gt;$R2,$P2&gt;$R2),"+ ",IF(AND($P2&lt;&gt;$R2,$R2&gt;$P2),"- ",)),),)&amp;IFERROR(IF(AND($P2&lt;&gt;$R2,$R2&lt;&gt;"",$P2&lt;&gt;""),IF(AND($P2&lt;&gt;$R2,$P2&gt;$R2),TEXT(($P2-$R2),"[h]:mm"),IF(AND($P2&lt;&gt;$R2,$R2&gt;$P2),TEXT(($R2-$P2),"[h]:mm"),)),),)</f>
        <v/>
      </c>
      <c r="U2" s="40" t="str">
        <f t="shared" ref="U2:U33" si="1">IFERROR(VLOOKUP($A2,notes,3,FALSE),"")</f>
        <v/>
      </c>
      <c r="V2" s="41" t="str">
        <f t="shared" ref="V2:V33" si="2">IF(AND($A2&lt;&gt;"",WOFF1_DAYNAME&lt;&gt;WOFF2_DAYNAME),IF(WOFF1_SELECT="All",IF(WEEKDAY($A2)=WOFF1_DAYNO,WOFF1_DAYNAME,),IF(WOFF1_SELECT="Last",IF($A2=EOMONTH($A2,0)-WEEKDAY(EOMONTH($A2,0)+WOFF1_LASTDAYNO)+1,WOFF1_SELECT&amp;" "&amp;WOFF1_DAYNAME,),IF($A2=(DATE(YEAR($A2),MONTH($A2),1+7*WOFF1_CONFIG_NO1)-WEEKDAY(DATE(YEAR($A2),MONTH($A2),8-WOFF1_DAYNO))),WOFF1_CONFIG_NAME1&amp;" "&amp;WOFF1_DAYNAME,))),)&amp;IF(AND($A2&lt;&gt;"",WOFF1_DAYNAME&lt;&gt;WOFF2_DAYNAME),IF(WOFF1_CONFIG_NO1&lt;&gt;WOFF1_CONFIG_NO2,IF($A2=(DATE(YEAR($A2),MONTH($A2),1+7*WOFF1_CONFIG_NO2)-WEEKDAY(DATE(YEAR($A2),MONTH($A2),8-WOFF1_DAYNO))),WOFF1_CONFIG_NAME2&amp;" "&amp;WOFF1_DAYNAME,),),)&amp;IF(AND($A2&lt;&gt;"",WOFF1_DAYNAME&lt;&gt;WOFF2_DAYNAME),IF(WOFF2_SELECT="All",IF(WEEKDAY($A2)=WOFF2_DAYNO,WOFF2_DAYNAME,),IF(WOFF2_SELECT="Last",IF($A2=EOMONTH($A2,0)-WEEKDAY(EOMONTH($A2,0)+WOFF2_LASTDAYNO)+1,WOFF2_SELECT&amp;" "&amp;WOFF2_DAYNAME,),IF($A2=(DATE(YEAR($A2),MONTH($A2),1+7*WOFF2_CONFIG_NO1)-WEEKDAY(DATE(YEAR($A2),MONTH($A2),8-WOFF2_DAYNO))),WOFF2_CONFIG_NAME1&amp;" "&amp;WOFF2_DAYNAME,))),)&amp;IF(AND($A2&lt;&gt;"",WOFF1_DAYNAME&lt;&gt;WOFF2_DAYNAME),IF(WOFF2_CONFIG_NO1&lt;&gt;WOFF2_CONFIG_NO2,IF($A2=(DATE(YEAR($A2),MONTH($A2),1+7*WOFF2_CONFIG_NO2)-WEEKDAY(DATE(YEAR($A2),MONTH($A2),8-WOFF2_DAYNO))),WOFF2_CONFIG_NAME2&amp;" "&amp;WOFF2_DAYNAME,),),)&amp;" "&amp;IFERROR(VLOOKUP($A2,tbl,3,FALSE),"")&amp;IFERROR(VLOOKUP($A2,Leave,2,FALSE),"")&amp;IF(NOT(ISNA(MATCH($A2,ldate,0))),"-","")&amp;IFERROR(VLOOKUP($A2,Leave,3,FALSE),"")&amp;" "&amp;IFERROR(VLOOKUP($A2,notes,4,FALSE),"")</f>
        <v xml:space="preserve">Sunday  </v>
      </c>
      <c r="W2" s="42">
        <f t="array" ref="W2:AC2">FirstWeekDay2+TRANSPOSE({1;2;3;4;5;6;7})</f>
        <v>2</v>
      </c>
      <c r="X2" s="42">
        <v>3</v>
      </c>
      <c r="Y2" s="42">
        <v>4</v>
      </c>
      <c r="Z2" s="42">
        <v>5</v>
      </c>
      <c r="AA2" s="42">
        <v>6</v>
      </c>
      <c r="AB2" s="42">
        <v>7</v>
      </c>
      <c r="AC2" s="68">
        <v>8</v>
      </c>
      <c r="AD2" s="67"/>
    </row>
    <row r="3" spans="1:31" ht="15" customHeight="1">
      <c r="A3" s="15">
        <f t="shared" ref="A3:A33" si="3">IF($A2&lt;&gt;"",IF(AND(MONTH($A2+1)=MONTH($X$11),YEAR($A2+1)=YEAR($X$11)),$A2+1,""),"")</f>
        <v>45628</v>
      </c>
      <c r="B3" s="16">
        <f>IF($A3="","",WEEKDAY(A3))</f>
        <v>2</v>
      </c>
      <c r="C3" s="17"/>
      <c r="D3" s="18"/>
      <c r="E3" s="17"/>
      <c r="F3" s="18"/>
      <c r="G3" s="17"/>
      <c r="H3" s="18"/>
      <c r="I3" s="17"/>
      <c r="J3" s="18"/>
      <c r="K3" s="17"/>
      <c r="L3" s="18"/>
      <c r="M3" s="17"/>
      <c r="N3" s="18"/>
      <c r="O3" s="29" t="str">
        <f t="shared" ref="O3:O33" si="4">IF(ISBLANK($E3),"",IF(ISBLANK($G3),SUM($E3-$D3),IF(ISBLANK($I3),SUM(($E3-$D3),($G3-$F3)),IF(ISBLANK($K3),SUM(($E3-$D3),($G3-$F3),($I3-$H3)),IF(ISBLANK($M3),SUM(($E3-$D3),($G3-$F3),($I3-$H3),($K3-$J3)),SUM(($E3-$D3),($G3-$F3),($I3-$H3),($K3-$J3),($M3-$L3)))))))</f>
        <v/>
      </c>
      <c r="P3" s="30" t="str">
        <f t="shared" ref="P3:P33" si="5">IF(ISBLANK($D3),"",IF(ISBLANK($F3),SUM($D3-$C3),IF(ISBLANK($H3),SUM(($D3-$C3),($F3-$E3)),IF(ISBLANK($J3),SUM(($D3-$C3),($F3-$E3),($H3-$G3)),IF(ISBLANK($L3),SUM(($D3-$C3),($F3-$E3),($H3-$G3),($J3-$I3)),IF(ISBLANK($N3),SUM(($D3-$C3),($F3-$E3),($H3-$G3),($J3-$I3),($L3-$K3)),SUM(($D3-$C3),($F3-$E3),($H3-$G3),($J3-$I3),($L3-$K3),($N3-$M3))))))))</f>
        <v/>
      </c>
      <c r="Q3" s="43" t="str">
        <f t="shared" ref="Q3:Q33" si="6">IF(ISBLANK($D3),"",IF(OR(ISBLANK($E3),ISBLANK($F3)),SUM($D3-$C3),IF(OR(ISBLANK($G3),ISBLANK($H3)),SUM($F3-$C3),IF(OR(ISBLANK($I3),ISBLANK($J3)),SUM($H3-$C3),IF(OR(ISBLANK($K3),ISBLANK($L3)),SUM($J3-$C3),IF(OR(ISBLANK($M3),ISBLANK($N3)),SUM($L3-$C3),SUM($N3-$C3)))))))</f>
        <v/>
      </c>
      <c r="R3" s="44" t="str">
        <f t="shared" si="0"/>
        <v/>
      </c>
      <c r="S3" s="45" t="str">
        <f t="shared" ref="S3:S33" si="7">IF(AND($C3&lt;&gt;"",$O3=""),($C3+$R3),IF($C3&lt;&gt;"",($C3+($R3+$O3)),""))</f>
        <v/>
      </c>
      <c r="T3" s="43" t="str">
        <f t="shared" ref="T3:T33" si="8">IFERROR(IF(AND($P3&lt;&gt;$R3,$R3&lt;&gt;"",$P3&lt;&gt;""),IF(AND($P3&lt;&gt;$R3,$P3&gt;$R3),"+ ",IF(AND($P3&lt;&gt;$R3,$R3&gt;$P3),"- ",)),),)&amp;IFERROR(IF(AND($P3&lt;&gt;$R3,$R3&lt;&gt;"",$P3&lt;&gt;""),IF(AND($P3&lt;&gt;$R3,$P3&gt;$R3),TEXT(($P3-$R3),"[h]:mm"),IF(AND($P3&lt;&gt;$R3,$R3&gt;$P3),TEXT(($R3-$P3),"[h]:mm"),)),),)</f>
        <v/>
      </c>
      <c r="U3" s="46" t="str">
        <f t="shared" si="1"/>
        <v/>
      </c>
      <c r="V3" s="41" t="str">
        <f t="shared" si="2"/>
        <v xml:space="preserve">  </v>
      </c>
      <c r="W3" s="47" t="str">
        <f t="array" ref="W3:AC8">IF($AC$1&lt;=$W$1,IF(MONTH(DATE(YEAR(W1),MONTH(W1),1))&lt;&gt;MONTH(DATE(YEAR(W1),MONTH(W1),1)-(WEEKDAY(DATE(YEAR(W1),MONTH(W1),1))-(FirstWeekDay2+1))+{0;1;2;3;4;5}*7+{1,2,3,4,5,6,7}-1),"",DATE(YEAR(W1),MONTH(W1),1)-(WEEKDAY(DATE(YEAR(W1),MONTH(W1),1))-(FirstWeekDay2+1))+{0;1;2;3;4;5}*7+{1,2,3,4,5,6,7}-1),IF(MONTH(DATE(YEAR(W1),MONTH(W1),1))&lt;&gt;MONTH(DATE(YEAR(W1),MONTH(W1),1)-(WEEKDAY(DATE(YEAR(W1),MONTH(W1),1))-(FirstWeekDay2+1))+{-1;0;1;2;3;4}*7+{1,2,3,4,5,6,7}-1),"",DATE(YEAR(W1),MONTH(W1),1)-(WEEKDAY(DATE(YEAR(W1),MONTH(W1),1))-(FirstWeekDay2+1))+{-1;0;1;2;3;4}*7+{1,2,3,4,5,6,7}-1))</f>
        <v/>
      </c>
      <c r="X3" s="48" t="str">
        <v/>
      </c>
      <c r="Y3" s="48" t="str">
        <v/>
      </c>
      <c r="Z3" s="48" t="str">
        <v/>
      </c>
      <c r="AA3" s="48" t="str">
        <v/>
      </c>
      <c r="AB3" s="48" t="str">
        <v/>
      </c>
      <c r="AC3" s="69">
        <v>45627</v>
      </c>
      <c r="AD3" s="67"/>
    </row>
    <row r="4" spans="1:31" ht="15" customHeight="1">
      <c r="A4" s="15">
        <f t="shared" si="3"/>
        <v>45629</v>
      </c>
      <c r="B4" s="16">
        <f t="shared" ref="B4:B33" si="9">IF($A4="","",WEEKDAY(A4))</f>
        <v>3</v>
      </c>
      <c r="C4" s="17">
        <v>0.60416666666666663</v>
      </c>
      <c r="D4" s="18">
        <v>0.81111111111111101</v>
      </c>
      <c r="E4" s="17"/>
      <c r="F4" s="18"/>
      <c r="G4" s="17"/>
      <c r="H4" s="18"/>
      <c r="I4" s="17"/>
      <c r="J4" s="18"/>
      <c r="K4" s="17"/>
      <c r="L4" s="18"/>
      <c r="M4" s="17"/>
      <c r="N4" s="18"/>
      <c r="O4" s="29" t="str">
        <f t="shared" si="4"/>
        <v/>
      </c>
      <c r="P4" s="30">
        <f t="shared" si="5"/>
        <v>0.20694444444444438</v>
      </c>
      <c r="Q4" s="43">
        <f t="shared" si="6"/>
        <v>0.20694444444444438</v>
      </c>
      <c r="R4" s="44">
        <f t="shared" si="0"/>
        <v>0.35416666666666702</v>
      </c>
      <c r="S4" s="45">
        <f t="shared" si="7"/>
        <v>0.9583333333333337</v>
      </c>
      <c r="T4" s="43" t="str">
        <f t="shared" si="8"/>
        <v>- 3:32</v>
      </c>
      <c r="U4" s="46" t="str">
        <f t="shared" si="1"/>
        <v/>
      </c>
      <c r="V4" s="41" t="str">
        <f t="shared" si="2"/>
        <v xml:space="preserve">  </v>
      </c>
      <c r="W4" s="49">
        <v>45628</v>
      </c>
      <c r="X4" s="50">
        <v>45629</v>
      </c>
      <c r="Y4" s="50">
        <v>45630</v>
      </c>
      <c r="Z4" s="50">
        <v>45631</v>
      </c>
      <c r="AA4" s="50">
        <v>45632</v>
      </c>
      <c r="AB4" s="50">
        <v>45633</v>
      </c>
      <c r="AC4" s="70">
        <v>45634</v>
      </c>
      <c r="AD4" s="67"/>
    </row>
    <row r="5" spans="1:31" ht="15" customHeight="1">
      <c r="A5" s="15">
        <f t="shared" si="3"/>
        <v>45630</v>
      </c>
      <c r="B5" s="16">
        <f t="shared" si="9"/>
        <v>4</v>
      </c>
      <c r="C5" s="17">
        <v>0.61041666666666672</v>
      </c>
      <c r="D5" s="18">
        <v>0.81736111111111109</v>
      </c>
      <c r="E5" s="17"/>
      <c r="F5" s="18"/>
      <c r="G5" s="17"/>
      <c r="H5" s="18"/>
      <c r="I5" s="17"/>
      <c r="J5" s="18"/>
      <c r="K5" s="17"/>
      <c r="L5" s="18"/>
      <c r="M5" s="17"/>
      <c r="N5" s="18"/>
      <c r="O5" s="29" t="str">
        <f t="shared" si="4"/>
        <v/>
      </c>
      <c r="P5" s="30">
        <f t="shared" si="5"/>
        <v>0.20694444444444438</v>
      </c>
      <c r="Q5" s="43">
        <f t="shared" si="6"/>
        <v>0.20694444444444438</v>
      </c>
      <c r="R5" s="44">
        <f t="shared" si="0"/>
        <v>0.35416666666666702</v>
      </c>
      <c r="S5" s="45">
        <f t="shared" si="7"/>
        <v>0.96458333333333379</v>
      </c>
      <c r="T5" s="43" t="str">
        <f t="shared" si="8"/>
        <v>- 3:32</v>
      </c>
      <c r="U5" s="46" t="str">
        <f t="shared" si="1"/>
        <v/>
      </c>
      <c r="V5" s="41" t="str">
        <f t="shared" si="2"/>
        <v xml:space="preserve">  </v>
      </c>
      <c r="W5" s="49">
        <v>45635</v>
      </c>
      <c r="X5" s="50">
        <v>45636</v>
      </c>
      <c r="Y5" s="50">
        <v>45637</v>
      </c>
      <c r="Z5" s="50">
        <v>45638</v>
      </c>
      <c r="AA5" s="50">
        <v>45639</v>
      </c>
      <c r="AB5" s="50">
        <v>45640</v>
      </c>
      <c r="AC5" s="70">
        <v>45641</v>
      </c>
      <c r="AD5" s="67"/>
    </row>
    <row r="6" spans="1:31" ht="15" customHeight="1">
      <c r="A6" s="15">
        <f t="shared" si="3"/>
        <v>45631</v>
      </c>
      <c r="B6" s="16">
        <f t="shared" si="9"/>
        <v>5</v>
      </c>
      <c r="C6" s="17">
        <v>0.6069444444444444</v>
      </c>
      <c r="D6" s="18">
        <v>0.80972222222222223</v>
      </c>
      <c r="E6" s="17"/>
      <c r="F6" s="18"/>
      <c r="G6" s="17"/>
      <c r="H6" s="18"/>
      <c r="I6" s="17"/>
      <c r="J6" s="18"/>
      <c r="K6" s="17"/>
      <c r="L6" s="18"/>
      <c r="M6" s="17"/>
      <c r="N6" s="18"/>
      <c r="O6" s="29" t="str">
        <f t="shared" si="4"/>
        <v/>
      </c>
      <c r="P6" s="30">
        <f t="shared" si="5"/>
        <v>0.20277777777777783</v>
      </c>
      <c r="Q6" s="43">
        <f t="shared" si="6"/>
        <v>0.20277777777777783</v>
      </c>
      <c r="R6" s="44">
        <f t="shared" si="0"/>
        <v>0.35416666666666702</v>
      </c>
      <c r="S6" s="45">
        <f t="shared" si="7"/>
        <v>0.96111111111111147</v>
      </c>
      <c r="T6" s="43" t="str">
        <f t="shared" si="8"/>
        <v>- 3:38</v>
      </c>
      <c r="U6" s="46" t="str">
        <f t="shared" si="1"/>
        <v/>
      </c>
      <c r="V6" s="41" t="str">
        <f t="shared" si="2"/>
        <v xml:space="preserve">  </v>
      </c>
      <c r="W6" s="49">
        <v>45642</v>
      </c>
      <c r="X6" s="50">
        <v>45643</v>
      </c>
      <c r="Y6" s="50">
        <v>45644</v>
      </c>
      <c r="Z6" s="50">
        <v>45645</v>
      </c>
      <c r="AA6" s="50">
        <v>45646</v>
      </c>
      <c r="AB6" s="50">
        <v>45647</v>
      </c>
      <c r="AC6" s="70">
        <v>45648</v>
      </c>
      <c r="AD6" s="67"/>
    </row>
    <row r="7" spans="1:31" ht="15" customHeight="1">
      <c r="A7" s="15">
        <f t="shared" si="3"/>
        <v>45632</v>
      </c>
      <c r="B7" s="16">
        <f t="shared" si="9"/>
        <v>6</v>
      </c>
      <c r="C7" s="17">
        <v>0.60972222222222217</v>
      </c>
      <c r="D7" s="18">
        <v>0.81388888888888899</v>
      </c>
      <c r="E7" s="17"/>
      <c r="F7" s="18"/>
      <c r="G7" s="17"/>
      <c r="H7" s="18"/>
      <c r="I7" s="17"/>
      <c r="J7" s="18"/>
      <c r="K7" s="17"/>
      <c r="L7" s="18"/>
      <c r="M7" s="17"/>
      <c r="N7" s="18"/>
      <c r="O7" s="29" t="str">
        <f t="shared" si="4"/>
        <v/>
      </c>
      <c r="P7" s="30">
        <f t="shared" si="5"/>
        <v>0.20416666666666683</v>
      </c>
      <c r="Q7" s="43">
        <f t="shared" si="6"/>
        <v>0.20416666666666683</v>
      </c>
      <c r="R7" s="44">
        <f t="shared" si="0"/>
        <v>0.35416666666666702</v>
      </c>
      <c r="S7" s="45">
        <f t="shared" si="7"/>
        <v>0.96388888888888924</v>
      </c>
      <c r="T7" s="43" t="str">
        <f t="shared" si="8"/>
        <v>- 3:36</v>
      </c>
      <c r="U7" s="46" t="str">
        <f t="shared" si="1"/>
        <v/>
      </c>
      <c r="V7" s="41" t="str">
        <f t="shared" si="2"/>
        <v xml:space="preserve">  </v>
      </c>
      <c r="W7" s="49">
        <v>45649</v>
      </c>
      <c r="X7" s="50">
        <v>45650</v>
      </c>
      <c r="Y7" s="50">
        <v>45651</v>
      </c>
      <c r="Z7" s="50">
        <v>45652</v>
      </c>
      <c r="AA7" s="50">
        <v>45653</v>
      </c>
      <c r="AB7" s="50">
        <v>45654</v>
      </c>
      <c r="AC7" s="70">
        <v>45655</v>
      </c>
      <c r="AD7" s="67"/>
    </row>
    <row r="8" spans="1:31" ht="15" customHeight="1">
      <c r="A8" s="15">
        <f t="shared" si="3"/>
        <v>45633</v>
      </c>
      <c r="B8" s="16">
        <f t="shared" si="9"/>
        <v>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29" t="str">
        <f t="shared" si="4"/>
        <v/>
      </c>
      <c r="P8" s="30" t="str">
        <f t="shared" si="5"/>
        <v/>
      </c>
      <c r="Q8" s="43" t="str">
        <f t="shared" si="6"/>
        <v/>
      </c>
      <c r="R8" s="44" t="str">
        <f t="shared" si="0"/>
        <v/>
      </c>
      <c r="S8" s="45" t="str">
        <f t="shared" si="7"/>
        <v/>
      </c>
      <c r="T8" s="43" t="str">
        <f t="shared" si="8"/>
        <v/>
      </c>
      <c r="U8" s="46" t="str">
        <f t="shared" si="1"/>
        <v/>
      </c>
      <c r="V8" s="41" t="str">
        <f t="shared" si="2"/>
        <v xml:space="preserve">Saturday  </v>
      </c>
      <c r="W8" s="51">
        <v>45656</v>
      </c>
      <c r="X8" s="52">
        <v>45657</v>
      </c>
      <c r="Y8" s="52" t="str">
        <v/>
      </c>
      <c r="Z8" s="52" t="str">
        <v/>
      </c>
      <c r="AA8" s="52" t="str">
        <v/>
      </c>
      <c r="AB8" s="52" t="str">
        <v/>
      </c>
      <c r="AC8" s="71" t="str">
        <v/>
      </c>
      <c r="AD8" s="67"/>
    </row>
    <row r="9" spans="1:31" ht="15" customHeight="1">
      <c r="A9" s="15">
        <f t="shared" si="3"/>
        <v>45634</v>
      </c>
      <c r="B9" s="16">
        <f t="shared" si="9"/>
        <v>1</v>
      </c>
      <c r="C9" s="17"/>
      <c r="D9" s="18"/>
      <c r="E9" s="17"/>
      <c r="F9" s="18"/>
      <c r="G9" s="17"/>
      <c r="H9" s="18"/>
      <c r="I9" s="17"/>
      <c r="J9" s="18"/>
      <c r="K9" s="17"/>
      <c r="L9" s="18"/>
      <c r="M9" s="17"/>
      <c r="N9" s="18"/>
      <c r="O9" s="29" t="str">
        <f t="shared" si="4"/>
        <v/>
      </c>
      <c r="P9" s="30" t="str">
        <f t="shared" si="5"/>
        <v/>
      </c>
      <c r="Q9" s="43" t="str">
        <f t="shared" si="6"/>
        <v/>
      </c>
      <c r="R9" s="44" t="str">
        <f t="shared" si="0"/>
        <v/>
      </c>
      <c r="S9" s="45" t="str">
        <f t="shared" si="7"/>
        <v/>
      </c>
      <c r="T9" s="43" t="str">
        <f t="shared" si="8"/>
        <v/>
      </c>
      <c r="U9" s="46" t="str">
        <f t="shared" si="1"/>
        <v/>
      </c>
      <c r="V9" s="41" t="str">
        <f t="shared" si="2"/>
        <v xml:space="preserve">Sunday  </v>
      </c>
      <c r="W9" s="196" t="str">
        <f ca="1">IF($X$11="","Select Month from the below List box.",IF(MONTH(NOW())&lt;&gt;MONTH($X$11),"This is not Current Month, You can change it from the below List box","You can change month from the below List box."))</f>
        <v>This is not Current Month, You can change it from the below List box</v>
      </c>
      <c r="X9" s="197"/>
      <c r="Y9" s="197"/>
      <c r="Z9" s="197"/>
      <c r="AA9" s="197"/>
      <c r="AB9" s="197"/>
      <c r="AC9" s="198"/>
      <c r="AD9" s="67"/>
    </row>
    <row r="10" spans="1:31" ht="15" customHeight="1">
      <c r="A10" s="15">
        <f t="shared" si="3"/>
        <v>45635</v>
      </c>
      <c r="B10" s="16">
        <f t="shared" si="9"/>
        <v>2</v>
      </c>
      <c r="C10" s="17">
        <v>0.60555555555555551</v>
      </c>
      <c r="D10" s="18">
        <v>0.82013888888888886</v>
      </c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29" t="str">
        <f t="shared" si="4"/>
        <v/>
      </c>
      <c r="P10" s="30">
        <f t="shared" si="5"/>
        <v>0.21458333333333335</v>
      </c>
      <c r="Q10" s="43">
        <f t="shared" si="6"/>
        <v>0.21458333333333335</v>
      </c>
      <c r="R10" s="44">
        <f t="shared" si="0"/>
        <v>0.35416666666666702</v>
      </c>
      <c r="S10" s="45">
        <f t="shared" si="7"/>
        <v>0.95972222222222259</v>
      </c>
      <c r="T10" s="43" t="str">
        <f t="shared" si="8"/>
        <v>- 3:21</v>
      </c>
      <c r="U10" s="46" t="str">
        <f t="shared" si="1"/>
        <v/>
      </c>
      <c r="V10" s="41" t="str">
        <f t="shared" si="2"/>
        <v xml:space="preserve">  </v>
      </c>
      <c r="W10" s="199"/>
      <c r="X10" s="200"/>
      <c r="Y10" s="200"/>
      <c r="Z10" s="200"/>
      <c r="AA10" s="200"/>
      <c r="AB10" s="200"/>
      <c r="AC10" s="201"/>
      <c r="AD10" s="67"/>
    </row>
    <row r="11" spans="1:31" ht="15" customHeight="1">
      <c r="A11" s="15">
        <f t="shared" si="3"/>
        <v>45636</v>
      </c>
      <c r="B11" s="16">
        <f t="shared" si="9"/>
        <v>3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29" t="str">
        <f t="shared" si="4"/>
        <v/>
      </c>
      <c r="P11" s="30" t="str">
        <f t="shared" si="5"/>
        <v/>
      </c>
      <c r="Q11" s="43" t="str">
        <f t="shared" si="6"/>
        <v/>
      </c>
      <c r="R11" s="44" t="str">
        <f t="shared" si="0"/>
        <v/>
      </c>
      <c r="S11" s="45" t="str">
        <f t="shared" si="7"/>
        <v/>
      </c>
      <c r="T11" s="43" t="str">
        <f t="shared" si="8"/>
        <v/>
      </c>
      <c r="U11" s="46" t="str">
        <f t="shared" si="1"/>
        <v/>
      </c>
      <c r="V11" s="41" t="str">
        <f t="shared" si="2"/>
        <v xml:space="preserve">  </v>
      </c>
      <c r="W11" s="53"/>
      <c r="X11" s="241">
        <v>45627</v>
      </c>
      <c r="Y11" s="241"/>
      <c r="Z11" s="241"/>
      <c r="AA11" s="241"/>
      <c r="AB11" s="241"/>
      <c r="AC11" s="72"/>
      <c r="AD11" s="67"/>
    </row>
    <row r="12" spans="1:31" ht="15" customHeight="1">
      <c r="A12" s="15">
        <f t="shared" si="3"/>
        <v>45637</v>
      </c>
      <c r="B12" s="16">
        <f t="shared" si="9"/>
        <v>4</v>
      </c>
      <c r="C12" s="17"/>
      <c r="D12" s="18"/>
      <c r="E12" s="17"/>
      <c r="F12" s="18"/>
      <c r="G12" s="17"/>
      <c r="H12" s="18"/>
      <c r="I12" s="17"/>
      <c r="J12" s="18"/>
      <c r="K12" s="17"/>
      <c r="L12" s="18"/>
      <c r="M12" s="17"/>
      <c r="N12" s="18"/>
      <c r="O12" s="29" t="str">
        <f t="shared" si="4"/>
        <v/>
      </c>
      <c r="P12" s="30" t="str">
        <f t="shared" si="5"/>
        <v/>
      </c>
      <c r="Q12" s="43" t="str">
        <f t="shared" si="6"/>
        <v/>
      </c>
      <c r="R12" s="44" t="str">
        <f t="shared" si="0"/>
        <v/>
      </c>
      <c r="S12" s="45" t="str">
        <f t="shared" si="7"/>
        <v/>
      </c>
      <c r="T12" s="43" t="str">
        <f t="shared" si="8"/>
        <v/>
      </c>
      <c r="U12" s="46" t="str">
        <f t="shared" si="1"/>
        <v/>
      </c>
      <c r="V12" s="41" t="str">
        <f t="shared" si="2"/>
        <v xml:space="preserve">  </v>
      </c>
      <c r="W12" s="242" t="str">
        <f>"Total "&amp;DAY(DATE(YEAR($X$11),MONTH($X$11)+1,1)-1)&amp;" Days in this month"</f>
        <v>Total 31 Days in this month</v>
      </c>
      <c r="X12" s="243"/>
      <c r="Y12" s="243"/>
      <c r="Z12" s="243"/>
      <c r="AA12" s="243"/>
      <c r="AB12" s="243"/>
      <c r="AC12" s="244"/>
      <c r="AD12" s="67"/>
    </row>
    <row r="13" spans="1:31" ht="15" customHeight="1">
      <c r="A13" s="15">
        <f t="shared" si="3"/>
        <v>45638</v>
      </c>
      <c r="B13" s="16">
        <f t="shared" si="9"/>
        <v>5</v>
      </c>
      <c r="C13" s="17"/>
      <c r="D13" s="18"/>
      <c r="E13" s="17"/>
      <c r="F13" s="18"/>
      <c r="G13" s="17"/>
      <c r="H13" s="18"/>
      <c r="I13" s="17"/>
      <c r="J13" s="18"/>
      <c r="K13" s="17"/>
      <c r="L13" s="18"/>
      <c r="M13" s="17"/>
      <c r="N13" s="18"/>
      <c r="O13" s="29" t="str">
        <f t="shared" si="4"/>
        <v/>
      </c>
      <c r="P13" s="30" t="str">
        <f t="shared" si="5"/>
        <v/>
      </c>
      <c r="Q13" s="43" t="str">
        <f t="shared" si="6"/>
        <v/>
      </c>
      <c r="R13" s="44" t="str">
        <f t="shared" si="0"/>
        <v/>
      </c>
      <c r="S13" s="45" t="str">
        <f t="shared" si="7"/>
        <v/>
      </c>
      <c r="T13" s="43" t="str">
        <f t="shared" si="8"/>
        <v/>
      </c>
      <c r="U13" s="46" t="str">
        <f t="shared" si="1"/>
        <v/>
      </c>
      <c r="V13" s="41" t="str">
        <f t="shared" si="2"/>
        <v xml:space="preserve">  </v>
      </c>
      <c r="W13" s="232" t="str">
        <f>SUM(DAY(DATE(YEAR($X$11),MONTH($X$11)+1,1)-1)-COUNTA(C2:C33))-(COUNTIF($V2:$V33,"*"&amp;WOFF1_DAYNAME&amp;"*")+COUNTIF($V2:$V33,"*"&amp;WOFF2_DAYNAME&amp;"*")+(SUMPRODUCT((hdate&gt;=$X$11)*(hdate&lt;=EOMONTH($X$11,0)))-(COUNTIF($V2:$V33,"*Optional*"))))&amp;"* Days to work"</f>
        <v>17* Days to work</v>
      </c>
      <c r="X13" s="233"/>
      <c r="Y13" s="233"/>
      <c r="Z13" s="233"/>
      <c r="AA13" s="233"/>
      <c r="AB13" s="233"/>
      <c r="AC13" s="234"/>
      <c r="AD13" s="73">
        <f>DAY(DATE(YEAR($X$11),MONTH($X$11)+1,1)-1)</f>
        <v>31</v>
      </c>
      <c r="AE13" s="74"/>
    </row>
    <row r="14" spans="1:31" ht="15" customHeight="1">
      <c r="A14" s="15">
        <f t="shared" si="3"/>
        <v>45639</v>
      </c>
      <c r="B14" s="16">
        <f t="shared" si="9"/>
        <v>6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29" t="str">
        <f t="shared" si="4"/>
        <v/>
      </c>
      <c r="P14" s="30" t="str">
        <f t="shared" si="5"/>
        <v/>
      </c>
      <c r="Q14" s="43" t="str">
        <f t="shared" si="6"/>
        <v/>
      </c>
      <c r="R14" s="44" t="str">
        <f t="shared" si="0"/>
        <v/>
      </c>
      <c r="S14" s="45" t="str">
        <f t="shared" si="7"/>
        <v/>
      </c>
      <c r="T14" s="43" t="str">
        <f t="shared" si="8"/>
        <v/>
      </c>
      <c r="U14" s="46" t="str">
        <f t="shared" si="1"/>
        <v/>
      </c>
      <c r="V14" s="41" t="str">
        <f t="shared" si="2"/>
        <v xml:space="preserve">  </v>
      </c>
      <c r="W14" s="232" t="str">
        <f>(COUNTIF($V2:$V33,"*"&amp;WOFF1_DAYNAME&amp;"*")+COUNTIF($V2:$V33,"*"&amp;WOFF2_DAYNAME&amp;"*"))&amp;" weekends off and "&amp;(SUMPRODUCT((hdate&gt;=$X$11)*(hdate&lt;=EOMONTH($X$11,0)))-(COUNTIF($V2:$V33,"*Optional*")))&amp;" Holidays"</f>
        <v>9 weekends off and 0 Holidays</v>
      </c>
      <c r="X14" s="233"/>
      <c r="Y14" s="233"/>
      <c r="Z14" s="233"/>
      <c r="AA14" s="233"/>
      <c r="AB14" s="233"/>
      <c r="AC14" s="234"/>
      <c r="AD14" s="73">
        <f>COUNTIF($V2:$V33,"*"&amp;WOFF1_DAYNAME&amp;"*")</f>
        <v>5</v>
      </c>
      <c r="AE14" s="74"/>
    </row>
    <row r="15" spans="1:31" ht="15" customHeight="1">
      <c r="A15" s="15">
        <f t="shared" si="3"/>
        <v>45640</v>
      </c>
      <c r="B15" s="16">
        <f t="shared" si="9"/>
        <v>7</v>
      </c>
      <c r="C15" s="17"/>
      <c r="D15" s="18"/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29" t="str">
        <f t="shared" si="4"/>
        <v/>
      </c>
      <c r="P15" s="30" t="str">
        <f t="shared" si="5"/>
        <v/>
      </c>
      <c r="Q15" s="43" t="str">
        <f t="shared" si="6"/>
        <v/>
      </c>
      <c r="R15" s="44" t="str">
        <f t="shared" si="0"/>
        <v/>
      </c>
      <c r="S15" s="45" t="str">
        <f t="shared" si="7"/>
        <v/>
      </c>
      <c r="T15" s="43" t="str">
        <f t="shared" si="8"/>
        <v/>
      </c>
      <c r="U15" s="46" t="str">
        <f t="shared" si="1"/>
        <v/>
      </c>
      <c r="V15" s="41" t="str">
        <f t="shared" si="2"/>
        <v xml:space="preserve">Saturday  </v>
      </c>
      <c r="W15" s="235" t="str">
        <f>IF((SUMPRODUCT((ldate&gt;=$X$11)*(ldate&lt;=EOMONTH($X$11,0)))-IF(COUNTIFS($R2:$R33,"&lt;6:30",$V2:$V33,"*Half Leave*")&gt;=1,COUNTIFS($R2:$R33,"&lt;6:30",$V2:$V33,"*Half Leave*")*0.5,0))=0,"No Leave",(SUMPRODUCT((ldate&gt;=$X$11)*(ldate&lt;=EOMONTH($X$11,0)))-IF(COUNTIFS($R2:$R33,"&lt;6:30",$V2:$V33,"*Half Leave*")&gt;=1,COUNTIFS($R2:$R33,"&lt;6:30",$V2:$V33,"*Half Leave*")*0.5,0))&amp;" Leave")&amp;IF((SUMPRODUCT((ldate&gt;=$X$11)*(ldate&lt;=EOMONTH($X$11,0)))-IF(COUNTIFS($R2:$R33,"&lt;6:30",$V2:$V33,"*Half Leave*")&gt;1,COUNTIFS($R2:$R33,"&lt;6:30",$V2:$V33,"*Half Leave*")*0.5,0))&gt;1.5,"s",)&amp;" in "&amp;TEXT($X$11,"mmm-yy")&amp;" &amp; "&amp;IF(TotalLeave&lt;0.5,"Not in "&amp;TEXT($X$11,"yyyy")&amp;" !","Total "&amp;TotalLeave&amp;" taken")</f>
        <v>No Leave in Dec-24 &amp; Total 1 taken</v>
      </c>
      <c r="X15" s="236"/>
      <c r="Y15" s="236"/>
      <c r="Z15" s="236"/>
      <c r="AA15" s="236"/>
      <c r="AB15" s="236"/>
      <c r="AC15" s="237"/>
      <c r="AD15" s="73">
        <f>COUNTIF($V2:$V33,"*"&amp;WOFF2_DAYNAME&amp;"*")</f>
        <v>4</v>
      </c>
      <c r="AE15" s="74"/>
    </row>
    <row r="16" spans="1:31" ht="15" customHeight="1">
      <c r="A16" s="15">
        <f t="shared" si="3"/>
        <v>45641</v>
      </c>
      <c r="B16" s="16">
        <f t="shared" si="9"/>
        <v>1</v>
      </c>
      <c r="C16" s="17"/>
      <c r="D16" s="18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29" t="str">
        <f t="shared" si="4"/>
        <v/>
      </c>
      <c r="P16" s="30" t="str">
        <f t="shared" si="5"/>
        <v/>
      </c>
      <c r="Q16" s="43" t="str">
        <f t="shared" si="6"/>
        <v/>
      </c>
      <c r="R16" s="44" t="str">
        <f t="shared" si="0"/>
        <v/>
      </c>
      <c r="S16" s="45" t="str">
        <f t="shared" si="7"/>
        <v/>
      </c>
      <c r="T16" s="43" t="str">
        <f t="shared" si="8"/>
        <v/>
      </c>
      <c r="U16" s="46" t="str">
        <f t="shared" si="1"/>
        <v/>
      </c>
      <c r="V16" s="41" t="str">
        <f t="shared" si="2"/>
        <v xml:space="preserve">Sunday  </v>
      </c>
      <c r="W16" s="225" t="str">
        <f>"Break Hours "&amp;TEXT(SUM($O2:$O33),"[h]:mm")</f>
        <v>Break Hours 0:00</v>
      </c>
      <c r="X16" s="226"/>
      <c r="Y16" s="226"/>
      <c r="Z16" s="226"/>
      <c r="AA16" s="226"/>
      <c r="AB16" s="226"/>
      <c r="AC16" s="227"/>
      <c r="AD16" s="73">
        <f>SUMPRODUCT((ldate&gt;=$X$11)*(ldate&lt;=EOMONTH($X$11,0)))</f>
        <v>0</v>
      </c>
      <c r="AE16" s="74" t="s">
        <v>45</v>
      </c>
    </row>
    <row r="17" spans="1:31" ht="15" customHeight="1">
      <c r="A17" s="15">
        <f t="shared" si="3"/>
        <v>45642</v>
      </c>
      <c r="B17" s="16">
        <f t="shared" si="9"/>
        <v>2</v>
      </c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29" t="str">
        <f t="shared" si="4"/>
        <v/>
      </c>
      <c r="P17" s="30" t="str">
        <f t="shared" si="5"/>
        <v/>
      </c>
      <c r="Q17" s="43" t="str">
        <f t="shared" si="6"/>
        <v/>
      </c>
      <c r="R17" s="44" t="str">
        <f t="shared" si="0"/>
        <v/>
      </c>
      <c r="S17" s="45" t="str">
        <f t="shared" si="7"/>
        <v/>
      </c>
      <c r="T17" s="43" t="str">
        <f t="shared" si="8"/>
        <v/>
      </c>
      <c r="U17" s="46" t="str">
        <f t="shared" si="1"/>
        <v/>
      </c>
      <c r="V17" s="41" t="str">
        <f t="shared" si="2"/>
        <v xml:space="preserve">  </v>
      </c>
      <c r="W17" s="219" t="str">
        <f>"Actual work Hours "&amp;TEXT(SUM($P2:$P33),"[h]:mm")</f>
        <v>Actual work Hours 24:51</v>
      </c>
      <c r="X17" s="220"/>
      <c r="Y17" s="220"/>
      <c r="Z17" s="220"/>
      <c r="AA17" s="220"/>
      <c r="AB17" s="220"/>
      <c r="AC17" s="221"/>
      <c r="AD17" s="73">
        <f>(SUMPRODUCT((hdate&gt;=$X$11)*(hdate&lt;=EOMONTH($X$11,0)))-(COUNTIF($V2:$V33,"*Optional*")))</f>
        <v>0</v>
      </c>
      <c r="AE17" s="74" t="s">
        <v>46</v>
      </c>
    </row>
    <row r="18" spans="1:31" ht="15" customHeight="1">
      <c r="A18" s="15">
        <f t="shared" si="3"/>
        <v>45643</v>
      </c>
      <c r="B18" s="16">
        <f t="shared" si="9"/>
        <v>3</v>
      </c>
      <c r="C18" s="17"/>
      <c r="D18" s="18"/>
      <c r="E18" s="17"/>
      <c r="F18" s="18"/>
      <c r="G18" s="17"/>
      <c r="H18" s="18"/>
      <c r="I18" s="17"/>
      <c r="J18" s="18"/>
      <c r="K18" s="17"/>
      <c r="L18" s="18"/>
      <c r="M18" s="17"/>
      <c r="N18" s="18"/>
      <c r="O18" s="29" t="str">
        <f t="shared" si="4"/>
        <v/>
      </c>
      <c r="P18" s="30" t="str">
        <f t="shared" si="5"/>
        <v/>
      </c>
      <c r="Q18" s="43" t="str">
        <f t="shared" si="6"/>
        <v/>
      </c>
      <c r="R18" s="44" t="str">
        <f t="shared" si="0"/>
        <v/>
      </c>
      <c r="S18" s="45" t="str">
        <f t="shared" si="7"/>
        <v/>
      </c>
      <c r="T18" s="43" t="str">
        <f t="shared" si="8"/>
        <v/>
      </c>
      <c r="U18" s="46" t="str">
        <f t="shared" si="1"/>
        <v/>
      </c>
      <c r="V18" s="41" t="str">
        <f t="shared" si="2"/>
        <v xml:space="preserve">  </v>
      </c>
      <c r="W18" s="222" t="str">
        <f>"Expected Work Hours "&amp;TEXT(SUM($R2:$R33),"[h]:mm")</f>
        <v>Expected Work Hours 42:30</v>
      </c>
      <c r="X18" s="223"/>
      <c r="Y18" s="223"/>
      <c r="Z18" s="223"/>
      <c r="AA18" s="223"/>
      <c r="AB18" s="223"/>
      <c r="AC18" s="224"/>
      <c r="AD18" s="73">
        <f>COUNTIF($V2:$V33,"*Optional*")</f>
        <v>0</v>
      </c>
      <c r="AE18" s="75"/>
    </row>
    <row r="19" spans="1:31" ht="15" customHeight="1">
      <c r="A19" s="15">
        <f t="shared" si="3"/>
        <v>45644</v>
      </c>
      <c r="B19" s="16">
        <f t="shared" si="9"/>
        <v>4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29" t="str">
        <f t="shared" si="4"/>
        <v/>
      </c>
      <c r="P19" s="30" t="str">
        <f t="shared" si="5"/>
        <v/>
      </c>
      <c r="Q19" s="43" t="str">
        <f t="shared" si="6"/>
        <v/>
      </c>
      <c r="R19" s="44" t="str">
        <f t="shared" si="0"/>
        <v/>
      </c>
      <c r="S19" s="45" t="str">
        <f t="shared" si="7"/>
        <v/>
      </c>
      <c r="T19" s="43" t="str">
        <f t="shared" si="8"/>
        <v/>
      </c>
      <c r="U19" s="46" t="str">
        <f t="shared" si="1"/>
        <v/>
      </c>
      <c r="V19" s="41" t="str">
        <f t="shared" si="2"/>
        <v xml:space="preserve">  </v>
      </c>
      <c r="W19" s="219" t="str">
        <f>"Actual Average Hours "&amp;TEXT(IFERROR(AVERAGEIF($P2:$P33,"&lt;&gt;0",$P2:$P33),""),"[h]:mm")</f>
        <v>Actual Average Hours 4:58</v>
      </c>
      <c r="X19" s="220"/>
      <c r="Y19" s="220"/>
      <c r="Z19" s="220"/>
      <c r="AA19" s="220"/>
      <c r="AB19" s="220"/>
      <c r="AC19" s="221"/>
      <c r="AD19" s="76"/>
      <c r="AE19" s="77"/>
    </row>
    <row r="20" spans="1:31" ht="15" customHeight="1">
      <c r="A20" s="15">
        <f t="shared" si="3"/>
        <v>45645</v>
      </c>
      <c r="B20" s="16">
        <f t="shared" si="9"/>
        <v>5</v>
      </c>
      <c r="C20" s="17"/>
      <c r="D20" s="18"/>
      <c r="E20" s="17"/>
      <c r="F20" s="18"/>
      <c r="G20" s="17"/>
      <c r="H20" s="18"/>
      <c r="I20" s="17"/>
      <c r="J20" s="18"/>
      <c r="K20" s="17"/>
      <c r="L20" s="18"/>
      <c r="M20" s="17"/>
      <c r="N20" s="18"/>
      <c r="O20" s="29" t="str">
        <f t="shared" si="4"/>
        <v/>
      </c>
      <c r="P20" s="30" t="str">
        <f t="shared" si="5"/>
        <v/>
      </c>
      <c r="Q20" s="43" t="str">
        <f t="shared" si="6"/>
        <v/>
      </c>
      <c r="R20" s="44" t="str">
        <f t="shared" si="0"/>
        <v/>
      </c>
      <c r="S20" s="45" t="str">
        <f t="shared" si="7"/>
        <v/>
      </c>
      <c r="T20" s="43" t="str">
        <f t="shared" si="8"/>
        <v/>
      </c>
      <c r="U20" s="46" t="str">
        <f t="shared" si="1"/>
        <v/>
      </c>
      <c r="V20" s="41" t="str">
        <f t="shared" si="2"/>
        <v xml:space="preserve">  </v>
      </c>
      <c r="W20" s="222" t="str">
        <f>"Expected Average Hours "&amp;TEXT(IFERROR(AVERAGEIF($R2:$R33,"&lt;&gt;0",$R2:$R33),""),"[h]:mm")</f>
        <v>Expected Average Hours 8:30</v>
      </c>
      <c r="X20" s="223"/>
      <c r="Y20" s="223"/>
      <c r="Z20" s="223"/>
      <c r="AA20" s="223"/>
      <c r="AB20" s="223"/>
      <c r="AC20" s="224"/>
      <c r="AD20" s="76"/>
      <c r="AE20" s="77"/>
    </row>
    <row r="21" spans="1:31" ht="15" customHeight="1">
      <c r="A21" s="15">
        <f t="shared" si="3"/>
        <v>45646</v>
      </c>
      <c r="B21" s="16">
        <f t="shared" si="9"/>
        <v>6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29" t="str">
        <f t="shared" si="4"/>
        <v/>
      </c>
      <c r="P21" s="30" t="str">
        <f t="shared" si="5"/>
        <v/>
      </c>
      <c r="Q21" s="43" t="str">
        <f t="shared" si="6"/>
        <v/>
      </c>
      <c r="R21" s="44" t="str">
        <f t="shared" si="0"/>
        <v/>
      </c>
      <c r="S21" s="45" t="str">
        <f t="shared" si="7"/>
        <v/>
      </c>
      <c r="T21" s="43" t="str">
        <f t="shared" si="8"/>
        <v/>
      </c>
      <c r="U21" s="46" t="str">
        <f t="shared" si="1"/>
        <v/>
      </c>
      <c r="V21" s="41" t="str">
        <f t="shared" si="2"/>
        <v xml:space="preserve">  </v>
      </c>
      <c r="W21" s="219" t="str">
        <f>IF((SUM($P2:$P33))=(SUM($R2:$R33)),"Expected Hrs Completed",IF((SUM($P2:$P33))&gt;(SUM($R2:$R33)),"Extra Hours ",IF((SUM($P2:$P33))&lt;(SUM($R2:$R33)),"Pending Hours ","")))&amp;TEXT(IF((SUM($P2:$P33))=(SUM($R2:$R33)),"",IF((SUM($P2:$P33))&gt;(SUM($R2:$R33)),((SUM($P2:$P33))-(SUM($R2:$R33))),IF((SUM($P2:$P33))&lt;(SUM($R2:$R33)),((SUM($R2:$R33))-(SUM($P2:$P33)))))),"[h]:mm")</f>
        <v>Pending Hours 17:39</v>
      </c>
      <c r="X21" s="220"/>
      <c r="Y21" s="220"/>
      <c r="Z21" s="220"/>
      <c r="AA21" s="220"/>
      <c r="AB21" s="220"/>
      <c r="AC21" s="221"/>
      <c r="AD21" s="67"/>
    </row>
    <row r="22" spans="1:31" ht="15" customHeight="1">
      <c r="A22" s="15">
        <f t="shared" si="3"/>
        <v>45647</v>
      </c>
      <c r="B22" s="16">
        <f t="shared" si="9"/>
        <v>7</v>
      </c>
      <c r="C22" s="17"/>
      <c r="D22" s="18"/>
      <c r="E22" s="17"/>
      <c r="F22" s="18"/>
      <c r="G22" s="17"/>
      <c r="H22" s="18"/>
      <c r="I22" s="17"/>
      <c r="J22" s="18"/>
      <c r="K22" s="17"/>
      <c r="L22" s="18"/>
      <c r="M22" s="17"/>
      <c r="N22" s="18"/>
      <c r="O22" s="29" t="str">
        <f t="shared" si="4"/>
        <v/>
      </c>
      <c r="P22" s="30" t="str">
        <f t="shared" si="5"/>
        <v/>
      </c>
      <c r="Q22" s="43" t="str">
        <f t="shared" si="6"/>
        <v/>
      </c>
      <c r="R22" s="44" t="str">
        <f t="shared" si="0"/>
        <v/>
      </c>
      <c r="S22" s="45" t="str">
        <f t="shared" si="7"/>
        <v/>
      </c>
      <c r="T22" s="43" t="str">
        <f t="shared" si="8"/>
        <v/>
      </c>
      <c r="U22" s="46" t="str">
        <f t="shared" si="1"/>
        <v/>
      </c>
      <c r="V22" s="41" t="str">
        <f t="shared" si="2"/>
        <v xml:space="preserve">Saturday  </v>
      </c>
      <c r="W22" s="225" t="str">
        <f>"Total Hours "&amp;TEXT(SUM($Q2:$Q33),"[h]:mm")</f>
        <v>Total Hours 24:51</v>
      </c>
      <c r="X22" s="226"/>
      <c r="Y22" s="226"/>
      <c r="Z22" s="226"/>
      <c r="AA22" s="226"/>
      <c r="AB22" s="226"/>
      <c r="AC22" s="227"/>
      <c r="AD22" s="67"/>
    </row>
    <row r="23" spans="1:31" ht="15" customHeight="1">
      <c r="A23" s="15">
        <f t="shared" si="3"/>
        <v>45648</v>
      </c>
      <c r="B23" s="16">
        <f t="shared" si="9"/>
        <v>1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29" t="str">
        <f t="shared" si="4"/>
        <v/>
      </c>
      <c r="P23" s="30" t="str">
        <f t="shared" si="5"/>
        <v/>
      </c>
      <c r="Q23" s="43" t="str">
        <f t="shared" si="6"/>
        <v/>
      </c>
      <c r="R23" s="44" t="str">
        <f t="shared" si="0"/>
        <v/>
      </c>
      <c r="S23" s="45" t="str">
        <f t="shared" si="7"/>
        <v/>
      </c>
      <c r="T23" s="43" t="str">
        <f t="shared" si="8"/>
        <v/>
      </c>
      <c r="U23" s="46" t="str">
        <f t="shared" si="1"/>
        <v/>
      </c>
      <c r="V23" s="41" t="str">
        <f t="shared" si="2"/>
        <v xml:space="preserve">Sunday  </v>
      </c>
      <c r="W23" s="228" t="s">
        <v>47</v>
      </c>
      <c r="X23" s="229"/>
      <c r="Y23" s="230"/>
      <c r="Z23" s="230"/>
      <c r="AA23" s="230"/>
      <c r="AB23" s="230"/>
      <c r="AC23" s="231"/>
      <c r="AD23" s="67"/>
    </row>
    <row r="24" spans="1:31" ht="15" customHeight="1">
      <c r="A24" s="15">
        <f t="shared" si="3"/>
        <v>45649</v>
      </c>
      <c r="B24" s="16">
        <f t="shared" si="9"/>
        <v>2</v>
      </c>
      <c r="C24" s="17"/>
      <c r="D24" s="18"/>
      <c r="E24" s="17"/>
      <c r="F24" s="18"/>
      <c r="G24" s="17"/>
      <c r="H24" s="18"/>
      <c r="I24" s="17"/>
      <c r="J24" s="18"/>
      <c r="K24" s="17"/>
      <c r="L24" s="18"/>
      <c r="M24" s="17"/>
      <c r="N24" s="18"/>
      <c r="O24" s="29" t="str">
        <f t="shared" si="4"/>
        <v/>
      </c>
      <c r="P24" s="30" t="str">
        <f t="shared" si="5"/>
        <v/>
      </c>
      <c r="Q24" s="43" t="str">
        <f t="shared" si="6"/>
        <v/>
      </c>
      <c r="R24" s="44" t="str">
        <f t="shared" si="0"/>
        <v/>
      </c>
      <c r="S24" s="45" t="str">
        <f t="shared" si="7"/>
        <v/>
      </c>
      <c r="T24" s="43" t="str">
        <f t="shared" si="8"/>
        <v/>
      </c>
      <c r="U24" s="46" t="str">
        <f t="shared" si="1"/>
        <v/>
      </c>
      <c r="V24" s="41" t="str">
        <f t="shared" si="2"/>
        <v xml:space="preserve">  </v>
      </c>
      <c r="W24" s="207" t="s">
        <v>48</v>
      </c>
      <c r="X24" s="208"/>
      <c r="Y24" s="208"/>
      <c r="Z24" s="208"/>
      <c r="AA24" s="208"/>
      <c r="AB24" s="208"/>
      <c r="AC24" s="209"/>
      <c r="AD24" s="67"/>
    </row>
    <row r="25" spans="1:31" ht="15" customHeight="1">
      <c r="A25" s="15">
        <f t="shared" si="3"/>
        <v>45650</v>
      </c>
      <c r="B25" s="16">
        <f t="shared" si="9"/>
        <v>3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29" t="str">
        <f t="shared" si="4"/>
        <v/>
      </c>
      <c r="P25" s="30" t="str">
        <f t="shared" si="5"/>
        <v/>
      </c>
      <c r="Q25" s="43" t="str">
        <f t="shared" si="6"/>
        <v/>
      </c>
      <c r="R25" s="44" t="str">
        <f t="shared" si="0"/>
        <v/>
      </c>
      <c r="S25" s="45" t="str">
        <f t="shared" si="7"/>
        <v/>
      </c>
      <c r="T25" s="43" t="str">
        <f t="shared" si="8"/>
        <v/>
      </c>
      <c r="U25" s="46" t="str">
        <f t="shared" si="1"/>
        <v/>
      </c>
      <c r="V25" s="41" t="str">
        <f t="shared" si="2"/>
        <v xml:space="preserve">  </v>
      </c>
      <c r="W25" s="210" t="s">
        <v>12</v>
      </c>
      <c r="X25" s="211"/>
      <c r="Y25" s="78" t="s">
        <v>49</v>
      </c>
      <c r="Z25" s="212" t="s">
        <v>50</v>
      </c>
      <c r="AA25" s="212"/>
      <c r="AB25" s="212"/>
      <c r="AC25" s="213"/>
      <c r="AD25" s="67"/>
    </row>
    <row r="26" spans="1:31" ht="15" customHeight="1">
      <c r="A26" s="15">
        <f t="shared" si="3"/>
        <v>45651</v>
      </c>
      <c r="B26" s="16">
        <f t="shared" si="9"/>
        <v>4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29" t="str">
        <f t="shared" si="4"/>
        <v/>
      </c>
      <c r="P26" s="30" t="str">
        <f t="shared" si="5"/>
        <v/>
      </c>
      <c r="Q26" s="43" t="str">
        <f t="shared" si="6"/>
        <v/>
      </c>
      <c r="R26" s="44" t="str">
        <f t="shared" si="0"/>
        <v/>
      </c>
      <c r="S26" s="45" t="str">
        <f t="shared" si="7"/>
        <v/>
      </c>
      <c r="T26" s="43" t="str">
        <f t="shared" si="8"/>
        <v/>
      </c>
      <c r="U26" s="46" t="str">
        <f t="shared" si="1"/>
        <v/>
      </c>
      <c r="V26" s="41" t="str">
        <f t="shared" si="2"/>
        <v xml:space="preserve">  </v>
      </c>
      <c r="W26" s="214"/>
      <c r="X26" s="215"/>
      <c r="Y26" s="79"/>
      <c r="Z26" s="216"/>
      <c r="AA26" s="217"/>
      <c r="AB26" s="217"/>
      <c r="AC26" s="218"/>
      <c r="AD26" s="67"/>
    </row>
    <row r="27" spans="1:31" ht="15" customHeight="1">
      <c r="A27" s="15">
        <f t="shared" si="3"/>
        <v>45652</v>
      </c>
      <c r="B27" s="16">
        <f t="shared" si="9"/>
        <v>5</v>
      </c>
      <c r="C27" s="17"/>
      <c r="D27" s="18"/>
      <c r="E27" s="17"/>
      <c r="F27" s="18"/>
      <c r="G27" s="17"/>
      <c r="H27" s="18"/>
      <c r="I27" s="17"/>
      <c r="J27" s="18"/>
      <c r="K27" s="17"/>
      <c r="L27" s="18"/>
      <c r="M27" s="17"/>
      <c r="N27" s="18"/>
      <c r="O27" s="29" t="str">
        <f t="shared" si="4"/>
        <v/>
      </c>
      <c r="P27" s="30" t="str">
        <f t="shared" si="5"/>
        <v/>
      </c>
      <c r="Q27" s="43" t="str">
        <f t="shared" si="6"/>
        <v/>
      </c>
      <c r="R27" s="44" t="str">
        <f t="shared" si="0"/>
        <v/>
      </c>
      <c r="S27" s="45" t="str">
        <f t="shared" si="7"/>
        <v/>
      </c>
      <c r="T27" s="43" t="str">
        <f t="shared" si="8"/>
        <v/>
      </c>
      <c r="U27" s="46" t="str">
        <f t="shared" si="1"/>
        <v/>
      </c>
      <c r="V27" s="41" t="str">
        <f t="shared" si="2"/>
        <v xml:space="preserve">  </v>
      </c>
      <c r="W27" s="202"/>
      <c r="X27" s="203"/>
      <c r="Y27" s="80"/>
      <c r="Z27" s="204"/>
      <c r="AA27" s="205"/>
      <c r="AB27" s="205"/>
      <c r="AC27" s="206"/>
      <c r="AD27" s="67"/>
    </row>
    <row r="28" spans="1:31" ht="15" customHeight="1">
      <c r="A28" s="15">
        <f t="shared" si="3"/>
        <v>45653</v>
      </c>
      <c r="B28" s="16">
        <f t="shared" si="9"/>
        <v>6</v>
      </c>
      <c r="C28" s="17"/>
      <c r="D28" s="18"/>
      <c r="E28" s="17"/>
      <c r="F28" s="18"/>
      <c r="G28" s="17"/>
      <c r="H28" s="18"/>
      <c r="I28" s="17"/>
      <c r="J28" s="18"/>
      <c r="K28" s="17"/>
      <c r="L28" s="18"/>
      <c r="M28" s="17"/>
      <c r="N28" s="18"/>
      <c r="O28" s="29" t="str">
        <f t="shared" si="4"/>
        <v/>
      </c>
      <c r="P28" s="30" t="str">
        <f t="shared" si="5"/>
        <v/>
      </c>
      <c r="Q28" s="43" t="str">
        <f t="shared" si="6"/>
        <v/>
      </c>
      <c r="R28" s="44" t="str">
        <f t="shared" si="0"/>
        <v/>
      </c>
      <c r="S28" s="45" t="str">
        <f t="shared" si="7"/>
        <v/>
      </c>
      <c r="T28" s="43" t="str">
        <f t="shared" si="8"/>
        <v/>
      </c>
      <c r="U28" s="46" t="str">
        <f t="shared" si="1"/>
        <v/>
      </c>
      <c r="V28" s="41" t="str">
        <f t="shared" si="2"/>
        <v xml:space="preserve">  </v>
      </c>
      <c r="W28" s="202"/>
      <c r="X28" s="203"/>
      <c r="Y28" s="80"/>
      <c r="Z28" s="204"/>
      <c r="AA28" s="205"/>
      <c r="AB28" s="205"/>
      <c r="AC28" s="206"/>
      <c r="AD28" s="67"/>
    </row>
    <row r="29" spans="1:31" ht="15" customHeight="1">
      <c r="A29" s="15">
        <f t="shared" si="3"/>
        <v>45654</v>
      </c>
      <c r="B29" s="16">
        <f t="shared" si="9"/>
        <v>7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29" t="str">
        <f t="shared" si="4"/>
        <v/>
      </c>
      <c r="P29" s="30" t="str">
        <f t="shared" si="5"/>
        <v/>
      </c>
      <c r="Q29" s="43" t="str">
        <f t="shared" si="6"/>
        <v/>
      </c>
      <c r="R29" s="44" t="str">
        <f t="shared" si="0"/>
        <v/>
      </c>
      <c r="S29" s="45" t="str">
        <f t="shared" si="7"/>
        <v/>
      </c>
      <c r="T29" s="43" t="str">
        <f t="shared" si="8"/>
        <v/>
      </c>
      <c r="U29" s="46" t="str">
        <f t="shared" si="1"/>
        <v/>
      </c>
      <c r="V29" s="41" t="str">
        <f t="shared" si="2"/>
        <v xml:space="preserve">Saturday  </v>
      </c>
      <c r="W29" s="202"/>
      <c r="X29" s="203"/>
      <c r="Y29" s="80"/>
      <c r="Z29" s="204"/>
      <c r="AA29" s="205"/>
      <c r="AB29" s="205"/>
      <c r="AC29" s="206"/>
      <c r="AD29" s="67"/>
    </row>
    <row r="30" spans="1:31" ht="15" customHeight="1">
      <c r="A30" s="15">
        <f t="shared" si="3"/>
        <v>45655</v>
      </c>
      <c r="B30" s="16">
        <f t="shared" si="9"/>
        <v>1</v>
      </c>
      <c r="C30" s="17"/>
      <c r="D30" s="18"/>
      <c r="E30" s="17"/>
      <c r="F30" s="18"/>
      <c r="G30" s="17"/>
      <c r="H30" s="18"/>
      <c r="I30" s="17"/>
      <c r="J30" s="18"/>
      <c r="K30" s="17"/>
      <c r="L30" s="18"/>
      <c r="M30" s="17"/>
      <c r="N30" s="18"/>
      <c r="O30" s="29" t="str">
        <f t="shared" si="4"/>
        <v/>
      </c>
      <c r="P30" s="30" t="str">
        <f t="shared" si="5"/>
        <v/>
      </c>
      <c r="Q30" s="43" t="str">
        <f t="shared" si="6"/>
        <v/>
      </c>
      <c r="R30" s="44" t="str">
        <f t="shared" si="0"/>
        <v/>
      </c>
      <c r="S30" s="45" t="str">
        <f t="shared" si="7"/>
        <v/>
      </c>
      <c r="T30" s="43" t="str">
        <f t="shared" si="8"/>
        <v/>
      </c>
      <c r="U30" s="46" t="str">
        <f t="shared" si="1"/>
        <v/>
      </c>
      <c r="V30" s="41" t="str">
        <f t="shared" si="2"/>
        <v xml:space="preserve">Sunday  </v>
      </c>
      <c r="W30" s="202"/>
      <c r="X30" s="203"/>
      <c r="Y30" s="80"/>
      <c r="Z30" s="204"/>
      <c r="AA30" s="205"/>
      <c r="AB30" s="205"/>
      <c r="AC30" s="206"/>
      <c r="AD30" s="67"/>
    </row>
    <row r="31" spans="1:31" ht="15" customHeight="1">
      <c r="A31" s="15">
        <f t="shared" si="3"/>
        <v>45656</v>
      </c>
      <c r="B31" s="16">
        <f t="shared" si="9"/>
        <v>2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29" t="str">
        <f t="shared" si="4"/>
        <v/>
      </c>
      <c r="P31" s="30" t="str">
        <f t="shared" si="5"/>
        <v/>
      </c>
      <c r="Q31" s="43" t="str">
        <f t="shared" si="6"/>
        <v/>
      </c>
      <c r="R31" s="44" t="str">
        <f t="shared" si="0"/>
        <v/>
      </c>
      <c r="S31" s="45" t="str">
        <f t="shared" si="7"/>
        <v/>
      </c>
      <c r="T31" s="43" t="str">
        <f t="shared" si="8"/>
        <v/>
      </c>
      <c r="U31" s="46" t="str">
        <f t="shared" si="1"/>
        <v/>
      </c>
      <c r="V31" s="41" t="str">
        <f t="shared" si="2"/>
        <v xml:space="preserve">  </v>
      </c>
      <c r="W31" s="202"/>
      <c r="X31" s="203"/>
      <c r="Y31" s="80"/>
      <c r="Z31" s="204"/>
      <c r="AA31" s="205"/>
      <c r="AB31" s="205"/>
      <c r="AC31" s="206"/>
      <c r="AD31" s="67"/>
    </row>
    <row r="32" spans="1:31" ht="15" customHeight="1">
      <c r="A32" s="15">
        <f t="shared" si="3"/>
        <v>45657</v>
      </c>
      <c r="B32" s="16">
        <f t="shared" si="9"/>
        <v>3</v>
      </c>
      <c r="C32" s="17"/>
      <c r="D32" s="18"/>
      <c r="E32" s="17"/>
      <c r="F32" s="18"/>
      <c r="G32" s="17"/>
      <c r="H32" s="18"/>
      <c r="I32" s="17"/>
      <c r="J32" s="18"/>
      <c r="K32" s="17"/>
      <c r="L32" s="18"/>
      <c r="M32" s="17"/>
      <c r="N32" s="18"/>
      <c r="O32" s="29" t="str">
        <f t="shared" si="4"/>
        <v/>
      </c>
      <c r="P32" s="30" t="str">
        <f t="shared" si="5"/>
        <v/>
      </c>
      <c r="Q32" s="43" t="str">
        <f t="shared" si="6"/>
        <v/>
      </c>
      <c r="R32" s="44" t="str">
        <f t="shared" si="0"/>
        <v/>
      </c>
      <c r="S32" s="45" t="str">
        <f t="shared" si="7"/>
        <v/>
      </c>
      <c r="T32" s="43" t="str">
        <f t="shared" si="8"/>
        <v/>
      </c>
      <c r="U32" s="46" t="str">
        <f t="shared" si="1"/>
        <v/>
      </c>
      <c r="V32" s="41" t="str">
        <f t="shared" si="2"/>
        <v xml:space="preserve">  </v>
      </c>
      <c r="W32" s="202"/>
      <c r="X32" s="203"/>
      <c r="Y32" s="80"/>
      <c r="Z32" s="204"/>
      <c r="AA32" s="205"/>
      <c r="AB32" s="205"/>
      <c r="AC32" s="206"/>
      <c r="AD32" s="67"/>
    </row>
    <row r="33" spans="1:30" ht="15" customHeight="1">
      <c r="A33" s="19" t="str">
        <f t="shared" si="3"/>
        <v/>
      </c>
      <c r="B33" s="20" t="str">
        <f t="shared" si="9"/>
        <v/>
      </c>
      <c r="C33" s="21"/>
      <c r="D33" s="22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31" t="str">
        <f t="shared" si="4"/>
        <v/>
      </c>
      <c r="P33" s="32" t="str">
        <f t="shared" si="5"/>
        <v/>
      </c>
      <c r="Q33" s="54" t="str">
        <f t="shared" si="6"/>
        <v/>
      </c>
      <c r="R33" s="55" t="str">
        <f t="shared" si="0"/>
        <v/>
      </c>
      <c r="S33" s="56" t="str">
        <f t="shared" si="7"/>
        <v/>
      </c>
      <c r="T33" s="54" t="str">
        <f t="shared" si="8"/>
        <v/>
      </c>
      <c r="U33" s="46" t="str">
        <f t="shared" si="1"/>
        <v/>
      </c>
      <c r="V33" s="41" t="str">
        <f t="shared" si="2"/>
        <v xml:space="preserve">  </v>
      </c>
      <c r="W33" s="191"/>
      <c r="X33" s="192"/>
      <c r="Y33" s="81"/>
      <c r="Z33" s="193"/>
      <c r="AA33" s="194"/>
      <c r="AB33" s="194"/>
      <c r="AC33" s="195"/>
      <c r="AD33" s="67"/>
    </row>
    <row r="34" spans="1:30">
      <c r="A34" s="23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33"/>
      <c r="P34" s="33"/>
      <c r="Q34" s="57"/>
      <c r="R34" s="58"/>
      <c r="S34" s="57"/>
      <c r="T34" s="57"/>
      <c r="U34" s="59">
        <f t="shared" ref="U34:U37" si="10">A34-MOD(WEEKDAY(A34),7)</f>
        <v>0</v>
      </c>
      <c r="V34" s="60"/>
      <c r="W34" s="60"/>
      <c r="X34" s="60"/>
      <c r="Y34" s="60"/>
      <c r="Z34" s="60"/>
      <c r="AA34" s="60"/>
      <c r="AB34" s="60"/>
      <c r="AC34" s="60"/>
    </row>
    <row r="35" spans="1:30">
      <c r="R35" s="4"/>
      <c r="S35" s="4"/>
      <c r="T35" s="4"/>
      <c r="U35" s="61">
        <f t="shared" si="10"/>
        <v>0</v>
      </c>
      <c r="V35" s="62"/>
      <c r="W35" s="62"/>
      <c r="X35" s="62"/>
    </row>
    <row r="36" spans="1:30">
      <c r="R36" s="63"/>
      <c r="S36" s="64"/>
      <c r="U36" s="65">
        <f t="shared" si="10"/>
        <v>0</v>
      </c>
      <c r="V36" s="62"/>
      <c r="W36" s="62"/>
      <c r="X36" s="62"/>
    </row>
    <row r="37" spans="1:30">
      <c r="R37" s="63"/>
      <c r="S37" s="63"/>
      <c r="U37" s="65">
        <f t="shared" si="10"/>
        <v>0</v>
      </c>
      <c r="W37" s="62"/>
      <c r="X37" s="62"/>
    </row>
    <row r="40" spans="1:30">
      <c r="P40" s="2"/>
    </row>
  </sheetData>
  <sheetProtection password="FD3F" sheet="1" objects="1"/>
  <mergeCells count="35">
    <mergeCell ref="U1:V1"/>
    <mergeCell ref="X1:AB1"/>
    <mergeCell ref="X11:AB11"/>
    <mergeCell ref="W12:AC12"/>
    <mergeCell ref="W13:AC13"/>
    <mergeCell ref="W14:AC14"/>
    <mergeCell ref="W15:AC15"/>
    <mergeCell ref="W16:AC16"/>
    <mergeCell ref="W17:AC17"/>
    <mergeCell ref="W18:AC18"/>
    <mergeCell ref="W25:X25"/>
    <mergeCell ref="Z25:AC25"/>
    <mergeCell ref="W26:X26"/>
    <mergeCell ref="Z26:AC26"/>
    <mergeCell ref="W19:AC19"/>
    <mergeCell ref="W20:AC20"/>
    <mergeCell ref="W21:AC21"/>
    <mergeCell ref="W22:AC22"/>
    <mergeCell ref="W23:AC23"/>
    <mergeCell ref="W33:X33"/>
    <mergeCell ref="Z33:AC33"/>
    <mergeCell ref="W9:AC10"/>
    <mergeCell ref="W30:X30"/>
    <mergeCell ref="Z30:AC30"/>
    <mergeCell ref="W31:X31"/>
    <mergeCell ref="Z31:AC31"/>
    <mergeCell ref="W32:X32"/>
    <mergeCell ref="Z32:AC32"/>
    <mergeCell ref="W27:X27"/>
    <mergeCell ref="Z27:AC27"/>
    <mergeCell ref="W28:X28"/>
    <mergeCell ref="Z28:AC28"/>
    <mergeCell ref="W29:X29"/>
    <mergeCell ref="Z29:AC29"/>
    <mergeCell ref="W24:AC24"/>
  </mergeCells>
  <conditionalFormatting sqref="W9">
    <cfRule type="expression" dxfId="12" priority="9" stopIfTrue="1">
      <formula>OR($X$11="",MONTH(NOW())&lt;&gt;MONTH($X$11))</formula>
    </cfRule>
  </conditionalFormatting>
  <conditionalFormatting sqref="W15">
    <cfRule type="expression" dxfId="11" priority="4" stopIfTrue="1">
      <formula>TotalLeave&gt;=Yearly_Leaves</formula>
    </cfRule>
  </conditionalFormatting>
  <conditionalFormatting sqref="W1:AC8 W11 AC11 W12:AC22 W24:AC33 U2:V33">
    <cfRule type="expression" dxfId="10" priority="8" stopIfTrue="1">
      <formula>$X$11=""</formula>
    </cfRule>
  </conditionalFormatting>
  <conditionalFormatting sqref="A2:V33">
    <cfRule type="expression" dxfId="9" priority="1" stopIfTrue="1">
      <formula>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</formula>
    </cfRule>
    <cfRule type="expression" dxfId="8" priority="2" stopIfTrue="1">
      <formula>AND(NOT(ISNA(MATCH($A2,hdate,0))),COUNTIF($V2,"*Optional*")&lt;1)</formula>
    </cfRule>
    <cfRule type="expression" dxfId="7" priority="3" stopIfTrue="1">
      <formula>AND($P2&lt;&gt;$R2,$P2&lt;$R2,$D2&lt;&gt;"")</formula>
    </cfRule>
  </conditionalFormatting>
  <conditionalFormatting sqref="U2:V33">
    <cfRule type="expression" dxfId="6" priority="10" stopIfTrue="1">
      <formula>AND($U2&lt;&gt;"",NOT(OR(AND($P2&lt;&gt;$R2,$P2&lt;$R2,$D2&lt;&gt;""),OR(OR(AND(WOFF1_DAYNAME&lt;&gt;WOFF2_DAYNAME,OR($A2=(DATE(YEAR($A2),MONTH($A2),1+7*WOFF1_CONFIG_NO1)-WEEKDAY(DATE(YEAR($A2),MONTH($A2),8-WOFF1_DAYNO))),$A2=(DATE(YEAR($A2),MONTH($A2),1+7*WOFF1_CONFIG_NO2)-WEEKDAY(DATE(YEAR($A2),MONTH($A2),8-WOFF1_DAYNO))))),AND(WOFF1_DAYNAME&lt;&gt;WOFF2_DAYNAME,OR($A2=(DATE(YEAR($A2),MONTH($A2),1+7*WOFF2_CONFIG_NO1)-WEEKDAY(DATE(YEAR($A2),MONTH($A2),8-WOFF2_DAYNO))),$A2=(DATE(YEAR($A2),MONTH($A2),1+7*WOFF2_CONFIG_NO2)-WEEKDAY(DATE(YEAR($A2),MONTH($A2),8-WOFF2_DAYNO)))))),OR(AND(WOFF1_DAYNAME&lt;&gt;WOFF2_DAYNAME,WOFF1_SELECT="All",WEEKDAY($A2)=WOFF1_DAYNO),AND(WOFF1_DAYNAME&lt;&gt;WOFF2_DAYNAME,WOFF2_SELECT="All",WEEKDAY($A2)=WOFF2_DAYNO)),OR(AND(WOFF1_DAYNAME&lt;&gt;WOFF2_DAYNAME,WOFF1_SELECT="Last",$A2=EOMONTH($A2,0)-WEEKDAY(EOMONTH($A2,0)+WOFF1_LASTDAYNO)+1),AND(WOFF1_DAYNAME&lt;&gt;WOFF2_DAYNAME,WOFF2_SELECT="Last",$A2=EOMONTH($A2,0)-WEEKDAY(EOMONTH($A2,0)+WOFF2_LASTDAYNO)+1))),NOT(ISNA(MATCH($A2,ldate,0))),AND(NOT(ISNA(MATCH($A2,hdate,0))),COUNTIF($V2,"*Optional*")&lt;1))))</formula>
    </cfRule>
  </conditionalFormatting>
  <conditionalFormatting sqref="W3:AC8">
    <cfRule type="expression" dxfId="5" priority="5" stopIfTrue="1">
      <formula>W3=TODAY()</formula>
    </cfRule>
    <cfRule type="expression" dxfId="4" priority="6" stopIfTrue="1">
      <formula>NOT(ISNA(MATCH(W3,ldate,0)))</formula>
    </cfRule>
    <cfRule type="expression" dxfId="3" priority="7" stopIfTrue="1">
      <formula>OR(OR(AND(WOFF1_DAYNAME&lt;&gt;WOFF2_DAYNAME,OR(W3=(DATE(YEAR(W3),MONTH(W3),1+7*WOFF1_CONFIG_NO1)-WEEKDAY(DATE(YEAR(W3),MONTH(W3),8-WOFF1_DAYNO))),W3=(DATE(YEAR(W3),MONTH(W3),1+7*WOFF1_CONFIG_NO2)-WEEKDAY(DATE(YEAR(W3),MONTH(W3),8-WOFF1_DAYNO))))),AND(WOFF1_DAYNAME&lt;&gt;WOFF2_DAYNAME,OR(W3=(DATE(YEAR(W3),MONTH(W3),1+7*WOFF2_CONFIG_NO1)-WEEKDAY(DATE(YEAR(W3),MONTH(W3),8-WOFF2_DAYNO))),W3=(DATE(YEAR(W3),MONTH(W3),1+7*WOFF2_CONFIG_NO2)-WEEKDAY(DATE(YEAR(W3),MONTH(W3),8-WOFF2_DAYNO)))))),OR(AND(WOFF1_DAYNAME&lt;&gt;WOFF2_DAYNAME,WOFF1_SELECT="All",WEEKDAY(W3)=WOFF1_DAYNO),AND(WOFF1_DAYNAME&lt;&gt;WOFF2_DAYNAME,WOFF2_SELECT="All",WEEKDAY(W3)=WOFF2_DAYNO)),OR(AND(WOFF1_DAYNAME&lt;&gt;WOFF2_DAYNAME,WOFF1_SELECT="Last",W3=EOMONTH(W3,0)-WEEKDAY(EOMONTH(W3,0)+WOFF1_LASTDAYNO)+1),AND(WOFF1_DAYNAME&lt;&gt;WOFF2_DAYNAME,WOFF2_SELECT="Last",W3=EOMONTH(W3,0)-WEEKDAY(EOMONTH(W3,0)+WOFF2_LASTDAYNO)+1)))</formula>
    </cfRule>
  </conditionalFormatting>
  <dataValidations count="8">
    <dataValidation allowBlank="1" showInputMessage="1" showErrorMessage="1" sqref="W1"/>
    <dataValidation allowBlank="1" showInputMessage="1" showErrorMessage="1" errorTitle="Insert First Date" error="Insert Only First Date for the month. (e.g. 1-12-2013, 1-1-2014)" sqref="W9"/>
    <dataValidation type="list" allowBlank="1" showInputMessage="1" showErrorMessage="1" errorTitle="Invalid selection" error="Invalid selection_x000a__x000a_You must select value from List box." sqref="X11:AB11">
      <formula1>months</formula1>
    </dataValidation>
    <dataValidation type="time" allowBlank="1" showInputMessage="1" showErrorMessage="1" errorTitle="Invalid Time" error="Invalid Time is Inserted!_x000a__x000a_Expected Hours must be Between 3:00 Hours and 23:59 hours." sqref="R2:R33">
      <formula1>0.125</formula1>
      <formula2>0.999988425925926</formula2>
    </dataValidation>
    <dataValidation allowBlank="1" showInputMessage="1" showErrorMessage="1" errorTitle="Invalid Time" error="Invalid Time is Inserted!_x000a__x000a_Expected Hours must be Between 3:00 Hours and 23:59 hours." sqref="S2:S33"/>
    <dataValidation type="time" operator="lessThanOrEqual" allowBlank="1" showInputMessage="1" showErrorMessage="1" errorTitle="Invalid Time" error="Invalid Time is Inserted!_x000a__x000a_Hours must be less than or equal to Full Day Time hours ( From Yearly Settings )." sqref="Y26:Y33">
      <formula1>Full_Day_Time</formula1>
    </dataValidation>
    <dataValidation type="date" allowBlank="1" showInputMessage="1" showErrorMessage="1" errorTitle="Invalid Date" error="Invalid Date is Inserted!_x000a__x000a_Date must be from current month" sqref="W26:X33">
      <formula1>$A2</formula1>
      <formula2>EOMONTH($X$11,0)</formula2>
    </dataValidation>
    <dataValidation allowBlank="1" showInputMessage="1" showErrorMessage="1" errorTitle="Invalid Time Inserted" error="Invalid Time is Inserted!_x000a__x000a_Cell Value must be Less than or Equal To Next Cell Value." sqref="C2:N33"/>
  </dataValidations>
  <hyperlinks>
    <hyperlink ref="W23:X23" location="'Yearly-View'!A2" display="Yearly Time Sheet"/>
  </hyperlinks>
  <pageMargins left="0.69930555555555596" right="0.69930555555555596" top="0.75" bottom="0.75" header="0.3" footer="0.3"/>
  <pageSetup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52</vt:i4>
      </vt:variant>
    </vt:vector>
  </HeadingPairs>
  <TitlesOfParts>
    <vt:vector size="65" baseType="lpstr">
      <vt:lpstr>Yearly-View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FirstWeekDay</vt:lpstr>
      <vt:lpstr>FirstWeekDay2</vt:lpstr>
      <vt:lpstr>Full_Day_Time</vt:lpstr>
      <vt:lpstr>Half_Day_Time</vt:lpstr>
      <vt:lpstr>hdate</vt:lpstr>
      <vt:lpstr>ldate</vt:lpstr>
      <vt:lpstr>Leave</vt:lpstr>
      <vt:lpstr>months</vt:lpstr>
      <vt:lpstr>'10'!notedates</vt:lpstr>
      <vt:lpstr>'11'!notedates</vt:lpstr>
      <vt:lpstr>'12'!notedates</vt:lpstr>
      <vt:lpstr>'2'!notedates</vt:lpstr>
      <vt:lpstr>'3'!notedates</vt:lpstr>
      <vt:lpstr>'4'!notedates</vt:lpstr>
      <vt:lpstr>'5'!notedates</vt:lpstr>
      <vt:lpstr>'6'!notedates</vt:lpstr>
      <vt:lpstr>'7'!notedates</vt:lpstr>
      <vt:lpstr>'8'!notedates</vt:lpstr>
      <vt:lpstr>'9'!notedates</vt:lpstr>
      <vt:lpstr>notedates</vt:lpstr>
      <vt:lpstr>'10'!notes</vt:lpstr>
      <vt:lpstr>'11'!notes</vt:lpstr>
      <vt:lpstr>'12'!notes</vt:lpstr>
      <vt:lpstr>'2'!notes</vt:lpstr>
      <vt:lpstr>'3'!notes</vt:lpstr>
      <vt:lpstr>'4'!notes</vt:lpstr>
      <vt:lpstr>'5'!notes</vt:lpstr>
      <vt:lpstr>'6'!notes</vt:lpstr>
      <vt:lpstr>'7'!notes</vt:lpstr>
      <vt:lpstr>'8'!notes</vt:lpstr>
      <vt:lpstr>'9'!notes</vt:lpstr>
      <vt:lpstr>notes</vt:lpstr>
      <vt:lpstr>tbl</vt:lpstr>
      <vt:lpstr>TotalLeave</vt:lpstr>
      <vt:lpstr>WOFF1_CONFIG_NAME1</vt:lpstr>
      <vt:lpstr>WOFF1_CONFIG_NAME2</vt:lpstr>
      <vt:lpstr>WOFF1_CONFIG_NO1</vt:lpstr>
      <vt:lpstr>WOFF1_CONFIG_NO2</vt:lpstr>
      <vt:lpstr>WOFF1_DAYNAME</vt:lpstr>
      <vt:lpstr>WOFF1_DAYNO</vt:lpstr>
      <vt:lpstr>WOFF1_LASTDAYNO</vt:lpstr>
      <vt:lpstr>WOFF1_SELECT</vt:lpstr>
      <vt:lpstr>WOFF2_CONFIG_NAME1</vt:lpstr>
      <vt:lpstr>WOFF2_CONFIG_NAME2</vt:lpstr>
      <vt:lpstr>WOFF2_CONFIG_NO1</vt:lpstr>
      <vt:lpstr>WOFF2_CONFIG_NO2</vt:lpstr>
      <vt:lpstr>WOFF2_DAYNAME</vt:lpstr>
      <vt:lpstr>WOFF2_DAYNO</vt:lpstr>
      <vt:lpstr>WOFF2_LASTDAYNO</vt:lpstr>
      <vt:lpstr>WOFF2_SELECT</vt:lpstr>
      <vt:lpstr>year</vt:lpstr>
      <vt:lpstr>Yearly_Leaves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Kathiriya</dc:creator>
  <cp:keywords>Time Calculation</cp:keywords>
  <cp:lastModifiedBy>sony</cp:lastModifiedBy>
  <dcterms:created xsi:type="dcterms:W3CDTF">2015-08-20T11:41:00Z</dcterms:created>
  <dcterms:modified xsi:type="dcterms:W3CDTF">2025-01-02T10:05:58Z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KSOReadingLayout">
    <vt:bool>false</vt:bool>
  </property>
  <property fmtid="{D5CDD505-2E9C-101B-9397-08002B2CF9AE}" pid="4" name="ICV">
    <vt:lpwstr>B8909A025875411CBC3521F5095B7115</vt:lpwstr>
  </property>
</Properties>
</file>