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rves" sheetId="1" r:id="rId5"/>
    <sheet state="visible" name="30 Year" sheetId="2" r:id="rId6"/>
    <sheet state="visible" name="Inflation" sheetId="3" r:id="rId7"/>
    <sheet state="hidden" name="5 - Yr" sheetId="4" r:id="rId8"/>
    <sheet state="hidden" name="5-Yr Projects" sheetId="5" r:id="rId9"/>
    <sheet state="visible" name="Project Costs" sheetId="6" r:id="rId10"/>
    <sheet state="visible" name="Cost Data" sheetId="7" r:id="rId11"/>
    <sheet state="visible" name="TREAS RPT" sheetId="8" r:id="rId12"/>
    <sheet state="visible" name="26 Budget" sheetId="9" r:id="rId13"/>
    <sheet state="visible" name="26 Projects" sheetId="10" r:id="rId14"/>
    <sheet state="visible" name="Policy" sheetId="11" r:id="rId15"/>
    <sheet state="hidden" name="Insurance Data" sheetId="12" r:id="rId16"/>
    <sheet state="hidden" name="2024 Projects"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How much Reserves do we need to maintain each year?
It depends on the cash needed to pay for large emergencies such as replacing all roofs from hail damage, which occurred once in the last 42 years. The maximum insurance deductible in 2026 for this emergency event is $435K. Therefore, RP should maintain at least $435K in 2026 dollars (round to $450K) as a Reserve at year-end starting in 2030.
Why not start sooner? Because, RP Budget Projects have overwhelmed the business management function. RP spent 65% of money assessed for projects in 2025. If the unplanned addition of the Leaf Filter project is subtracted, RP spent only 48% of the money on the original budgeted projects.
It may take a few years for RP to develop the business management function. Until then, collecting more money from owners will not narrow the gap between management capacity and project completion.
During the next 5 years, RP can "weather" the financial impact of a possible low probability storm emergency by spreading costs and other financing options.</t>
      </text>
    </comment>
    <comment authorId="0" ref="J6">
      <text>
        <t xml:space="preserve">Using a cash projection every year can provide much needed Board Policy Continuity as new Directors are elected. </t>
      </text>
    </comment>
    <comment authorId="0" ref="B49">
      <text>
        <t xml:space="preserve">Between Years.
STANDARD FORMULA FOR FUTURE VALUE (FV):
FV = PV x (1 + r)^n
PV = Present Value
r = Interest or Inflation Rate (%)
n = Number of Compounding Periods (Years)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the funding plan for deferred
maintenance components/items to be repaired or replaced.</t>
      </text>
    </comment>
    <comment authorId="0" ref="Q1">
      <text>
        <t xml:space="preserve">This is the funding plan for deferred
maintenance components/items to be repaired or replaced.</t>
      </text>
    </comment>
    <comment authorId="0" ref="AG1">
      <text>
        <t xml:space="preserve">This is the funding plan for deferred
maintenance components/items to be repaired or replaced.</t>
      </text>
    </comment>
    <comment authorId="0" ref="AU1">
      <text>
        <t xml:space="preserve">This is the funding plan for deferred
maintenance components/items to be repaired or replaced.</t>
      </text>
    </comment>
    <comment authorId="0" ref="BI1">
      <text>
        <t xml:space="preserve">This is the funding plan for deferred
maintenance components/items to be repaired or replaced.</t>
      </text>
    </comment>
    <comment authorId="0" ref="BW1">
      <text>
        <t xml:space="preserve">This is the funding plan for deferred
maintenance components/items to be repaired or replaced.</t>
      </text>
    </comment>
    <comment authorId="0" ref="O2">
      <text>
        <t xml:space="preserve">Directly from the 2025 ratified budget.</t>
      </text>
    </comment>
    <comment authorId="0" ref="AE2">
      <text>
        <t xml:space="preserve">Directly from the 2025 ratified budget.</t>
      </text>
    </comment>
    <comment authorId="0" ref="A4">
      <text>
        <t xml:space="preserve">Need Board policy on the minimum cash surplus for Operating Account.</t>
      </text>
    </comment>
    <comment authorId="0" ref="B4">
      <text>
        <t xml:space="preserve">Bank Stmt Bal 1-1-25</t>
      </text>
    </comment>
    <comment authorId="0" ref="C4">
      <text>
        <t xml:space="preserve">Bank Stmt Bal 2-1-25</t>
      </text>
    </comment>
    <comment authorId="0" ref="D4">
      <text>
        <t xml:space="preserve">Bank Stmt Bal 3-1-25</t>
      </text>
    </comment>
    <comment authorId="0" ref="E4">
      <text>
        <t xml:space="preserve">Bank Stmt:
Ending balance 3-31-25</t>
      </text>
    </comment>
    <comment authorId="0" ref="F4">
      <text>
        <t xml:space="preserve">Bank Stmt 
Ending balance 4-30-25</t>
      </text>
    </comment>
    <comment authorId="0" ref="G4">
      <text>
        <t xml:space="preserve">Bank Stmt 
Ending balance 5-31-25</t>
      </text>
    </comment>
    <comment authorId="0" ref="H4">
      <text>
        <t xml:space="preserve">Bank Stmt 
Operating Acct # 3877
Ending balance 6-30-25</t>
      </text>
    </comment>
    <comment authorId="0" ref="I4">
      <text>
        <t xml:space="preserve">Bank Stmt 
Operating Acct # 3877
Ending balance 7-31-25
$65081.09
</t>
      </text>
    </comment>
    <comment authorId="0" ref="J4">
      <text>
        <t xml:space="preserve">Bank Stmt Ending Balance 8/31/25 $36,737.22</t>
      </text>
    </comment>
    <comment authorId="0" ref="L4">
      <text>
        <t xml:space="preserve">Ending Balance as of 10/31/2025 $39,899.82</t>
      </text>
    </comment>
    <comment authorId="0" ref="M4">
      <text>
        <t xml:space="preserve">Bank Balance on 11-30-25.</t>
      </text>
    </comment>
    <comment authorId="0" ref="T4">
      <text>
        <t xml:space="preserve">Feb 28 End Balance is the Beginning Balance of the next month..</t>
      </text>
    </comment>
    <comment authorId="0" ref="V4">
      <text>
        <t xml:space="preserve">As of 4-27-26.</t>
      </text>
    </comment>
    <comment authorId="0" ref="A5">
      <text>
        <t xml:space="preserve">The Board can increase this automatic monthly transfer, and be prepared to transfer money back into the Operating Account when needed.</t>
      </text>
    </comment>
    <comment authorId="0" ref="B5">
      <text>
        <t xml:space="preserve">Bank Stmt.
1/2/2025	Bank Record	IB TFR TO Reserve Account		 $5,000.00 
</t>
      </text>
    </comment>
    <comment authorId="0" ref="C5">
      <text>
        <t xml:space="preserve">Bank Stmt.
2/3/2025	Bank Record	IB TFR TO Reserve Account		 $5,000.00 
2/3/2025	Bank Record	IB TFR TO RESERVE ACCOUNT		 $251,000.00 
</t>
      </text>
    </comment>
    <comment authorId="0" ref="D5">
      <text>
        <t xml:space="preserve">Bank Stmt:
3/3/2025	Bank Record	IB TFR TO Reserve Account		 $5,000.00 
3/3/2025	Bank Record	IB TFR TO Reserve Account		 $50,000.00 
</t>
      </text>
    </comment>
    <comment authorId="0" ref="E5">
      <text>
        <t xml:space="preserve">4/1/2025	Bank Record	IB TFR TO Reserve Account		 $5,000.00 
4/3/2025	Bank Record	IB TFR TO Reserve Account		 $51,000.00 
</t>
      </text>
    </comment>
    <comment authorId="0" ref="F5">
      <text>
        <t xml:space="preserve">5/1/2025	Bank Record	IB TFR TO Reserve Account		 $5,000.00 
</t>
      </text>
    </comment>
    <comment authorId="0" ref="G5">
      <text>
        <t xml:space="preserve">6/3/2025	Bank Record	IB TFR TO Reserve Account		 $5,000.00 
</t>
      </text>
    </comment>
    <comment authorId="0" ref="H5">
      <text>
        <t xml:space="preserve">Bank Stmt	07/01/2025		IB TFR TO 006121320598 CHANGING AMOUNT BASED ON 2022 BUDGET    #	5000.00
</t>
      </text>
    </comment>
    <comment authorId="0" ref="I5">
      <text>
        <t xml:space="preserve">Bank Stmt	08/01/2025		IB TFR TO 006121320598 CHANGING AMOUNT BASED ON 2022 BUDGET    #	$5000.00	
</t>
      </text>
    </comment>
    <comment authorId="0" ref="J5">
      <text>
        <t xml:space="preserve">Bank: 09/02/2025		IB TFR TO 006121320598 CHANGING AMOUNT BASED ON 2022 BUDGET    #	5000.00
</t>
      </text>
    </comment>
    <comment authorId="0" ref="M5">
      <text>
        <t xml:space="preserve">Bank Acct# 0877	12/01/2025		ONLINE XFER 0598-Changing amount based on 2022	$5000.00
</t>
      </text>
    </comment>
    <comment authorId="0" ref="A6">
      <text>
        <t xml:space="preserve">Board Treasurer should transfer money in and out of this account.
These transfers are hypothetical andcan change at any time on a need basis.
</t>
      </text>
    </comment>
    <comment authorId="0" ref="C6">
      <text>
        <t xml:space="preserve">Bank Stmt.</t>
      </text>
    </comment>
    <comment authorId="0" ref="A7">
      <text>
        <t xml:space="preserve">The HOA needs to draw money from the Reserve Account when needed.
New account interset rate in July 2025 is 2.06%.</t>
      </text>
    </comment>
    <comment authorId="0" ref="B7">
      <text>
        <t xml:space="preserve">Bank Stmt. 1-1-25</t>
      </text>
    </comment>
    <comment authorId="0" ref="C7">
      <text>
        <t xml:space="preserve">Bank Stmt. 2-1-25</t>
      </text>
    </comment>
    <comment authorId="0" ref="D7">
      <text>
        <t xml:space="preserve">Bank Stmt. 3-1-25</t>
      </text>
    </comment>
    <comment authorId="0" ref="H7">
      <text>
        <t xml:space="preserve">Acct # 3731 Bank Stmt	06/30/2025		$606185.41
Acct # 0598 Bank Stmt	06/30/2025		$29424.08
</t>
      </text>
    </comment>
    <comment authorId="0" ref="I7">
      <text>
        <t xml:space="preserve">New Acct # 3731  Bank Stmt	07/31/2025		$430109.70
+
Savings Acct # 0598 Bank Stmt	07/31/2025		$86194.89
</t>
      </text>
    </comment>
    <comment authorId="0" ref="J7">
      <text>
        <t xml:space="preserve">Bank: 08/31/2025 Ending Balance $521,158.07</t>
      </text>
    </comment>
    <comment authorId="0" ref="L7">
      <text>
        <t xml:space="preserve">Bank Stmt
Ending Balance as of 10/31/2025 $523,379.84 Acct#3731
Ending Balance as of 10/31/2025 $10,188.25</t>
      </text>
    </comment>
    <comment authorId="0" ref="M7">
      <text>
        <t xml:space="preserve">Bank Balances on 11-30-25.
$384,192.39 Acct # 3731
$15,188.86 Acct# 0598</t>
      </text>
    </comment>
    <comment authorId="0" ref="R7">
      <text>
        <t xml:space="preserve"> $384,871.31 
+ $20,189.71
= $405,061.02</t>
      </text>
    </comment>
    <comment authorId="0" ref="S7">
      <text>
        <t xml:space="preserve"> $385,525.06
+ $25,190.78
=$410,715.84</t>
      </text>
    </comment>
    <comment authorId="0" ref="T7">
      <text>
        <t xml:space="preserve">386,116.55
+30,191.93
=416,309</t>
      </text>
    </comment>
    <comment authorId="0" ref="V7">
      <text>
        <t xml:space="preserve">As of 4-27-26.</t>
      </text>
    </comment>
    <comment authorId="0" ref="A8">
      <text>
        <t xml:space="preserve">Certificate of Deposit (CD)
$125K CD @ 4.22% APR for 8 months starting July 3, 2025.
Yield = $125K x .0422 x (8/12 months) = $3517 added on March 3, 2026.</t>
      </text>
    </comment>
    <comment authorId="0" ref="B8">
      <text>
        <t xml:space="preserve">Bank Stmt.</t>
      </text>
    </comment>
    <comment authorId="0" ref="C8">
      <text>
        <t xml:space="preserve">Bank Stmt.</t>
      </text>
    </comment>
    <comment authorId="0" ref="D8">
      <text>
        <t xml:space="preserve">Bank Stmt.</t>
      </text>
    </comment>
    <comment authorId="0" ref="E8">
      <text>
        <t xml:space="preserve">Bank Stmt:
Ending balance 3-31-25</t>
      </text>
    </comment>
    <comment authorId="0" ref="H8">
      <text>
        <t xml:space="preserve">$125K CD @ 4.22% APR for 8 months starting July 3, 2025.
Yield = $125K x .0422 x (8/12 months) = $3517 added in March 3, 2026.</t>
      </text>
    </comment>
    <comment authorId="0" ref="T8">
      <text>
        <t xml:space="preserve">$125K CD @ 4.22% APR for 8 months starting July 3, 2025.
Yield = $125K x .0422 x (8/12 months) = $3517 added on March 3, 2026.
Assume rollover in 2026.
This can be collateral for a bank  Line of Credit.</t>
      </text>
    </comment>
    <comment authorId="0" ref="U8">
      <text>
        <t xml:space="preserve">As of 4-27-26.
Interest rolled over.</t>
      </text>
    </comment>
    <comment authorId="0" ref="V8">
      <text>
        <t xml:space="preserve">As of 4-27-26.
Interest rolled over.</t>
      </text>
    </comment>
    <comment authorId="0" ref="A9">
      <text>
        <t xml:space="preserve">This is the current reserve account balance which includes surplus Operating cash from the previous month, Reserve Account,  and Investments.
Cash surplus carried over from previous month. Based on actual bank and investment cash balances entered on the first day of each month.</t>
      </text>
    </comment>
    <comment authorId="0" ref="Q9">
      <text>
        <t xml:space="preserve">This is the current reserve account balance which includes surplus Operating cash from the previous month, Reserve Account,  and Investments.
Cash surplus carried over from previous month. Based on actual bank and investment cash balances entered on the first day of each month.</t>
      </text>
    </comment>
    <comment authorId="0" ref="AG9">
      <text>
        <t xml:space="preserve">This is the current reserve account balance which includes surplus Operating cash from the previous month, Reserve Account,  and Investments.
Cash surplus carried over from previous month. Based on actual bank and investment cash balances entered on the first day of each month.</t>
      </text>
    </comment>
    <comment authorId="0" ref="AU9">
      <text>
        <t xml:space="preserve">This is the current reserve account balance which includes surplus Operating cash from the previous month, Reserve Account,  and Investments.
Cash surplus carried over from previous month. Based on actual bank and investment cash balances entered on the first day of each month.</t>
      </text>
    </comment>
    <comment authorId="0" ref="BI9">
      <text>
        <t xml:space="preserve">This is the current reserve account balance which includes surplus Operating cash from the previous month, Reserve Account,  and Investments.
Cash surplus carried over from previous month. Based on actual bank and investment cash balances entered on the first day of each month.</t>
      </text>
    </comment>
    <comment authorId="0" ref="BW9">
      <text>
        <t xml:space="preserve">This is the current reserve account balance which includes surplus Operating cash from the previous month, Reserve Account,  and Investments.
Cash surplus carried over from previous month. Based on actual bank and investment cash balances entered on the first day of each month.</t>
      </text>
    </comment>
    <comment authorId="0" ref="A11">
      <text>
        <t xml:space="preserve">Depends on interest rate for Reserve Account total. In 2025 it's a rediculous .004%.</t>
      </text>
    </comment>
    <comment authorId="0" ref="B11">
      <text>
        <t xml:space="preserve">Bank Stmt.
</t>
      </text>
    </comment>
    <comment authorId="0" ref="C11">
      <text>
        <t xml:space="preserve">Bank Stmt.</t>
      </text>
    </comment>
    <comment authorId="0" ref="D11">
      <text>
        <t xml:space="preserve">Bank Stmt.</t>
      </text>
    </comment>
    <comment authorId="0" ref="E11">
      <text>
        <t xml:space="preserve">= Reserve Account balance x .004% Interest Income Rate on Reserve Account. </t>
      </text>
    </comment>
    <comment authorId="0" ref="F11">
      <text>
        <t xml:space="preserve">May 2025 Income Statement.</t>
      </text>
    </comment>
    <comment authorId="0" ref="G11">
      <text>
        <t xml:space="preserve">Bank Stmt	06/30/2025		INTEREST PAID		24.08
</t>
      </text>
    </comment>
    <comment authorId="0" ref="H11">
      <text>
        <t xml:space="preserve">Bank Stmt	07/31/2025		INTEREST PAID		685.62
</t>
      </text>
    </comment>
    <comment authorId="0" ref="I11">
      <text>
        <t xml:space="preserve">= Reserve Account balance x 2.25% Interest Income Rate. </t>
      </text>
    </comment>
    <comment authorId="0" ref="J11">
      <text>
        <t xml:space="preserve">9-30-25 Reserve Account Interest.</t>
      </text>
    </comment>
    <comment authorId="0" ref="K11">
      <text>
        <t xml:space="preserve">10-31-25 Reserve Account Interest.</t>
      </text>
    </comment>
    <comment authorId="0" ref="L11">
      <text>
        <t xml:space="preserve">11-30-25 Reserve Account Interest.</t>
      </text>
    </comment>
    <comment authorId="0" ref="M11">
      <text>
        <t xml:space="preserve">= Reserve Account balance x 2.25% Interest Income Rate. </t>
      </text>
    </comment>
    <comment authorId="0" ref="R11">
      <text>
        <t xml:space="preserve">Bank Stmt.</t>
      </text>
    </comment>
    <comment authorId="0" ref="S11">
      <text>
        <t xml:space="preserve">Bank Stmt.</t>
      </text>
    </comment>
    <comment authorId="0" ref="T11">
      <text>
        <t xml:space="preserve">= Reserve Account balance x 2.00% Interest Income Rate + $3,751 interest from Investment account CD.
Rolled over to 2026.</t>
      </text>
    </comment>
    <comment authorId="0" ref="U11">
      <text>
        <t xml:space="preserve">= Reserve Account balance x 2.00% Interest Income Rate. </t>
      </text>
    </comment>
    <comment authorId="0" ref="V11">
      <text>
        <t xml:space="preserve">= Reserve Account balance x 2.00% Interest Income Rate. </t>
      </text>
    </comment>
    <comment authorId="0" ref="W11">
      <text>
        <t xml:space="preserve">= Reserve Account balance x 2.00% Interest Income Rate. </t>
      </text>
    </comment>
    <comment authorId="0" ref="X11">
      <text>
        <t xml:space="preserve">= Reserve Account balance x 2.00% Interest Income Rate. </t>
      </text>
    </comment>
    <comment authorId="0" ref="Y11">
      <text>
        <t xml:space="preserve">= Reserve Account balance x 2.00% Interest Income Rate. </t>
      </text>
    </comment>
    <comment authorId="0" ref="Z11">
      <text>
        <t xml:space="preserve">= Reserve Account balance x 2.00% Interest Income Rate. </t>
      </text>
    </comment>
    <comment authorId="0" ref="AA11">
      <text>
        <t xml:space="preserve">= Reserve Account balance x 2.00% Interest Income Rate. </t>
      </text>
    </comment>
    <comment authorId="0" ref="AB11">
      <text>
        <t xml:space="preserve">= Reserve Account balance x 2.00% Interest Income Rate. </t>
      </text>
    </comment>
    <comment authorId="0" ref="AC11">
      <text>
        <t xml:space="preserve">= Reserve Account balance x 2.00% Interest Income Rate. </t>
      </text>
    </comment>
    <comment authorId="0" ref="AH11">
      <text>
        <t xml:space="preserve">= Reserve Account balance x 2.8754% Interest Income Rate. </t>
      </text>
    </comment>
    <comment authorId="0" ref="AI11">
      <text>
        <t xml:space="preserve">= Reserve Account balance x 2.8754% Interest Income Rate. </t>
      </text>
    </comment>
    <comment authorId="0" ref="AJ11">
      <text>
        <t xml:space="preserve">= Reserve Account balance x 2.8754% Interest Income Rate. </t>
      </text>
    </comment>
    <comment authorId="0" ref="AK11">
      <text>
        <t xml:space="preserve">= Reserve Account balance x 2.8754% Interest Income Rate. </t>
      </text>
    </comment>
    <comment authorId="0" ref="AL11">
      <text>
        <t xml:space="preserve">= Reserve Account balance x 2.8754% Interest Income Rate. </t>
      </text>
    </comment>
    <comment authorId="0" ref="AM11">
      <text>
        <t xml:space="preserve">= Reserve Account balance x 2.8754% Interest Income Rate. </t>
      </text>
    </comment>
    <comment authorId="0" ref="AN11">
      <text>
        <t xml:space="preserve">= Reserve Account balance x 2.8754% Interest Income Rate. </t>
      </text>
    </comment>
    <comment authorId="0" ref="AO11">
      <text>
        <t xml:space="preserve">= Reserve Account balance x 2.8754% Interest Income Rate. </t>
      </text>
    </comment>
    <comment authorId="0" ref="AP11">
      <text>
        <t xml:space="preserve">= Reserve Account balance x 2.8754% Interest Income Rate. </t>
      </text>
    </comment>
    <comment authorId="0" ref="AQ11">
      <text>
        <t xml:space="preserve">= Reserve Account balance x 2.8754% Interest Income Rate. </t>
      </text>
    </comment>
    <comment authorId="0" ref="AR11">
      <text>
        <t xml:space="preserve">= Reserve Account balance x 2.8754% Interest Income Rate. </t>
      </text>
    </comment>
    <comment authorId="0" ref="AS11">
      <text>
        <t xml:space="preserve">= Reserve Account balance x 2.8754% Interest Income Rate. </t>
      </text>
    </comment>
    <comment authorId="0" ref="AV11">
      <text>
        <t xml:space="preserve">= Reserve Account balance x 2.8754% Interest Income Rate. </t>
      </text>
    </comment>
    <comment authorId="0" ref="AW11">
      <text>
        <t xml:space="preserve">= Reserve Account balance x 2.8754% Interest Income Rate. </t>
      </text>
    </comment>
    <comment authorId="0" ref="AX11">
      <text>
        <t xml:space="preserve">= Reserve Account balance x 2.8754% Interest Income Rate. </t>
      </text>
    </comment>
    <comment authorId="0" ref="AY11">
      <text>
        <t xml:space="preserve">= Reserve Account balance x 2.8754% Interest Income Rate. </t>
      </text>
    </comment>
    <comment authorId="0" ref="AZ11">
      <text>
        <t xml:space="preserve">= Reserve Account balance x 2.8754% Interest Income Rate. </t>
      </text>
    </comment>
    <comment authorId="0" ref="BA11">
      <text>
        <t xml:space="preserve">= Reserve Account balance x 2.8754% Interest Income Rate. </t>
      </text>
    </comment>
    <comment authorId="0" ref="BB11">
      <text>
        <t xml:space="preserve">= Reserve Account balance x 2.8754% Interest Income Rate. </t>
      </text>
    </comment>
    <comment authorId="0" ref="BC11">
      <text>
        <t xml:space="preserve">= Reserve Account balance x 2.8754% Interest Income Rate. </t>
      </text>
    </comment>
    <comment authorId="0" ref="BD11">
      <text>
        <t xml:space="preserve">= Reserve Account balance x 2.8754% Interest Income Rate. </t>
      </text>
    </comment>
    <comment authorId="0" ref="BE11">
      <text>
        <t xml:space="preserve">= Reserve Account balance x 2.8754% Interest Income Rate. </t>
      </text>
    </comment>
    <comment authorId="0" ref="BF11">
      <text>
        <t xml:space="preserve">= Reserve Account balance x 2.8754% Interest Income Rate. </t>
      </text>
    </comment>
    <comment authorId="0" ref="BG11">
      <text>
        <t xml:space="preserve">= Reserve Account balance x 2.8754% Interest Income Rate. </t>
      </text>
    </comment>
    <comment authorId="0" ref="BJ11">
      <text>
        <t xml:space="preserve">= Reserve Account balance x 2.8754% Interest Income Rate. </t>
      </text>
    </comment>
    <comment authorId="0" ref="BK11">
      <text>
        <t xml:space="preserve">= Reserve Account balance x 2.8754% Interest Income Rate. </t>
      </text>
    </comment>
    <comment authorId="0" ref="BL11">
      <text>
        <t xml:space="preserve">= Reserve Account balance x 2.8754% Interest Income Rate. </t>
      </text>
    </comment>
    <comment authorId="0" ref="BM11">
      <text>
        <t xml:space="preserve">= Reserve Account balance x 2.8754% Interest Income Rate. </t>
      </text>
    </comment>
    <comment authorId="0" ref="BN11">
      <text>
        <t xml:space="preserve">= Reserve Account balance x 2.8754% Interest Income Rate. </t>
      </text>
    </comment>
    <comment authorId="0" ref="BO11">
      <text>
        <t xml:space="preserve">= Reserve Account balance x 2.8754% Interest Income Rate. </t>
      </text>
    </comment>
    <comment authorId="0" ref="BP11">
      <text>
        <t xml:space="preserve">= Reserve Account balance x 2.8754% Interest Income Rate. </t>
      </text>
    </comment>
    <comment authorId="0" ref="BQ11">
      <text>
        <t xml:space="preserve">= Reserve Account balance x 2.8754% Interest Income Rate. </t>
      </text>
    </comment>
    <comment authorId="0" ref="BR11">
      <text>
        <t xml:space="preserve">= Reserve Account balance x 2.8754% Interest Income Rate. </t>
      </text>
    </comment>
    <comment authorId="0" ref="BS11">
      <text>
        <t xml:space="preserve">= Reserve Account balance x 2.8754% Interest Income Rate. </t>
      </text>
    </comment>
    <comment authorId="0" ref="BT11">
      <text>
        <t xml:space="preserve">= Reserve Account balance x 2.8754% Interest Income Rate. </t>
      </text>
    </comment>
    <comment authorId="0" ref="BU11">
      <text>
        <t xml:space="preserve">= Reserve Account balance x 2.8754% Interest Income Rate. </t>
      </text>
    </comment>
    <comment authorId="0" ref="BX11">
      <text>
        <t xml:space="preserve">= Reserve Account balance x 2.8754% Interest Income Rate. </t>
      </text>
    </comment>
    <comment authorId="0" ref="BY11">
      <text>
        <t xml:space="preserve">= Reserve Account balance x 2.8754% Interest Income Rate. </t>
      </text>
    </comment>
    <comment authorId="0" ref="BZ11">
      <text>
        <t xml:space="preserve">= Reserve Account balance x 2.8754% Interest Income Rate. </t>
      </text>
    </comment>
    <comment authorId="0" ref="CA11">
      <text>
        <t xml:space="preserve">= Reserve Account balance x 2.8754% Interest Income Rate. </t>
      </text>
    </comment>
    <comment authorId="0" ref="CB11">
      <text>
        <t xml:space="preserve">= Reserve Account balance x 2.8754% Interest Income Rate. </t>
      </text>
    </comment>
    <comment authorId="0" ref="CC11">
      <text>
        <t xml:space="preserve">= Reserve Account balance x 2.8754% Interest Income Rate. </t>
      </text>
    </comment>
    <comment authorId="0" ref="CD11">
      <text>
        <t xml:space="preserve">= Reserve Account balance x 2.8754% Interest Income Rate. </t>
      </text>
    </comment>
    <comment authorId="0" ref="CE11">
      <text>
        <t xml:space="preserve">= Reserve Account balance x 2.8754% Interest Income Rate. </t>
      </text>
    </comment>
    <comment authorId="0" ref="CF11">
      <text>
        <t xml:space="preserve">= Reserve Account balance x 2.8754% Interest Income Rate. </t>
      </text>
    </comment>
    <comment authorId="0" ref="CG11">
      <text>
        <t xml:space="preserve">= Reserve Account balance x 2.8754% Interest Income Rate. </t>
      </text>
    </comment>
    <comment authorId="0" ref="CH11">
      <text>
        <t xml:space="preserve">= Reserve Account balance x 2.8754% Interest Income Rate. </t>
      </text>
    </comment>
    <comment authorId="0" ref="CI11">
      <text>
        <t xml:space="preserve">= Reserve Account balance x 2.8754% Interest Income Rate. </t>
      </text>
    </comment>
    <comment authorId="0" ref="CJ11">
      <text>
        <t xml:space="preserve">= Reserve Account balance x 2.8754% Interest Income Rate. </t>
      </text>
    </comment>
    <comment authorId="0" ref="CK11">
      <text>
        <t xml:space="preserve">= Reserve Account balance x 2.8754% Interest Income Rate. </t>
      </text>
    </comment>
    <comment authorId="0" ref="CL11">
      <text>
        <t xml:space="preserve">= Reserve Account balance x 2.8754% Interest Income Rate. </t>
      </text>
    </comment>
    <comment authorId="0" ref="CM11">
      <text>
        <t xml:space="preserve">= Reserve Account balance x 2.8754% Interest Income Rate. </t>
      </text>
    </comment>
    <comment authorId="0" ref="CN11">
      <text>
        <t xml:space="preserve">= Reserve Account balance x 2.8754% Interest Income Rate. </t>
      </text>
    </comment>
    <comment authorId="0" ref="CO11">
      <text>
        <t xml:space="preserve">= Reserve Account balance x 2.8754% Interest Income Rate. </t>
      </text>
    </comment>
    <comment authorId="0" ref="CP11">
      <text>
        <t xml:space="preserve">= Reserve Account balance x 2.8754% Interest Income Rate. </t>
      </text>
    </comment>
    <comment authorId="0" ref="CQ11">
      <text>
        <t xml:space="preserve">= Reserve Account balance x 2.8754% Interest Income Rate. </t>
      </text>
    </comment>
    <comment authorId="0" ref="CR11">
      <text>
        <t xml:space="preserve">= Reserve Account balance x 2.8754% Interest Income Rate. </t>
      </text>
    </comment>
    <comment authorId="0" ref="CS11">
      <text>
        <t xml:space="preserve">= Reserve Account balance x 2.8754% Interest Income Rate. </t>
      </text>
    </comment>
    <comment authorId="0" ref="CT11">
      <text>
        <t xml:space="preserve">= Reserve Account balance x 2.8754% Interest Income Rate. </t>
      </text>
    </comment>
    <comment authorId="0" ref="CU11">
      <text>
        <t xml:space="preserve">= Reserve Account balance x 2.8754% Interest Income Rate. </t>
      </text>
    </comment>
    <comment authorId="0" ref="CV11">
      <text>
        <t xml:space="preserve">= Reserve Account balance x 2.8754% Interest Income Rate. </t>
      </text>
    </comment>
    <comment authorId="0" ref="CW11">
      <text>
        <t xml:space="preserve">= Reserve Account balance x 2.8754% Interest Income Rate. </t>
      </text>
    </comment>
    <comment authorId="0" ref="CX11">
      <text>
        <t xml:space="preserve">= Reserve Account balance x 2.8754% Interest Income Rate. </t>
      </text>
    </comment>
    <comment authorId="0" ref="A12">
      <text>
        <t xml:space="preserve">INCLUDES ALL CASH INCOME EXCEPT INTEREST BECAUSE BANK DEPOSITS DO NOT SHOW SEPARATE LINE ITEMS OR PAYERS.
=(138 RP Units) X (Monthly Assessment). This is an average. Actual amounts are higher at the beginning of the year because some owners pay for multiple months.</t>
      </text>
    </comment>
    <comment authorId="0" ref="B12">
      <text>
        <t xml:space="preserve">Bank Stmt.
$254810
- $800 CHARGEBACK ITEM
This does not include approx $60,000 from owners for 2025 paid on Dec 31, 2024. This amount would be included in the Beginning Balance Jan 1, 2025.</t>
      </text>
    </comment>
    <comment authorId="0" ref="C12">
      <text>
        <t xml:space="preserve">Bank Stmt.
$99680
- $800 CHARGEBACK ITEM
</t>
      </text>
    </comment>
    <comment authorId="0" ref="D12">
      <text>
        <t xml:space="preserve">Bank Stmt.
$103833
- $325 CHARGEBACK ITEM
- $2,500 HOA Apartment Rent</t>
      </text>
    </comment>
    <comment authorId="0" ref="E12">
      <text>
        <t xml:space="preserve">Bank Record.
95233
- $2,500 HOA Apartment Rent</t>
      </text>
    </comment>
    <comment authorId="0" ref="F12">
      <text>
        <t xml:space="preserve">Bank Stmt 
86735
875/7/2025		CHARGEBACK ITEM	-800
- $2,500 HOA Apartment Rent
</t>
      </text>
    </comment>
    <comment authorId="0" ref="G12">
      <text>
        <t xml:space="preserve">Bank Stmt
90600
- $2,500 HOA Apartment Rent
March 19, 2025 Executive Board minutes said that 7 owners had not paid "anything at all" this year. Board discussion was about assessments.
</t>
      </text>
    </comment>
    <comment authorId="0" ref="H12">
      <text>
        <t xml:space="preserve">Bank Stmt.
87796
- $2,500 HOA Apartment Rent</t>
      </text>
    </comment>
    <comment authorId="0" ref="I12">
      <text>
        <t xml:space="preserve">As of 8-22-25, 5 owners have not paid the special assessment = 5 x $800 x first 7 mos = $28,000. Some owners pay quarterly, so remaining months may catch up.
To compute the projected amount expected for each of the remaining months in 2025, the approx shortfall from delinquent owners is subtracted from the Budgeted Total minus total collected thru July, minus delinquent owner shortfall: $1,324,800 Budgeted
- $863,462 collected thru July
- $28,000 owner shortfall
/5 months remianing in 2025
= $86,668 average expected each month for the reaminder of 2025.</t>
      </text>
    </comment>
    <comment authorId="0" ref="J12">
      <text>
        <t xml:space="preserve">Bank stmt</t>
      </text>
    </comment>
    <comment authorId="0" ref="K12">
      <text>
        <t xml:space="preserve">Bank Stmt.</t>
      </text>
    </comment>
    <comment authorId="0" ref="L12">
      <text>
        <t xml:space="preserve">Bank Stmt</t>
      </text>
    </comment>
    <comment authorId="0" ref="M12">
      <text>
        <t xml:space="preserve">As of 8-22-25, 5 owners have not paid the special assessment = 5 x $800 x first 7 mos = $28,000. Some owners pay quarterly, so remaining months may catch up.
To compute the projected amount expected for each of the remaining months in 2025, the approx shortfall from delinquent owners is subtracted from the Budgeted Total minus total collected thru July, minus delinquent owner shortfall: ($1,324,800 - $863,462 - $28,000)/5 months = $86,668 average expected each month for the reaminder of 2025.</t>
      </text>
    </comment>
    <comment authorId="0" ref="P12">
      <text>
        <t xml:space="preserve">Includes approx $60,000 from owners deposited in late Dec 2025.</t>
      </text>
    </comment>
    <comment authorId="0" ref="Q12">
      <text>
        <t xml:space="preserve">Actual amounts are higher at the beginning of the year because some owners pay for multiple months.
=(138 RP Units) X (Monthly Assessment).</t>
      </text>
    </comment>
    <comment authorId="0" ref="T12">
      <text>
        <t xml:space="preserve">Adjust this formula each month.
</t>
      </text>
    </comment>
    <comment authorId="0" ref="A13">
      <text>
        <t xml:space="preserve">Bldg 505 Apartment Rent.</t>
      </text>
    </comment>
    <comment authorId="0" ref="B13">
      <text>
        <t xml:space="preserve">Not identified in bank deposits.
Included in Line 12.</t>
      </text>
    </comment>
    <comment authorId="0" ref="D13">
      <text>
        <t xml:space="preserve">Not identified in bank deposits.
HOA apartment renters paid fees tin February. Assume they strated paying rent also.</t>
      </text>
    </comment>
    <comment authorId="0" ref="E13">
      <text>
        <t xml:space="preserve">Not identified in bank deposits.
HOA apartment renters paid fees tin February. Assume they strated paying rent also.</t>
      </text>
    </comment>
    <comment authorId="0" ref="F13">
      <text>
        <t xml:space="preserve">Not identified in bank deposits.
HOA apartment renters paid fees tin February. Assume they strated paying rent also.</t>
      </text>
    </comment>
    <comment authorId="0" ref="G13">
      <text>
        <t xml:space="preserve">Not identified in bank deposits.
HOA apartment renters paid fees tin February. Assume they strated paying rent also.</t>
      </text>
    </comment>
    <comment authorId="0" ref="H13">
      <text>
        <t xml:space="preserve">Not identified in bank deposits.
HOA apartment renters paid fees tin February. Assume they strated paying rent also.</t>
      </text>
    </comment>
    <comment authorId="0" ref="I13">
      <text>
        <t xml:space="preserve">Not identified in bank deposits.
HOA apartment renters paid fees tin February. Assume they strated paying rent also.</t>
      </text>
    </comment>
    <comment authorId="0" ref="J13">
      <text>
        <t xml:space="preserve">Not identified in bank deposits.
HOA apartment renters paid fees tin February. Assume they strated paying rent also.</t>
      </text>
    </comment>
    <comment authorId="0" ref="K13">
      <text>
        <t xml:space="preserve">Not identified in bank deposits.
HOA apartment renters paid fees tin February. Assume they strated paying rent also.</t>
      </text>
    </comment>
    <comment authorId="0" ref="L13">
      <text>
        <t xml:space="preserve">Not identified in bank deposits.
HOA apartment renters paid fees tin February. Assume they strated paying rent also.</t>
      </text>
    </comment>
    <comment authorId="0" ref="M13">
      <text>
        <t xml:space="preserve">Not identified in bank deposits.
HOA apartment renters paid fees tin February. Assume they strated paying rent also.</t>
      </text>
    </comment>
    <comment authorId="0" ref="Q13">
      <text>
        <t xml:space="preserve">Bldg 505 Apartment Rent.</t>
      </text>
    </comment>
    <comment authorId="0" ref="B14">
      <text>
        <t xml:space="preserve">Not identified in bank deposits.</t>
      </text>
    </comment>
    <comment authorId="0" ref="C14">
      <text>
        <t xml:space="preserve">Not identified in bank deposits.</t>
      </text>
    </comment>
    <comment authorId="0" ref="D14">
      <text>
        <t xml:space="preserve">Not identified in bank deposits.</t>
      </text>
    </comment>
    <comment authorId="0" ref="E14">
      <text>
        <t xml:space="preserve">Not identified in bank deposits.</t>
      </text>
    </comment>
    <comment authorId="0" ref="F14">
      <text>
        <t xml:space="preserve">Not identified in bank deposits.
Included in Line 12.</t>
      </text>
    </comment>
    <comment authorId="0" ref="G14">
      <text>
        <t xml:space="preserve">Not identified in bank deposits.
Included in Line 12.</t>
      </text>
    </comment>
    <comment authorId="0" ref="H14">
      <text>
        <t xml:space="preserve">Not identified in bank deposits.
Included in Line 12.</t>
      </text>
    </comment>
    <comment authorId="0" ref="I14">
      <text>
        <t xml:space="preserve">Not identified in bank deposits.
Included in Line 12.</t>
      </text>
    </comment>
    <comment authorId="0" ref="J14">
      <text>
        <t xml:space="preserve">Not identified in bank deposits.
Included in Line 12.</t>
      </text>
    </comment>
    <comment authorId="0" ref="K14">
      <text>
        <t xml:space="preserve">Not identified in bank deposits.
Included in Line 12.</t>
      </text>
    </comment>
    <comment authorId="0" ref="L14">
      <text>
        <t xml:space="preserve">Not identified in bank deposits.
Included in Line 12.</t>
      </text>
    </comment>
    <comment authorId="0" ref="M14">
      <text>
        <t xml:space="preserve">Not identified in bank deposits.
Included in Line 12.</t>
      </text>
    </comment>
    <comment authorId="0" ref="B15">
      <text>
        <t xml:space="preserve">Not identified in bank deposits.</t>
      </text>
    </comment>
    <comment authorId="0" ref="C15">
      <text>
        <t xml:space="preserve">Not identified in bank deposits.</t>
      </text>
    </comment>
    <comment authorId="0" ref="D15">
      <text>
        <t xml:space="preserve">Not identified in bank deposits.</t>
      </text>
    </comment>
    <comment authorId="0" ref="E15">
      <text>
        <t xml:space="preserve">Not identified in bank deposits.</t>
      </text>
    </comment>
    <comment authorId="0" ref="F15">
      <text>
        <t xml:space="preserve">Not identified in bank deposits.
Included in Line 12.</t>
      </text>
    </comment>
    <comment authorId="0" ref="G15">
      <text>
        <t xml:space="preserve">Not identified in bank deposits.
Included in Line 12.</t>
      </text>
    </comment>
    <comment authorId="0" ref="H15">
      <text>
        <t xml:space="preserve">Card Refund.</t>
      </text>
    </comment>
    <comment authorId="0" ref="I15">
      <text>
        <t xml:space="preserve">Not identified in bank deposits.
Included in Line 12.</t>
      </text>
    </comment>
    <comment authorId="0" ref="J15">
      <text>
        <t xml:space="preserve">Not identified in bank deposits.
Included in Line 12.</t>
      </text>
    </comment>
    <comment authorId="0" ref="K15">
      <text>
        <t xml:space="preserve">Not identified in bank deposits.
Included in Line 12.</t>
      </text>
    </comment>
    <comment authorId="0" ref="L15">
      <text>
        <t xml:space="preserve">Not identified in bank deposits.
Included in Line 12.</t>
      </text>
    </comment>
    <comment authorId="0" ref="M15">
      <text>
        <t xml:space="preserve">Not identified in bank deposits.
Included in Line 12.</t>
      </text>
    </comment>
    <comment authorId="0" ref="P16">
      <text>
        <t xml:space="preserve">Minus Interest Income, Line 7, already included.</t>
      </text>
    </comment>
    <comment authorId="0" ref="A19">
      <text>
        <t xml:space="preserve">Jim Dinkle financial statement compilation services.</t>
      </text>
    </comment>
    <comment authorId="0" ref="B19">
      <text>
        <t xml:space="preserve">Bank Stmt:
November 2024 Accounting Services James A. Dinkel, P.C.</t>
      </text>
    </comment>
    <comment authorId="0" ref="C19">
      <text>
        <t xml:space="preserve">Bank Stmt:
James A. Dinkel, P.C.  November 2024 Accounting Services  401.48</t>
      </text>
    </comment>
    <comment authorId="0" ref="D19">
      <text>
        <t xml:space="preserve">Bank Stmt:
James A. Dinkel, P.C.  2024 Tax Services  749.44
James A. Dinkel, P.C.  December 2024 Accounting Services  401.48
James A. Dinkel, P.C.  January 2025 Accounting Services  401.48
State of New Mexico  2024 Tax Payment  50
</t>
      </text>
    </comment>
    <comment authorId="0" ref="E19">
      <text>
        <t xml:space="preserve">Nothing in Bank Record</t>
      </text>
    </comment>
    <comment authorId="0" ref="F19">
      <text>
        <t xml:space="preserve">May 2025 Income Statement.
CHECK REGISTER:
15133	5/12/2025	James A. Dinkel, P.C.	Financial Management - Accounting	Accounting	$401.48 	March 2025 Accounting Services
</t>
      </text>
    </comment>
    <comment authorId="0" ref="G19">
      <text>
        <t xml:space="preserve">CHECK REGISTER:
15141	6/14/2025	James A. Dinkel, P.C.	Financial Management - Accounting	Accounting	$401.48 	April 2025 Accounting Services
</t>
      </text>
    </comment>
    <comment authorId="0" ref="H19">
      <text>
        <t xml:space="preserve">CHECK REGISTER:
15150	7/10/2025	James A. Dinkel, P.C.	Financial Management - Accounting	Accounting	$401.48 	May 2025 Accounting Services
</t>
      </text>
    </comment>
    <comment authorId="0" ref="I19">
      <text>
        <t xml:space="preserve">Check Register	15161	8/6/2025	James A. Dinkel, P.C.	June 2025 Accounting Services	$401.48 
</t>
      </text>
    </comment>
    <comment authorId="0" ref="J19">
      <text>
        <t xml:space="preserve">Check register 9/8/2025	James A. Dinkel, P.C.	Financial Management - Accounting	 $ 535.31 	July 2025 Accounting Services</t>
      </text>
    </comment>
    <comment authorId="0" ref="K19">
      <text>
        <t xml:space="preserve">Check Register	10/6/2025	$535.31 	James A. Dinkel, P.C.	August 2025 Accounting Services
</t>
      </text>
    </comment>
    <comment authorId="0" ref="Q19">
      <text>
        <t xml:space="preserve">Jim Dinkle financial statement compilation services.
+ PayHOA service.</t>
      </text>
    </comment>
    <comment authorId="0" ref="S19">
      <text>
        <t xml:space="preserve">Feb 12, 2026 PAYHOA.COM KY 02/12 9957 $142.00		142.00
</t>
      </text>
    </comment>
    <comment authorId="0" ref="A20">
      <text>
        <t xml:space="preserve">Community Association D&amp;O Insurance.
Farm Bureau Financial for property.</t>
      </text>
    </comment>
    <comment authorId="0" ref="B20">
      <text>
        <t xml:space="preserve">Farm Bureau Financial Services
</t>
      </text>
    </comment>
    <comment authorId="0" ref="C20">
      <text>
        <t xml:space="preserve">Farm Bureau Financial Services
</t>
      </text>
    </comment>
    <comment authorId="0" ref="D20">
      <text>
        <t xml:space="preserve">Bank Stmt:
$2,063.00 	Community Association D&amp;O Insurance
$4,876.53 Farm Bureau Financial Services
</t>
      </text>
    </comment>
    <comment authorId="0" ref="E20">
      <text>
        <t xml:space="preserve">4/15/2025	Bank Record	FBFS debitpmt FBFS PC Insurance Pmt #XXXXX2109	Farm Bureau Fin Svcs	 $4,875.17 
</t>
      </text>
    </comment>
    <comment authorId="0" ref="F20">
      <text>
        <t xml:space="preserve">FBFS property insurance premium increased 43% on May 12, 2025. This is the prorated amount for May.
Per event deductible increased from $50K to $200K.</t>
      </text>
    </comment>
    <comment authorId="0" ref="G20">
      <text>
        <t xml:space="preserve">FBFS property insurance premium increased 43% on May 12, 2025. This is the prorated amount for May.
Per event deductible increased from $50K to $200K.</t>
      </text>
    </comment>
    <comment authorId="0" ref="H20">
      <text>
        <t xml:space="preserve">CHECK REGISTER:
AutoPay	7/15/2025	Farm Bureau Financial Services	Professional Services - Insurance	Insurance	$6,977.00 	Facility Insurance</t>
      </text>
    </comment>
    <comment authorId="0" ref="I20">
      <text>
        <t xml:space="preserve">On 7/24/25 the RP president notified  Farm Bureau FS that the Board approved a $452.50 monthly premium increase in exchange for a $150K deductible.</t>
      </text>
    </comment>
    <comment authorId="0" ref="J20">
      <text>
        <t xml:space="preserve">09/15/2025		FBFS             debitpmt FBFS PC Insurance Pmt #XXXXX8597	7939.24
On 7/24/25 the RP president notified  Farm Bureau FS that the Board approved a $452.50 monthly premium increase in exchange for a $150K deductible.</t>
      </text>
    </comment>
    <comment authorId="0" ref="K20">
      <text>
        <t xml:space="preserve">On 7/24/25 the RP president notified  Farm Bureau FS that the Board approved a $452.50 monthly premium increase in exchange for a $150K deductible.</t>
      </text>
    </comment>
    <comment authorId="0" ref="L20">
      <text>
        <t xml:space="preserve">Bank Acct#3877	11/13/2025		FBFS PC Insurance P	7458.12
</t>
      </text>
    </comment>
    <comment authorId="0" ref="M20">
      <text>
        <t xml:space="preserve">Bank Acct#3877	12/13/2025		FBFS          $ 7458.12		
</t>
      </text>
    </comment>
    <comment authorId="0" ref="Q20">
      <text>
        <t xml:space="preserve">Community Association D&amp;O Insurance.
Farm Bureau Financial Services for property and general liability.</t>
      </text>
    </comment>
    <comment authorId="0" ref="T20">
      <text>
        <t xml:space="preserve">Property plus approx $2,000 Director &amp; Officer liability insurance premiums.</t>
      </text>
    </comment>
    <comment authorId="0" ref="A21">
      <text>
        <t xml:space="preserve">Mr. Donald Walcott, Santa Fe, NM.
2025 Budget, $10,000 averaged over 12 months.</t>
      </text>
    </comment>
    <comment authorId="0" ref="B21">
      <text>
        <t xml:space="preserve">1/2/2025	Bank Record	Walcott, Attorney	Professional Services	 $54.09 </t>
      </text>
    </comment>
    <comment authorId="0" ref="C21">
      <text>
        <t xml:space="preserve">Nothing in Bank Record</t>
      </text>
    </comment>
    <comment authorId="0" ref="D21">
      <text>
        <t xml:space="preserve">Nothing in Bank Record</t>
      </text>
    </comment>
    <comment authorId="0" ref="E21">
      <text>
        <t xml:space="preserve">Nothing in Bank Record</t>
      </text>
    </comment>
    <comment authorId="0" ref="F21">
      <text>
        <t xml:space="preserve">Nothing in Bank Record.
CHECK REGISTER:
DDA	5/16/2025	Office of Secretary of State	Maintenance &amp; Repairs - Professional Services	Pro Services	$11.95 	Annual report - officer changes
</t>
      </text>
    </comment>
    <comment authorId="0" ref="G21">
      <text>
        <t xml:space="preserve">Nothing in Bank Record</t>
      </text>
    </comment>
    <comment authorId="0" ref="H21">
      <text>
        <t xml:space="preserve">Nothing in Bank Record</t>
      </text>
    </comment>
    <comment authorId="0" ref="K21">
      <text>
        <t xml:space="preserve">Check Register	10/9/2025	$567.98 	Friedman, Walcott, Henry &amp; Winston, LLC	Legal Counsel
</t>
      </text>
    </comment>
    <comment authorId="0" ref="Q21">
      <text>
        <t xml:space="preserve">Mr. Donald Walcott, Santa Fe, NM.
2025 Budget, $10,000 averaged over 12 months.</t>
      </text>
    </comment>
    <comment authorId="0" ref="A24">
      <text>
        <t xml:space="preserve">2025 Budget, $1,265 averaged over 12 months.</t>
      </text>
    </comment>
    <comment authorId="0" ref="B24">
      <text>
        <t xml:space="preserve">Nothing in Check Register.</t>
      </text>
    </comment>
    <comment authorId="0" ref="C24">
      <text>
        <t xml:space="preserve">Nothing in Check Register.</t>
      </text>
    </comment>
    <comment authorId="0" ref="E24">
      <text>
        <t xml:space="preserve">4/11/2025	Bank Record	Peter Carson	Grounds Equiptment Reimbursemnt (I assume metal detector)	 $636.27 
</t>
      </text>
    </comment>
    <comment authorId="0" ref="G24">
      <text>
        <t xml:space="preserve">6/2/2025	15137	CHECK	32.12		Posted	Ricks Fickzit	Equipment Repair
</t>
      </text>
    </comment>
    <comment authorId="0" ref="H24">
      <text>
        <t xml:space="preserve">DDA	6/16/2025	Harbor Freight	Maintenance &amp; Repairs - Equipment	Equip Repair	$190.19 	Power Washer
</t>
      </text>
    </comment>
    <comment authorId="0" ref="I24">
      <text>
        <t xml:space="preserve">Check Register	15162	8/6/2025	Los Alamos Home Improvement	Maintenance Supplies for June and July	$527.60 
</t>
      </text>
    </comment>
    <comment authorId="0" ref="K24">
      <text>
        <t xml:space="preserve">Check Register	10/3/2025	$17.18 	Los Alamos Home Improvement	Maintenance Hardware
Check Register	10/9/2025	$845.85 	ND Construction Services LLC	Facility Cleaning Supplies</t>
      </text>
    </comment>
    <comment authorId="0" ref="Q24">
      <text>
        <t xml:space="preserve">2026 Budget, $1,969 averaged over 12 months.</t>
      </text>
    </comment>
    <comment authorId="0" ref="R24">
      <text>
        <t xml:space="preserve">Average costs based on previous year Projected total.</t>
      </text>
    </comment>
    <comment authorId="0" ref="A25">
      <text>
        <t xml:space="preserve">Jaquez Drywall contract.
Landscaping, mowing, debris cleanup, bush, and small tree removal. $3,756 per month. 
Janitorial?</t>
      </text>
    </comment>
    <comment authorId="0" ref="B25">
      <text>
        <t xml:space="preserve">Bank Stmt
</t>
      </text>
    </comment>
    <comment authorId="0" ref="C25">
      <text>
        <t xml:space="preserve">2/28/2025	Bank Record	Jaquez Drywall	Rental Unit Repairs &amp; Grounds Contract	 $3,756.00 
</t>
      </text>
    </comment>
    <comment authorId="0" ref="D25">
      <text>
        <t xml:space="preserve">3/3/2025	Bank Record	Jaquez Drywall	Grounds Contract Dec 2024 and Jan 2025	 $7,512.00 
3/24/2025	Bank Record	Jaquez Drywall	Grounds Contract	 $3,756.00 
</t>
      </text>
    </comment>
    <comment authorId="0" ref="E25">
      <text>
        <t xml:space="preserve">4/10/2025	Bank Record	Jaquez Drywall	Grounds Contract Mar 15-April 15	 $3,756.00 
</t>
      </text>
    </comment>
    <comment authorId="0" ref="G25">
      <text>
        <t xml:space="preserve">CHECK REGISTER:
13136	5/26/2025	Jaquez Drywall Co. Inc.	Maintenance &amp; Repairs - Grounds	Grounds Contract	$3,756.00 	April 15 - May 15 Grounds Contract
DDA	6/4/2025	Amazon Marketplace	Maintenance &amp; Repairs - Grounds	Grounds Contract	$28.90 	Traffic Signs
15142	6/14/2025	Jaquez Drywall Co. Inc.	Maintenance &amp; Repairs - Grounds	Grounds Contract	$3,756.00 	May 15 - June 15 Grounds Contract
</t>
      </text>
    </comment>
    <comment authorId="0" ref="H25">
      <text>
        <t xml:space="preserve">CHECK REGISTER:
15147	7/1/2025	Jaquez Drywall Co. Inc.	Maintenance &amp; Repairs - Grounds	Grounds Contract	$1,456.15 	Additional Cleanup and Shrub removal
15148	7/1/2025	Jaquez Drywall Co. Inc.	Maintenance &amp; Repairs - Grounds	Grounds Contract	$6,974.97 	Sprinkler Startup and Repairs
Bank Stmt	07/18/2025	15142	CHECK	3756.00
</t>
      </text>
    </comment>
    <comment authorId="0" ref="I25">
      <text>
        <t xml:space="preserve">Check Register	15170	8/15/2025	ND Construction Services LLC	Grounds Contract June 15 - August 1	$5,634.00 
</t>
      </text>
    </comment>
    <comment authorId="0" ref="J25">
      <text>
        <t xml:space="preserve">9/8/2025	ND Construction Services LLC	Maintenance &amp; Repairs - Grounds	 $ 1,199.18 	Carport cleanup and additional grounds cleanup</t>
      </text>
    </comment>
    <comment authorId="0" ref="K25">
      <text>
        <t xml:space="preserve">Check Register	10/3/2025	$3,748.00 	ND Construction Services LLC	August Grounds Cleaning Contract.
Check Register	10/6/2025	$3,748.00 	ND Construction Services LLC	September Grounds Cleaning Contract
Check Register	10/9/2025	$11,563.56 	ND Construction Services LLC	2025 Mowing Contract FOR 2025?
</t>
      </text>
    </comment>
    <comment authorId="0" ref="L25">
      <text>
        <t xml:space="preserve">No entries in Bank Stmt or Check Register.
</t>
      </text>
    </comment>
    <comment authorId="0" ref="M25">
      <text>
        <t xml:space="preserve">Continuation of former Jaquez Drywall Grounds Maintenance contract.
New contractor name?</t>
      </text>
    </comment>
    <comment authorId="0" ref="Q25">
      <text>
        <t xml:space="preserve">Landscaping, mowing, debris cleanup, bush, and small tree removal. $5,991 per month. 
Janitorial?</t>
      </text>
    </comment>
    <comment authorId="0" ref="R25">
      <text>
        <t xml:space="preserve">Average costs based on previous year Projected total.</t>
      </text>
    </comment>
    <comment authorId="0" ref="AH25">
      <text>
        <t xml:space="preserve">Average costs based on previous year Projected total.</t>
      </text>
    </comment>
    <comment authorId="0" ref="AV25">
      <text>
        <t xml:space="preserve">Average costs based on previous year Projected total.</t>
      </text>
    </comment>
    <comment authorId="0" ref="BJ25">
      <text>
        <t xml:space="preserve">Average costs based on previous year Projected total.</t>
      </text>
    </comment>
    <comment authorId="0" ref="A26">
      <text>
        <t xml:space="preserve">Unplanned expenses, emergency repairs, non-projects, mostly minor repairs for owners.
</t>
      </text>
    </comment>
    <comment authorId="0" ref="B26">
      <text>
        <t xml:space="preserve">1/6/2025	Bank Record	Jaquez Drywall	Maint. &amp; Repairs: Facility, Grounds &amp; Snow	 $16,538.00 
1/6/2025	Bank Record	Jaquez Drywall	Concrete Repairs Bld 2 &amp; by 1401	 $3,340.00 
</t>
      </text>
    </comment>
    <comment authorId="0" ref="C26">
      <text>
        <t xml:space="preserve">2/14/2025	Bank Record	Los Alamos Home Improvement	Facility Maint.	 $145.36 
2/18/2025	Bank Record	Metzgers	Maint. &amp; Repairs	 $110.23 
</t>
      </text>
    </comment>
    <comment authorId="0" ref="D26">
      <text>
        <t xml:space="preserve">3/3/2025	Bank Record	Jaquez Drywall	Final Payment Tree Removal	 $1,000.00 
3/3/2025	Bank Record	Jaquez Drywall	Building Supplies, 1203 &amp; 1204 Roofs	 $574.83 
3/10/2025	Bank Record	DDA PUR LOWE'S #25 LOWE'S #2556 SANTA FE NM   #7476		 $27.03 
3/17/2025	Bank Record	Los Alamos Home Improvement	Snow and Facilities Maint.	 $1,157.69 
3/19/2025	Bank Record	Metzgers	Snow and Facilities Maint.	 $1,644.67 
3/19/2025	Bank Record	Metzgers	Maint and Repairs	 $208.56 
3/24/2025	Bank Record	Jaquez Drywall	Repair Two Garage Roofs	 $5,730.39 
</t>
      </text>
    </comment>
    <comment authorId="0" ref="E26">
      <text>
        <t xml:space="preserve">4/10/2025	Bank Record	Jaquez Drywall	Snow and Repairs	 $10,275.72 
4/11/2025	Bank Record	DDA PUR THE HOME D THE HOME DEPOT #350 SANTA FE NM   #7476		 $20.38 
4/29/2025	Bank Record	DDA PUR LOWE'S #25 LOWE'S #2556 SANTA FE NM   #7476		 $48.66 
4/29/2025	Bank Record	DDA PUR THE HOME D THE HOME DEPOT #350 SANTA FE NM   #7476		 $117.44 
</t>
      </text>
    </comment>
    <comment authorId="0" ref="F26">
      <text>
        <t xml:space="preserve">CHECK REGISTER:
15131	5/12/2025	Los Alamos Home Improvement	Maintenance &amp; Repairs - Facility	Misc Repairs	$155.40 	Facility Repair Supplies	
15132	5/12/2025	Metzger's Hardware	Maintenance &amp; Repairs - Facility	Misc Repairs	$209.31 	Facility Repair Supplies	364.71
</t>
      </text>
    </comment>
    <comment authorId="0" ref="G26">
      <text>
        <t xml:space="preserve">CHECK REGISTER:
15140	6/14/2025	Metzger's Hardware	Maintenance &amp; Repairs - Facility	Misc Repairs		Supplies for Facility Repairs
DDA	6/16/2025	Lowes Home Improvement	Maintenance &amp; Repairs - Grounds	Misc Repairs	$138.60 	Paint &amp; Supplies/Striping Paint
</t>
      </text>
    </comment>
    <comment authorId="0" ref="H26">
      <text>
        <t xml:space="preserve">CHECK REGISTER:
15145	7/1/2025	Jaquez Drywall Co. Inc.	Maintenance &amp; Repairs - Facility	Misc Repairs	$8,419.74 	Roof Leak repairs Unit 506
15146	7/1/2025	Jaquez Drywall Co. Inc.	Maintenance &amp; Repairs - Facility	Misc Repairs	$1,825.54 	Faucet Water Leak repairs Unit 501
15152	7/28/2025	Los Alamos Home Improvement	Maintenance &amp; Repairs - Facility	Misc Repairs	$50.97 	Reissue of check 15126
15159	7/28/2025	Matthew Shepherd	Maintenance &amp; Repairs - Maintenance	Misc Repairs	$187.84 	Reimbuse Garage Door Opener- Water Damage
15153	7/28/2025	Metzger's Hardware	Maintenance &amp; Repairs - Facility	Misc Repairs	$212.74 	Reissue of check 15127
15160	7/31/2025	Jaquez Drywall Co. Inc.	Maintenance &amp; Repairs - Maintenance	Misc Repairs	$1,972.22 	Plumbing Repair/Replace Urinal in Clubhouse
</t>
      </text>
    </comment>
    <comment authorId="0" ref="I26">
      <text>
        <t xml:space="preserve">8/6/2025	Los Alamos Home Improvement	Maintenance &amp; Repairs - Facility	$527.60 	Maintenance Supplies for June and July
8/6/2025	Los Alamos Property Management	Maintenance &amp; Repairs - Facility	$251.65 	Property Management, Bldg 9 repairs
8/15/2025	ND Construction Services LLC	Maintenance &amp; Repairs - Maintenance	$1,972.22 	Plumbing Repair/Replace Urinal in Clubhouse
8/25/25	15159	CHECK Reimbuirse Garge Door Opener- Water Damage	 187.84		
</t>
      </text>
    </comment>
    <comment authorId="0" ref="J26">
      <text>
        <t xml:space="preserve">Check register
9/8/2025	Metzger's Hardware	Maintenance &amp; Repairs - Facility	 $ 166.32 	Facility Repair Supplies
9/8/2025	Matthew Shepherd	Maintenance &amp; Repairs - Facility	 $ 1,414.82 	Reimbuse Drywall Repair - Water Damage
9/8/2025	Gene Parlatore	Maintenance &amp; Repairs - Facility	 $ 9,046.37 	Reimburse Floor Replacement - Water Damage
9/8/2025	Fire Safety Services, Inc.	Maintenance &amp; Repairs - Facility	 $ 658.43 	Extinguisher Annual Inspection
9/8/2025	BSN Santa Fe Enterprise, Inc./Indepth Water	Maintenance &amp; Repairs - Facility	 $ 2,559.66 	Water Sampling and Testing</t>
      </text>
    </comment>
    <comment authorId="0" ref="K26">
      <text>
        <t xml:space="preserve">Check Register	10/24/2025	$8,858.70 	Sierra Vista Electric &amp; Builders, Inc.	Electrical Repairs, Rental Unit, Clubhouse, Bldg 4
Check Register	10/24/2025	$2,323.42 	Sierra Vista Electric &amp; Builders, Inc.	Electrical Repairs Parking
Check Register	11/5/2025	$3,747.19 	Santa Fe Asphalt, LLC	Repair Concrete and Asphalt by Bldgs 11 and 12
</t>
      </text>
    </comment>
    <comment authorId="0" ref="L26">
      <text>
        <t xml:space="preserve">Feb to Jul. average total divided by remaining 6 months. $18,600 TLC is one-time cost.</t>
      </text>
    </comment>
    <comment authorId="0" ref="M26">
      <text>
        <t xml:space="preserve">Feb to Jul. average total divided by remaining 6 months. $18,600 TLC is one-time cost.</t>
      </text>
    </comment>
    <comment authorId="0" ref="Q26">
      <text>
        <t xml:space="preserve">Unplanned expenses, emergency repairs, non-projects, inspections, mostly minor repairs.
4-27-26 RP Workshop:
For 2026 only:
Replace 7 windows: $6,745
Replace Trash enclosures: $500
Recurring Costs tracked by Office management:
Every Year:
Inspect all Water valves and lines:  $1,756
Every 2 Years:
Inspect Sewers: $4,097
Every 3 Years:
Restripe Parking lots: $4,115
Cleanout Sewer lateral line: $5,000
Engineer Report: $1,082
Inspect Breaker Boxes: $14,000</t>
      </text>
    </comment>
    <comment authorId="0" ref="R26">
      <text>
        <t xml:space="preserve">Average costs based on first 8 months of 2025 costs.
$47927 / 8 months = 5991/ month.
</t>
      </text>
    </comment>
    <comment authorId="0" ref="AG26">
      <text>
        <t xml:space="preserve">Unplanned expenses, emergency repairs, non-projects, mostly minor repairs for owners.
Jaquez Drywall, equipment, supplies, snow
</t>
      </text>
    </comment>
    <comment authorId="0" ref="AU26">
      <text>
        <t xml:space="preserve">Unplanned expenses, emergency repairs, non-projects, mostly minor repairs for owners.
Jaquez Drywall, equipment, supplies, snow
</t>
      </text>
    </comment>
    <comment authorId="0" ref="BI26">
      <text>
        <t xml:space="preserve">Unplanned expenses, emergency repairs, non-projects, mostly minor repairs for owners.
Jaquez Drywall, equipment, supplies, snow
</t>
      </text>
    </comment>
    <comment authorId="0" ref="BW26">
      <text>
        <t xml:space="preserve">Unplanned expenses, emergency repairs, non-projects, mostly minor repairs for owners.
Jaquez Drywall, equipment, supplies, snow
</t>
      </text>
    </comment>
    <comment authorId="0" ref="A27">
      <text>
        <t xml:space="preserve">Repairs to Buildings, parking lots, streets.
Show as Total and breakout starting on Line 51.</t>
      </text>
    </comment>
    <comment authorId="0" ref="B27">
      <text>
        <t xml:space="preserve">1/6/2025	Bank Record	McPartlon Roofing	Roofing Repairs	 $27,685.02. Work done in 2024,
</t>
      </text>
    </comment>
    <comment authorId="0" ref="O27">
      <text>
        <t xml:space="preserve">The total for Facilties Maintenance Projects in the Board's 2025 Reserve Fund Plan actually adds up to $807,000 for the listed Planned Expenditures, not $742,000 as published by the Board.</t>
      </text>
    </comment>
    <comment authorId="0" ref="Q27">
      <text>
        <t xml:space="preserve">Repairs to Buildings, parking lots, streets.
Show as Total and breakout starting on Line 51.</t>
      </text>
    </comment>
    <comment authorId="0" ref="AG27">
      <text>
        <t xml:space="preserve">Repairs to Buildings, parking lots, streets.
Show as Total and breakout starting on Line 51.</t>
      </text>
    </comment>
    <comment authorId="0" ref="AU27">
      <text>
        <t xml:space="preserve">Repairs to Buildings, parking lots, streets.
Show as Total and breakout starting on Line 51.</t>
      </text>
    </comment>
    <comment authorId="0" ref="BI27">
      <text>
        <t xml:space="preserve">Repairs to Buildings, parking lots, streets.
Show as Total and breakout starting on Line 51.</t>
      </text>
    </comment>
    <comment authorId="0" ref="BW27">
      <text>
        <t xml:space="preserve">Repairs to Buildings, parking lots, streets.
Show as Total and breakout starting on Line 51.</t>
      </text>
    </comment>
    <comment authorId="0" ref="A28">
      <text>
        <t xml:space="preserve">Start-up and Maintenance.</t>
      </text>
    </comment>
    <comment authorId="0" ref="F28">
      <text>
        <t xml:space="preserve">CHECK REGISTER:
DDA	5/8/2025	Amazon Marketplace	Maintenance &amp; Repairs - Pool	$133.82 	Taylor Pool and Spa Test Kit
15134	5/12/2025	New Mexico Environment Department	Maintenance &amp; Repairs - Pool	$125.00 	Pool Operating Permit
DDA	5/14/2025	Walmart	Maintenance &amp; Repairs - Pool	$110.42 	Chlorine
DDA	5/28/2025	Amazon Marketplace	Maintenance &amp; Repairs - Pool	$19.08 	Main Drain Cover
DDA	5/30/2025	Amazon Marketplace	Maintenance &amp; Repairs - Pool	$18.88 	Emergency Shut Off Sign and Direction Arrows
15138	5/30/2025	Minnetonka Pool and Spa	Maintenance &amp; Repairs - Pool	$1,492.45 	chlorine wash and open pool for season
</t>
      </text>
    </comment>
    <comment authorId="0" ref="G28">
      <text>
        <t xml:space="preserve">CHECK REGISTER:
DDA	6/2/2025	Amazon Marketplace	Maintenance &amp; Repairs - Pool	Pool	$21.03 	CPR Sign for Pool
DDA	6/2/2025	Walmart	Maintenance &amp; Repairs - Pool	Pool	$92.01 	Chlorine
DDA	6/4/2025	Amazon Marketplace	Maintenance &amp; Repairs - Pool	Pool	$25.67 	Pool Signs
DDA	6/4/2025	Amazon Marketplace	Maintenance &amp; Repairs - Pool	Pool	$25.34 	Hayward Filter Pressure Guage
DDA	6/4/2025	Qualified Pool Operator	Maintenance &amp; Repairs - Pool	Pool	$405.70 	CPO Training
DDA	6/5/2025	Amazon Marketplace	Maintenance &amp; Repairs - Pool	Pool	$25.58 	Pool Signs
DDA	6/6/2025	Qualified Pool Operator	Maintenance &amp; Repairs - Pool	Pool	$405.70 	CPO Training
DDA	6/9/2025	Valentines Pool Supply	Maintenance &amp; Repairs - Pool	Pool	$206.04 	Fiberglass Safety Pole
DDA	6/16/2025	Dollar General	Maintenance &amp; Repairs - Pool	Pool	$17.12 	Large Clock
DDA	6/16/2025	Walmart	Maintenance &amp; Repairs - Pool	Pool	$92.44 	Chlorine/Pool Chemicals
DDA	6/26/2025	Lowes Home Improvement	Maintenance &amp; Repairs - Pool/Facility	Pool	$243.27 	Pool - $107.92 Supplies/Facility - $135.35 Ceiling Fan
DDA	6/30/2025	Lowes Home Improvement	Maintenance &amp; Repairs - Pool	Pool	$21.50 	Pool Supplies
</t>
      </text>
    </comment>
    <comment authorId="0" ref="H28">
      <text>
        <t xml:space="preserve">CHECK REGISTER:
DDA	7/2/2025	Territorial Lock &amp; Key	Maintenance &amp; Repairs - Pool	Pool	$135.40 	Pool Security Gate Keys (10)
DDA	7/2/2025	Walmart	Maintenance &amp; Repairs - Pool	Pool	$92.01 	Pool Chemicals
DDA	7/9/2025	Amazon Marketplace	Maintenance &amp; Repairs - Pool	Pool	$26.11 	Skimmer Socks
Bank Stmt	07/16/2025	15138	CHECK Chlorine Wash: Open Pool for the Season	1492.45
	</t>
      </text>
    </comment>
    <comment authorId="0" ref="J28">
      <text>
        <t xml:space="preserve">09/02/2025	15271	CHECK	535.59		Posted	30745.02	Office Salaries (Pool Staff)	
09/02/2025	15261	CHECK	350.69		Posted	31280.61	Office Salaries (Pool Staff)	TOTAL 886.28
</t>
      </text>
    </comment>
    <comment authorId="0" ref="L28">
      <text>
        <t xml:space="preserve">BankAcct#3877	11/26/2025	15198	711.16	Minnetonka Pool &amp; Spa - Maintenance &amp; Repairs - pool	
</t>
      </text>
    </comment>
    <comment authorId="0" ref="Q28">
      <text>
        <t xml:space="preserve">Start-up and Maintenance.</t>
      </text>
    </comment>
    <comment authorId="0" ref="A29">
      <text>
        <t xml:space="preserve">505 Building Apartment Maintenance.
2025 Budget, $1,500 averaged over 12 months.
</t>
      </text>
    </comment>
    <comment authorId="0" ref="B29">
      <text>
        <t xml:space="preserve">1/6/2025	Bank Record	Jaquez Drywall	Rental Unit Repairs: Water Leak Repairs, Bathroom, Cleaning	 $5,798.00 
</t>
      </text>
    </comment>
    <comment authorId="0" ref="C29">
      <text>
        <t xml:space="preserve">2/18/2025	Bank Record	Wallers Plumbing &amp; Heating	HOA Rental Unit Repairs	 $882.15 
2/28/2025	Bank Record	Jaquez Drywall	Rental Unit Repairs, Building Supplies	 $556.24 
</t>
      </text>
    </comment>
    <comment authorId="0" ref="D29">
      <text>
        <t xml:space="preserve">3/21/2025	Bank Record	Peter Carson	Microwave * Kitchen Light	 $287.60 
</t>
      </text>
    </comment>
    <comment authorId="0" ref="E29">
      <text>
        <t xml:space="preserve">Bank Stmt</t>
      </text>
    </comment>
    <comment authorId="0" ref="H29">
      <text>
        <t xml:space="preserve">CHECK REGISTERDDA	7/7/2025	Appliance Parts Pros	Maintenance &amp; Repairs - Rental Unit	Apt	$71.34 	Appliance Handle
</t>
      </text>
    </comment>
    <comment authorId="0" ref="Q29">
      <text>
        <t xml:space="preserve">505 Building Apartment Maintenance.
2026 Budget, $1,538 averaged over 12 months.
</t>
      </text>
    </comment>
    <comment authorId="0" ref="A30">
      <text>
        <t xml:space="preserve">Purchase pallet of Snow-Melt for $1,000 in January.</t>
      </text>
    </comment>
    <comment authorId="0" ref="B30">
      <text>
        <t xml:space="preserve">Bank Stmt</t>
      </text>
    </comment>
    <comment authorId="0" ref="C30">
      <text>
        <t xml:space="preserve">Bank Stmt</t>
      </text>
    </comment>
    <comment authorId="0" ref="D30">
      <text>
        <t xml:space="preserve">Bank Stmt:
$1,157.69 	Ice Melt , Facility Repair Supplies	Los Alamos Home Improvement
$1,644.67 	Ice Melt , Facility Repair Supplies	Metzger's Hardware
</t>
      </text>
    </comment>
    <comment authorId="0" ref="E30">
      <text>
        <t xml:space="preserve">4/10/2025	Bank Record	Jaquez Drywall	Snow Removal	 $10,275.72 </t>
      </text>
    </comment>
    <comment authorId="0" ref="Q30">
      <text>
        <t xml:space="preserve">4 months per year average.
Purchase pallet of Snow-Melt for $1,000 in January.</t>
      </text>
    </comment>
    <comment authorId="0" ref="A33">
      <text>
        <t xml:space="preserve">Includes Employer taxes.</t>
      </text>
    </comment>
    <comment authorId="0" ref="B33">
      <text>
        <t xml:space="preserve">1/6/2025	Bank Record	Denise Carlson		 $657.10 
1/8/2025	Bank Record	Constance Reynolds		 $136.52 
1/17/2025	Bank Record	Constance Reynolds		 $147.76 
1/21/2025	Bank Record	Denise Carlson		 $894.12 
1/31/2025	Bank Record	Constance Reynolds		 $295.52 
</t>
      </text>
    </comment>
    <comment authorId="0" ref="C33">
      <text>
        <t xml:space="preserve">2/10/2025	Bank Record	Denise Carlson		 $950.18 
2/18/2025	Bank Record	Constance Reynolds		 $277.05 
</t>
      </text>
    </comment>
    <comment authorId="0" ref="D33">
      <text>
        <t xml:space="preserve">3/3/2025	Bank Record	Denise Carlson		 $763.78 
3/3/2025	Bank Record	Denise Carlson		 $941.05 
3/4/2025	Bank Record	Constance Reynolds		 $380.94 
3/14/2025	Bank Record	Constance Reynolds		 $191.63 
3/17/2025	Bank Record	Denise Carlson		 $1,370.72 
3/31/2025	Bank Record	Denise Carlson		 $1,078.64 
</t>
      </text>
    </comment>
    <comment authorId="0" ref="E33">
      <text>
        <t xml:space="preserve">4/14/2025	Bank Record	Denise Carlson		 $995.57 </t>
      </text>
    </comment>
    <comment authorId="0" ref="F33">
      <text>
        <t xml:space="preserve">BANK STMT</t>
      </text>
    </comment>
    <comment authorId="0" ref="G33">
      <text>
        <t xml:space="preserve">BANK STMT</t>
      </text>
    </comment>
    <comment authorId="0" ref="H33">
      <text>
        <t xml:space="preserve">All Check # 152XX.
Bank Stmt	07/03/2025	15254	CHECK	722.87
Bank Stmt	07/01/2025	15255	CHECK	660.61
Bank Stmt	07/17/2025	15256	CHECK	221.64
Bank Stmt	07/02/2025	15257	CHECK	566.79
Bank Stmt	07/21/2025	15258	CHECK	1023.59
Bank Stmt	07/17/2025	15259	CHECK	397.10
Bank Stmt	07/17/2025	15260	CHECK	369.40
Bank Stmt	07/16/2025	15262	CHECK	236.64
Bank Stmt	08/01/2025	15263	CHECK	1178.08
Bank Stmt	07/29/2025	15264	CHECK	330.46
Bank Stmt	08/01/2025	15265	CHECK	441.28
Bank Stmt	08/04/2025	15266	CHECK	322.31
Bank Stmt	07/31/2025	15267	CHECK	327.01
Treasurer Rpt 8/26/25	15276	CHECK  	1113.40
Treasurer Rpt8/21/25	15268	CHECK  	912.48	</t>
      </text>
    </comment>
    <comment authorId="0" ref="I33">
      <text>
        <t xml:space="preserve">$37,447 Budget / 12 months.</t>
      </text>
    </comment>
    <comment authorId="0" ref="J33">
      <text>
        <t xml:space="preserve">$37,447 Budget / 12 months.</t>
      </text>
    </comment>
    <comment authorId="0" ref="K33">
      <text>
        <t xml:space="preserve">$37,447 Budget / 12 months.</t>
      </text>
    </comment>
    <comment authorId="0" ref="L33">
      <text>
        <t xml:space="preserve">Bnak Acct#3877	11/06/2025	15293		856.42		Payroll Denise
11/05/2025	15292	683.24		Posted	Payroll Ashley
11/25/2025	15294	856.42		Posted	Payroll Denise
11/19/2025	15295	CHECK	874.92		Posted	Payroll Ashley
</t>
      </text>
    </comment>
    <comment authorId="0" ref="A34">
      <text>
        <t xml:space="preserve">Special Budget Line:
These are unallocated cash expenses (debits) in the Bank Statement that cannot be matched to the Ridge Park Check Register.
A DDA, or Demand Deposit Account, is a type of bank account that allows for immediate access to funds, typically through withdrawals, transfers, or payments. (similar to a debit card). </t>
      </text>
    </comment>
    <comment authorId="0" ref="F34">
      <text>
        <t xml:space="preserve">BANK STMT</t>
      </text>
    </comment>
    <comment authorId="0" ref="G34">
      <text>
        <t xml:space="preserve">BANK STMT</t>
      </text>
    </comment>
    <comment authorId="0" ref="H34">
      <text>
        <t xml:space="preserve">Bank amounts not shown in Check register: 
Bank Stmt	07/28/2025	15139	CHECK	45.04
Bank Stmt	07/23/2025		DDA PUR LIGHTBULBS LIGHTBULBSURPLUS.CO 888-553-5655 FL   #7476	64.41
Bank Stmt	07/23/2025		DDA PUR WAL-MART # 3251 CERRILLOS RD SANTA FE NM   #7476	92.01
Bank Stmt	07/28/2025		DDA PUR LOWES #009 LOWES #00907* 866-483-7521 NC   #7476	138.94
Bank Stmt	07/23/2025		DDA PUR LOWE'S #25 LOWE'S #2556 SANTA FE NM   #7476	224.68
Bank Stmt	07/23/2025		CHARGEBACK ITEM	725.00
</t>
      </text>
    </comment>
    <comment authorId="0" ref="Q34">
      <text>
        <t xml:space="preserve">Special Budget Line:
These are unallocated cash expenses (debits) in the Bank Statement that cannot be matched to the Ridge Park Check Register.
A DDA, or Demand Deposit Account, is a type of bank account that allows for immediate access to funds, typically through withdrawals, transfers, or payments. (similar to a debit card). </t>
      </text>
    </comment>
    <comment authorId="0" ref="AG34">
      <text>
        <t xml:space="preserve">Special Budget Line:
These are unallocated cash expenses (debits) in the Bank Statement that cannot be matched to the Ridge Park Check Register.
A DDA, or Demand Deposit Account, is a type of bank account that allows for immediate access to funds, typically through withdrawals, transfers, or payments. (similar to a debit card). </t>
      </text>
    </comment>
    <comment authorId="0" ref="AU34">
      <text>
        <t xml:space="preserve">Special Budget Line:
These are unallocated cash expenses (debits) in the Bank Statement that cannot be matched to the Ridge Park Check Register.
A DDA, or Demand Deposit Account, is a type of bank account that allows for immediate access to funds, typically through withdrawals, transfers, or payments. (similar to a debit card). </t>
      </text>
    </comment>
    <comment authorId="0" ref="BI34">
      <text>
        <t xml:space="preserve">Special Budget Line:
These are unallocated cash expenses (debits) in the Bank Statement that cannot be matched to the Ridge Park Check Register.
A DDA, or Demand Deposit Account, is a type of bank account that allows for immediate access to funds, typically through withdrawals, transfers, or payments. (similar to a debit card). </t>
      </text>
    </comment>
    <comment authorId="0" ref="BW34">
      <text>
        <t xml:space="preserve">Special Budget Line:
These are unallocated cash expenses (debits) in the Bank Statement that cannot be matched to the Ridge Park Check Register.
A DDA, or Demand Deposit Account, is a type of bank account that allows for immediate access to funds, typically through withdrawals, transfers, or payments. (similar to a debit card). </t>
      </text>
    </comment>
    <comment authorId="0" ref="A35">
      <text>
        <t xml:space="preserve">Approx 8.52% of gross payroll plus inflation.
This Line includes all taxes paid.</t>
      </text>
    </comment>
    <comment authorId="0" ref="B35">
      <text>
        <t xml:space="preserve">1/15/2025	Bank Record	IRS USATAXPYMT RIDGE PARK LUXURY COND 270541554775154		 $457.06 
1/29/2025	Bank Record	TAX_REV_WWT_ECKS TRD PMNT RIDGE PARK LUXURY COND XXXXX1376		 $134.84 
1/31/2025	Bank Record	IRS  USATAXPYMT RIDGE PARK LUXURY COND 270543133964782		 $119.10 
</t>
      </text>
    </comment>
    <comment authorId="0" ref="C35">
      <text>
        <t xml:space="preserve">2/3/2025	Bank Record	STATE OF NM DWS  UI PAYMENT RIDGE PARK LUXURY COND 2483315		 $26.96 
2/18/2025	Bank Record	IRS USATAXPYMT RIDGE PARK LUXURY COND 270544970037613		 $659.44 
</t>
      </text>
    </comment>
    <comment authorId="0" ref="D35">
      <text>
        <t xml:space="preserve">3/17/2025	Bank Record	IRS USATAXPYMT RIDGE PARK LUXURY COND 270547634271669		 $495.96 
3/20/2025	Bank Record	New Mexico Taxation and Revenue Dept		 $50.00 
</t>
      </text>
    </comment>
    <comment authorId="0" ref="E35">
      <text>
        <t xml:space="preserve">4/15/2025	Bank Record	IRS USATAXPYMT RIDGE PARK LUXURY COND 270550513024135		 $681.84 
4/29/2025	Bank Record	TAX_REV_WWT_ECKS TRD PMNT RIDGE PARK LUXURY COND XXXXX5152		 $179.00 
</t>
      </text>
    </comment>
    <comment authorId="0" ref="F35">
      <text>
        <t xml:space="preserve">5/15/2025		IRS              USATAXPYMT RIDGE PARK LUXURY COND 270553533891983	242.94
5/1/2025		STATE OF NM DWS  UI PAYMENT RIDGE PARK LUXURY COND 2502617	30.98
</t>
      </text>
    </comment>
    <comment authorId="0" ref="G35">
      <text>
        <t xml:space="preserve">6/17/2025		IRS              USATAXPYMT RIDGE PARK LUXURY COND 270556843707454	788.08
</t>
      </text>
    </comment>
    <comment authorId="0" ref="H35">
      <text>
        <t xml:space="preserve">Bank Stmt	08/04/2025		TAX_REV_WKC_ECKS TRD PMNT RIDGE PARK LUXURY COND XXXXX9744	17.20
Bank Stmt	07/28/2025		TAX_REV_WWT_ECKS TRD PMNT RIDGE PARK LUXURY COND XXXXX1168	142.57
Bank Stmt	07/15/2025		IRS              USATAXPYMT RIDGE PARK LUXURY COND 270559635022622	791.14
</t>
      </text>
    </comment>
    <comment authorId="0" ref="J35">
      <text>
        <t xml:space="preserve">09/15/2025		IRS              USATAXPYMT RIDGE PARK LUXURY COND 992.90
</t>
      </text>
    </comment>
    <comment authorId="0" ref="M35">
      <text>
        <t xml:space="preserve">Bank Acct#3877	12/13/2025		IRS        USATAXPYMT  $649.12	payroll Taxes?
</t>
      </text>
    </comment>
    <comment authorId="0" ref="R35">
      <text>
        <t xml:space="preserve">Jan 15, 2026	IRS USATAXPYMT RIDGE PARK LUXURY C $1,028.44		1,028.44
Jan 27, 2026	TAX_REV_WWT_ECKS TRD PMNT RIDGE PARK LUXURY C $212.11		212.11
</t>
      </text>
    </comment>
    <comment authorId="0" ref="S35">
      <text>
        <t xml:space="preserve">Feb 02, 2026	IRS USATAXPYMT RIDGE PARK LUXURY C 148.26		148.26
Feb 17, 2026	IRS USATAXPYMT RIDGE PARK LUXURY C $686.86		686.86
Feb 02, 2026	STATE OF NM DWS UI PAYMENT RIDGE PARK LUXURY C 44.97		44.97
</t>
      </text>
    </comment>
    <comment authorId="0" ref="A38">
      <text>
        <t xml:space="preserve">Office.</t>
      </text>
    </comment>
    <comment authorId="0" ref="B38">
      <text>
        <t xml:space="preserve">1/17/2025	Bank Record	DDA PUR AMAZON MKT AMAZON MKTPL*Z58DY9 Amzn.com/bill WA   #7476		 $131.41 		
1/21/2025	Bank Record	DDA PUR AMAZON MKT AMAZON MKTPL*Z58FO1 Amzn.com/bill WA   #7476		 $42.80 		 $174.21 
</t>
      </text>
    </comment>
    <comment authorId="0" ref="C38">
      <text>
        <t xml:space="preserve">2/19/2025	Bank Record	The Waterman	Fitness Room Water	 $51.39 
2/27/2025	Bank Record	Aspen Copies and Office Supplies		 $120.11 
2/28/2025	Bank Record	DDA PUR AMAZON MKT AMAZON MKTPL*357SP4 Amzn.com/bill WA   #7476		 $87.08 
</t>
      </text>
    </comment>
    <comment authorId="0" ref="D38">
      <text>
        <t xml:space="preserve">3/21/2025	Bank Record	Peter Carson	Rekey Office	 $80.55 
3/21/2025	Bank Record	Peter Carson	Door Locks Ceiling Fan	 $123.20 
</t>
      </text>
    </comment>
    <comment authorId="0" ref="E38">
      <text>
        <t xml:space="preserve">Bank Stmt</t>
      </text>
    </comment>
    <comment authorId="0" ref="F38">
      <text>
        <t xml:space="preserve">Bank Stmt</t>
      </text>
    </comment>
    <comment authorId="0" ref="G38">
      <text>
        <t xml:space="preserve">CHECK REGISTER:
DDA	6/2/2025	Amazon Marketplace	Office Expenses - Office Supplies	Office Supplies	$100.64 	Canon Copier Toner Cartridge
15139	6/13/2025	Aspen Copies and Office Supplies	Office Expenses - Office Supplies	Office Supplies	$45.04 	Copies and office supplies
DDA	6/26/2025	Amazon Marketplace	Office Expenses - Office Supplies	Office Supplies	$17.11 	File Folders
</t>
      </text>
    </comment>
    <comment authorId="0" ref="H38">
      <text>
        <t xml:space="preserve">CHECK REGISTER:
DDA	7/2/2025	Amazon Marketplace	Maintenance &amp; Repairs - Facility	Office Supplies	$10.46 	Key set
15149	7/10/2025	The Water Man	Office Expenses - Office Supplies	Office Supplies	$26.77 	Bottled Water for Fitness Room
DDA	7/16/2025	Amazon Marketplace	Office Expenses - Office Supplies	Office Supplies	$46.04 	Bathroom Pull Paper Towels
</t>
      </text>
    </comment>
    <comment authorId="0" ref="I38">
      <text>
        <t xml:space="preserve">Check Register	15164	8/6/2025	The Water Man	Water for Fitness Room	$31.52 
Check Register	15167	8/6/2025	Aspen Copies and Office Supplies	Landscape committee copies	$11.05 
</t>
      </text>
    </comment>
    <comment authorId="0" ref="J38">
      <text>
        <t xml:space="preserve">Est $83 plus
9/8/2025	Aspen Copies and Office Supplies	Office Expenses - Office Supplies	 $ 11.78 	Landscape committee copies</t>
      </text>
    </comment>
    <comment authorId="0" ref="A39">
      <text>
        <t xml:space="preserve">US Mail: HOA Budget info and other materials to residents.</t>
      </text>
    </comment>
    <comment authorId="0" ref="B39">
      <text>
        <t xml:space="preserve">Nothing in Check Register.</t>
      </text>
    </comment>
    <comment authorId="0" ref="C39">
      <text>
        <t xml:space="preserve">Nothing in Check Register.</t>
      </text>
    </comment>
    <comment authorId="0" ref="D39">
      <text>
        <t xml:space="preserve">Bank Stmt</t>
      </text>
    </comment>
    <comment authorId="0" ref="E39">
      <text>
        <t xml:space="preserve">Bank Stmt</t>
      </text>
    </comment>
    <comment authorId="0" ref="F39">
      <text>
        <t xml:space="preserve">CHECK REGISTER.
</t>
      </text>
    </comment>
    <comment authorId="0" ref="G39">
      <text>
        <t xml:space="preserve">CHECK REGISTER.
</t>
      </text>
    </comment>
    <comment authorId="0" ref="H39">
      <text>
        <t xml:space="preserve">CHECK REGISTER.
</t>
      </text>
    </comment>
    <comment authorId="0" ref="S39">
      <text>
        <t xml:space="preserve">Feb 20, 2026	PIN USPS PO 3451450 LOS ALAMOS NM 02/20 9957 $78.00		78.00
</t>
      </text>
    </comment>
    <comment authorId="0" ref="A40">
      <text>
        <t xml:space="preserve">For possible staff trips to Santa Fe.</t>
      </text>
    </comment>
    <comment authorId="0" ref="B40">
      <text>
        <t xml:space="preserve">Nothing in Check Register.</t>
      </text>
    </comment>
    <comment authorId="0" ref="C40">
      <text>
        <t xml:space="preserve">Nothing in Check Register.</t>
      </text>
    </comment>
    <comment authorId="0" ref="D40">
      <text>
        <t xml:space="preserve">Bank Stmt</t>
      </text>
    </comment>
    <comment authorId="0" ref="E40">
      <text>
        <t xml:space="preserve">Bank Stmt</t>
      </text>
    </comment>
    <comment authorId="0" ref="F40">
      <text>
        <t xml:space="preserve">CHECK REGISTER.
</t>
      </text>
    </comment>
    <comment authorId="0" ref="G40">
      <text>
        <t xml:space="preserve">CHECK REGISTER.
</t>
      </text>
    </comment>
    <comment authorId="0" ref="H40">
      <text>
        <t xml:space="preserve">CHECK REGISTER.
</t>
      </text>
    </comment>
    <comment authorId="0" ref="A43">
      <text>
        <t xml:space="preserve">4.9% County increase on Oct 1, 2024.
2025 Budget, $153,395 averaged over 12 months.</t>
      </text>
    </comment>
    <comment authorId="0" ref="B43">
      <text>
        <t xml:space="preserve">Bank Stmt
</t>
      </text>
    </comment>
    <comment authorId="0" ref="C43">
      <text>
        <t xml:space="preserve">Bank Stmt</t>
      </text>
    </comment>
    <comment authorId="0" ref="D43">
      <text>
        <t xml:space="preserve">Bank Stmt</t>
      </text>
    </comment>
    <comment authorId="0" ref="E43">
      <text>
        <t xml:space="preserve">Bank Stmt</t>
      </text>
    </comment>
    <comment authorId="0" ref="F43">
      <text>
        <t xml:space="preserve">Bank Stmt</t>
      </text>
    </comment>
    <comment authorId="0" ref="G43">
      <text>
        <t xml:space="preserve">Bank Stmt</t>
      </text>
    </comment>
    <comment authorId="0" ref="H43">
      <text>
        <t xml:space="preserve">CHECK REGISTER:
AutoPay	7/11/2025	County of Los Alamos	Utilities - Gas, Water, Elect	Utilities	$12,374.77 	Utilities
</t>
      </text>
    </comment>
    <comment authorId="0" ref="J43">
      <text>
        <t xml:space="preserve">09/12/2025		LOS ALAMOS CNTY  UTILITY RIDGEPARK OFFICE 3002022			12982.96</t>
      </text>
    </comment>
    <comment authorId="0" ref="K43">
      <text>
        <t xml:space="preserve">Bank Acct#3877	10/10/2025		DEPARTMENT OF PU UTILITYRIDGEPARK B8 HSE 	$13337
</t>
      </text>
    </comment>
    <comment authorId="0" ref="L43">
      <text>
        <t xml:space="preserve">Bank Acct#3877	11/14/2025	11465025	LOS ALAMOS CNTY UTILITY RIDGEPARK CONDOMINI
</t>
      </text>
    </comment>
    <comment authorId="0" ref="M43">
      <text>
        <t xml:space="preserve">Bank Acct#3877	12/12/2025		LOS ALAMOS CNTY UTILITY RIDGEPARK</t>
      </text>
    </comment>
    <comment authorId="0" ref="A44">
      <text>
        <t xml:space="preserve">Bank Stmt</t>
      </text>
    </comment>
    <comment authorId="0" ref="B44">
      <text>
        <t xml:space="preserve">Bank Stmt
</t>
      </text>
    </comment>
    <comment authorId="0" ref="C44">
      <text>
        <t xml:space="preserve">Phone &amp; Internet	Comcast
from Check Register 
and Feb 28, 2025 Financial Stmt.
</t>
      </text>
    </comment>
    <comment authorId="0" ref="D44">
      <text>
        <t xml:space="preserve">Bank Stmt</t>
      </text>
    </comment>
    <comment authorId="0" ref="E44">
      <text>
        <t xml:space="preserve">Bank Stmt</t>
      </text>
    </comment>
    <comment authorId="0" ref="F44">
      <text>
        <t xml:space="preserve">Bank Stmt 5/5/2025	Comcast	Utilities - Telephone/Internet	$321.27 	Phone &amp; Internet
Check Register: 5/13/2025	Zoom	Utilities - Telephone/Internet	$171.20 	Zoom Meeting Subscription
</t>
      </text>
    </comment>
    <comment authorId="0" ref="G44">
      <text>
        <t xml:space="preserve">Bank Stmt</t>
      </text>
    </comment>
    <comment authorId="0" ref="H44">
      <text>
        <t xml:space="preserve">CHECK REGISTER:
DDA	7/3/2025	Comcast	Utilities - Telephone/Internet	Telecom	$321.30 	Phone &amp; Internet
</t>
      </text>
    </comment>
    <comment authorId="0" ref="J44">
      <text>
        <t xml:space="preserve">09/03/2025		DDA PUR COMCAST / COMCAST / XFINITY 800-266-2278 CO   #7476	322.27
</t>
      </text>
    </comment>
    <comment authorId="0" ref="R44">
      <text>
        <t xml:space="preserve">Jan 05, 2026	COMCAST / XFINITY 800-266-22 CO 01/03 9957 $354.12		354.12
</t>
      </text>
    </comment>
    <comment authorId="0" ref="S44">
      <text>
        <t xml:space="preserve">Feb 03, 2026	COMCAST / XFINITY 800-266-22 CO 02/03 9957 369.67		369.67
</t>
      </text>
    </comment>
    <comment authorId="0" ref="P46">
      <text>
        <t xml:space="preserve">This is under budget because of an addition error in the 2025 Budget.</t>
      </text>
    </comment>
    <comment authorId="0" ref="A47">
      <text>
        <t xml:space="preserve">Cash Surplus AFTER all expenses in this column are paid.
Need Board policy on the minimum end-of-year amount.</t>
      </text>
    </comment>
    <comment authorId="0" ref="A48">
      <text>
        <t xml:space="preserve">Need Board policy on funding options and priorites: Loans? Asset sale? Monthly dues increase? Special Assessment?
In what order?</t>
      </text>
    </comment>
    <comment authorId="0" ref="B48">
      <text>
        <t xml:space="preserve">$450 / unit Monthly Reserve Assessment.</t>
      </text>
    </comment>
    <comment authorId="0" ref="C48">
      <text>
        <t xml:space="preserve">$450 / unit Monthly Reserve Assessment.</t>
      </text>
    </comment>
    <comment authorId="0" ref="D48">
      <text>
        <t xml:space="preserve">$450 / unit Monthly Reserve Assessment.</t>
      </text>
    </comment>
    <comment authorId="0" ref="E48">
      <text>
        <t xml:space="preserve">$450 / unit Monthly Reserve Assessment.</t>
      </text>
    </comment>
    <comment authorId="0" ref="F48">
      <text>
        <t xml:space="preserve">$450 / unit Monthly Reserve Assessment.</t>
      </text>
    </comment>
    <comment authorId="0" ref="G48">
      <text>
        <t xml:space="preserve">$450 / unit Monthly Reserve Assessment.</t>
      </text>
    </comment>
    <comment authorId="0" ref="H48">
      <text>
        <t xml:space="preserve">$450 / unit Monthly Reserve Assessment.</t>
      </text>
    </comment>
    <comment authorId="0" ref="I48">
      <text>
        <t xml:space="preserve">$450 / unit Monthly Reserve Assessment.</t>
      </text>
    </comment>
    <comment authorId="0" ref="J48">
      <text>
        <t xml:space="preserve">$450 / unit Monthly Reserve Assessment.</t>
      </text>
    </comment>
    <comment authorId="0" ref="K48">
      <text>
        <t xml:space="preserve">$450 / unit Monthly Reserve Assessment.</t>
      </text>
    </comment>
    <comment authorId="0" ref="L48">
      <text>
        <t xml:space="preserve">$450 / unit Monthly Reserve Assessment.</t>
      </text>
    </comment>
    <comment authorId="0" ref="M48">
      <text>
        <t xml:space="preserve">$450 / unit Monthly Reserve Assessment.</t>
      </text>
    </comment>
    <comment authorId="0" ref="Q48">
      <text>
        <t xml:space="preserve">For extraordinary expenses other than capital improvements. Extraordinary means one-time fees charged to homeowners to cover unexpected or major repairs, improvements, or other costs not included in the regular HOA budget intended to be completed within the budget year.
If intended expenses are applicable to the same year as the special assessment, 2/3 of owners must approve.</t>
      </text>
    </comment>
    <comment authorId="0" ref="B49">
      <text>
        <t xml:space="preserve">$350 / unit Monthly General Assessment.</t>
      </text>
    </comment>
    <comment authorId="0" ref="C49">
      <text>
        <t xml:space="preserve">$350 / unit Monthly General Assessment.</t>
      </text>
    </comment>
    <comment authorId="0" ref="D49">
      <text>
        <t xml:space="preserve">$350 / unit Monthly General Assessment.</t>
      </text>
    </comment>
    <comment authorId="0" ref="E49">
      <text>
        <t xml:space="preserve">$350 / unit Monthly General Assessment.</t>
      </text>
    </comment>
    <comment authorId="0" ref="F49">
      <text>
        <t xml:space="preserve">$350 / unit Monthly General Assessment.</t>
      </text>
    </comment>
    <comment authorId="0" ref="G49">
      <text>
        <t xml:space="preserve">$350 / unit Monthly General Assessment.</t>
      </text>
    </comment>
    <comment authorId="0" ref="H49">
      <text>
        <t xml:space="preserve">$350 / unit Monthly General Assessment.</t>
      </text>
    </comment>
    <comment authorId="0" ref="I49">
      <text>
        <t xml:space="preserve">$350 / unit Monthly General Assessment.</t>
      </text>
    </comment>
    <comment authorId="0" ref="J49">
      <text>
        <t xml:space="preserve">$350 / unit Monthly General Assessment.</t>
      </text>
    </comment>
    <comment authorId="0" ref="K49">
      <text>
        <t xml:space="preserve">$350 / unit Monthly General Assessment.</t>
      </text>
    </comment>
    <comment authorId="0" ref="L49">
      <text>
        <t xml:space="preserve">$350 / unit Monthly General Assessment.</t>
      </text>
    </comment>
    <comment authorId="0" ref="M49">
      <text>
        <t xml:space="preserve">$350 / unit Monthly General Assessment.</t>
      </text>
    </comment>
    <comment authorId="0" ref="Q49">
      <text>
        <t xml:space="preserve">Possible Scenario of monthly assessment per owner unit.</t>
      </text>
    </comment>
    <comment authorId="0" ref="R49">
      <text>
        <t xml:space="preserve">Adopted 2026 Budget.</t>
      </text>
    </comment>
    <comment authorId="0" ref="Q50">
      <text>
        <t xml:space="preserve">New.
RP obtained a 3-year loan to complete Building 4 stucco in 2022.
A Line of Credit would give RP flexibility in spreading large unexpected costs. A CD would satisfy collateral requirements.
This would be subtracted from the  TOTAL CASH OUT line.</t>
      </text>
    </comment>
    <comment authorId="0" ref="BW51">
      <text>
        <t xml:space="preserve">How much Reserves do we need to maintain each year?
It depends on the cash needed to pay for large emergencies such as replacing all roofs from hail damage, which occurred once in the last 42 years. The maximum insurance deductible in 2026 for this emergency event is $435K. Therefore, RP should maintain at least $435K in 2026 dollars (round to $450K) as a Reserve at year-end starting in 2030.
Why not start sooner? Because, RP Budget Projects have overwhelmed the business management function. RP spent 65% of money assessed for projects in 2025. If the unplanned addition of the Leaf Filter project is subtracted, RP spent only 48% of the money on the original budgeted projects.
It may take a few years for RP to develop the business management function. Until then, collecting more money from owners will not narrow the gap between management capacity and project completion.
During the next 5 years, RP can "weather" the financial impact of a possible low probability storm emergency by spreading costs and other financing options.</t>
      </text>
    </comment>
    <comment authorId="0" ref="BX51">
      <text>
        <t xml:space="preserve">Construction and maintenance Inflation.</t>
      </text>
    </comment>
    <comment authorId="0" ref="Q52">
      <text>
        <t xml:space="preserve">This is the project schedule for the deferred maintenance of components/items to be repaired or replaced.</t>
      </text>
    </comment>
    <comment authorId="0" ref="AG52">
      <text>
        <t xml:space="preserve">This is the project schedule for the deferred maintenance of components/items to be repaired or replaced.</t>
      </text>
    </comment>
    <comment authorId="0" ref="AU52">
      <text>
        <t xml:space="preserve">This is the project schedule for the deferred maintenance of components/items to be repaired or replaced.</t>
      </text>
    </comment>
    <comment authorId="0" ref="BI52">
      <text>
        <t xml:space="preserve">This is the project schedule for the deferred maintenance of components/items to be repaired or replaced.</t>
      </text>
    </comment>
    <comment authorId="0" ref="BW52">
      <text>
        <t xml:space="preserve">This is the project schedule for the deferred maintenance of components/items to be repaired or replaced.</t>
      </text>
    </comment>
    <comment authorId="0" ref="X53">
      <text>
        <t xml:space="preserve">This is a projected contractor cost to do 50% of the asphalt area.
2026 Budget, $36,115 + $11,885 below = $48,000 Total. 
26 holes, about 4 SF each, $288 each.
2027 Budget, $11,885 + $36,115 above = $48,000 Total.</t>
      </text>
    </comment>
    <comment authorId="0" ref="AN53">
      <text>
        <t xml:space="preserve">Maint Comm determined that this could be completed in 2025.
This is a projected contractor cost to do 50% of the asphalt area.
2025 Budget, $36,115 + $11,885 below = $48,000 Total.
26 holes, about 4 SF each, $288 each.
Referred to Los Alamos Property Management.</t>
      </text>
    </comment>
    <comment authorId="0" ref="A54">
      <text>
        <t xml:space="preserve">The cost to fill asphalt cracks in 2010 was $48,295. This is not resurfacing, which is much more expensive. Tearing up and replacing asphalt is very expensive.</t>
      </text>
    </comment>
    <comment authorId="0" ref="Q54">
      <text>
        <t xml:space="preserve">Included above.</t>
      </text>
    </comment>
    <comment authorId="0" ref="CI54">
      <text>
        <t xml:space="preserve">Asphalt Milling and Overlay, 1/3.</t>
      </text>
    </comment>
    <comment authorId="0" ref="CJ54">
      <text>
        <t xml:space="preserve">Asphalt Milling and Overlay, 1/3.</t>
      </text>
    </comment>
    <comment authorId="0" ref="CK54">
      <text>
        <t xml:space="preserve">Asphalt Milling and Overlay, 1/3.</t>
      </text>
    </comment>
    <comment authorId="0" ref="M55">
      <text>
        <t xml:space="preserve">Board approved in July 2025 to start wildfire defensible landscaping.
Holly Hearn will charge $5,000 for a comprehensive landscape plan. The remaining $5,000 shifts to 2026.</t>
      </text>
    </comment>
    <comment authorId="0" ref="Q55">
      <text>
        <t xml:space="preserve">Plus Wildfire Defensible Space around each building.
2025 Maint Comm Est = $40,019 around all buildings.</t>
      </text>
    </comment>
    <comment authorId="0" ref="V55">
      <text>
        <t xml:space="preserve">Board Budget Number. Increased to $10,000 for 2026.</t>
      </text>
    </comment>
    <comment authorId="0" ref="M56">
      <text>
        <t xml:space="preserve">Maintenance Committe estimate for 8 chases on Building 5, or $733 each. Actual cost will affect future estimates.
A.D. Affordable Roofing, Inc. bid  $25,738 on 8/1/25 to do 24 chimney chases, or $1,072 each.
In Dec 2021, Superior Roofing estimated $13,680 to remove and replace flashing on 40 chimney chases, $342 each. Extrapolate to all 76 chases = $25,992 or $27,212 in 2025 adjusted for inflation.
According to homeguide.com stone and masonry chimneys cost $500 - 1500 to replace flashing. Metal chimneys cost $300 - 500.
The committee agreed that roof area leaks are caused from chimney chases that lack flashing. The roof shingles are 15 years old and still serviceable.</t>
      </text>
    </comment>
    <comment authorId="0" ref="P56">
      <text>
        <t xml:space="preserve">This is the difference between the Maintenance Committee estimate and the Board's.</t>
      </text>
    </comment>
    <comment authorId="0" ref="Q56">
      <text>
        <t xml:space="preserve">4-27-26 RP Workshop:
Lines 56-58 are one Project.
Redo estimates after survey of needed repairs scheduled for 4-30-26.</t>
      </text>
    </comment>
    <comment authorId="0" ref="Y56">
      <text>
        <t xml:space="preserve">Which chases?
25 Chases.
2025 Maintenance Committe estimate for 25 chases, $733 each.
A.D. Affordable Roofing, Inc. bid  $25,738 on 8/1/25 to do 24 chimney chases, or $1,072 each.
In Dec 2021, Superior Roofing estimated $13,680 to remove and replace flashing on 40 chimney chases, $342 each. Extrapolate to all 76 chases = $25,992 or $27,212 in 2025 adjusted for inflation.
According to homeguide.com stone and masonry chimneys cost $500 - 1500 to replace flashing. Metal chimneys cost $300 - 500.
The committee agreed that roof area leaks are caused from chimney chases that lack flashing. The roof shingles are 16 years old and still serviceable.</t>
      </text>
    </comment>
    <comment authorId="0" ref="Z56">
      <text>
        <t xml:space="preserve">Which chases?
25 Chases.
2025 Maintenance Committe estimate for 25 chases, $733 each.
A.D. Affordable Roofing, Inc. bid  $25,738 on 8/1/25 to do 24 chimney chases, or $1,072 each.
In Dec 2021, Superior Roofing estimated $13,680 to remove and replace flashing on 40 chimney chases, $342 each. Extrapolate to all 76 chases = $25,992 or $27,212 in 2025 adjusted for inflation.
According to homeguide.com stone and masonry chimneys cost $500 - 1500 to replace flashing. Metal chimneys cost $300 - 500.
The committee agreed that roof area leaks are caused from chimney chases that lack flashing. The roof shingles are 16 years old and still serviceable.</t>
      </text>
    </comment>
    <comment authorId="0" ref="AA56">
      <text>
        <t xml:space="preserve">Which chases?
26 Chases.
2025 Maintenance Committe estimate for 25 chases, $733 each.
A.D. Affordable Roofing, Inc. bid  $25,738 on 8/1/25 to do 24 chimney chases, or $1,072 each.
In Dec 2021, Superior Roofing estimated $13,680 to remove and replace flashing on 40 chimney chases, $342 each. Extrapolate to all 76 chases = $25,992 or $27,212 in 2025 adjusted for inflation.
According to homeguide.com stone and masonry chimneys cost $500 - 1500 to replace flashing. Metal chimneys cost $300 - 500.
The committee agreed that roof area leaks are caused from chimney chases that lack flashing. The roof shingles are 16 years old and still serviceable.</t>
      </text>
    </comment>
    <comment authorId="0" ref="M57">
      <text>
        <t xml:space="preserve">Maintenance Committee estimate for Building #5, only, might be done in 2025.
Bldg # 5 needs repairs before painting.
This is not flashing for chimney chases.
In 21/1/2021 Superior Roofing quoted the following: Install kickout flashings on all missing locations. 90 EA @ $51.00 $ 4,590.00
Install roof to wall flashing. 1,815 LF @ $ 4.03 $ 7,314.45
Install 55 linear feet of L flashing (roof to wall flashing) per building. TOTAL: $11,904.</t>
      </text>
    </comment>
    <comment authorId="0" ref="P57">
      <text>
        <t xml:space="preserve">This is the difference between the Maintenance Committee estimate and the Board's.</t>
      </text>
    </comment>
    <comment authorId="0" ref="Q57">
      <text>
        <t xml:space="preserve">4-27-26 RP Workshop:
Lines 56-58 are one Project.
Redo estimates after survey of needed repairs scheduled for 4-30-26</t>
      </text>
    </comment>
    <comment authorId="0" ref="Y57">
      <text>
        <t xml:space="preserve">Maintenance Committee estimate INSTALL on 4 Buildings $59,520.
Repair cost should be much lower.
This is not flashing for chimney chases.
In 21/1/2021 Superior Roofing quoted the following: Install kickout flashings on all missing locations. 90 EA @ $51.00 $ 4,590.00
Maint Comm Est:
Install roof to wall flashing. 1,815 LF @ $ 4.03 $ 7,314.45
 per building. TOTAL: $11,904.</t>
      </text>
    </comment>
    <comment authorId="0" ref="Z57">
      <text>
        <t xml:space="preserve">Maintenance Committee estimate INSTALL on 4 Buildings $47,616.
Repair cost should be much lower.
This is not flashing for chimney chases.
In 21/1/2021 Superior Roofing quoted the following: Install kickout flashings on all missing locations. 90 EA @ $51.00 $ 4,590.00
Maint Comm Est:
Install roof to wall flashing. 1,815 LF @ $ 4.03 $ 7,314.45
 per building. TOTAL: $11,904.</t>
      </text>
    </comment>
    <comment authorId="0" ref="AA57">
      <text>
        <t xml:space="preserve">Maintenance Committee estimate INSTALL on 4 Buildings $47,616.
Repair cost should be much lower.
This is not flashing for chimney chases.
In 21/1/2021 Superior Roofing quoted the following: Install kickout flashings on all missing locations. 90 EA @ $51.00 $ 4,590.00
Maint Comm Est:
Install roof to wall flashing. 1,815 LF @ $ 4.03 $ 7,314.45
 per building. TOTAL: $11,904.</t>
      </text>
    </comment>
    <comment authorId="0" ref="B58">
      <text>
        <t xml:space="preserve">1/6/2025	Bank Record	McPartlon Roofing	Roofing Repairs	 $27,685.02  work done in December 2024.
2024 McParlon flat roof contract.
This is not part of the 2025 Budget for Flat Roof Replacement.
</t>
      </text>
    </comment>
    <comment authorId="0" ref="D58">
      <text>
        <t xml:space="preserve">3/26/2025	Bank Record	McParlton Roofing		 $25,659.50 
Contract requires 10% at signing + tax.
Total Contract: $236,620.
Unexpected.</t>
      </text>
    </comment>
    <comment authorId="0" ref="H58">
      <text>
        <t xml:space="preserve">CHECK REGISTER:
15144	6/24/2025	McPartlon Roofing	Maintenance &amp; Repairs - Facility	Flat Roofs	$69,146.26 	30% Deposit for Materials
Contract requires 30% + tax at least 2 weeks before starting/staging.
Bank Stmt	07/28/2025	McPartlon progress payment 15156	CHECK	$86,368.00
</t>
      </text>
    </comment>
    <comment authorId="0" ref="I58">
      <text>
        <t xml:space="preserve">Check Register	8/6/2025	McPartlon Roofing	Maintenance &amp; Repairs - Facility	$35,013.79 	Progress Payment on flat roofs
8/15/2025	McPartlon Roofing	Maintenance &amp; Repairs - Facility	$19,979.74 	Progress Payment on flat roofs
</t>
      </text>
    </comment>
    <comment authorId="0" ref="N58">
      <text>
        <t xml:space="preserve">2025 McPartlon Roofing signed contract to complete 22 garage roofs in 2025 for $239,250 + 7.07% Gross Recepts tax.=  $256,164.98.
ADDED TO LINE:
2024 McParlon flat roof contract. 1/6/2025	Bank Record	McPartlon Roofing	Roofing Repairs	 $27,685.02  work done in December 2024.
</t>
      </text>
    </comment>
    <comment authorId="0" ref="P58">
      <text>
        <t xml:space="preserve">This is the difference between the Maintenance Committee estimate and the Board's.</t>
      </text>
    </comment>
    <comment authorId="0" ref="Q58">
      <text>
        <t xml:space="preserve">4-27-26 RP Workshop:
Lines 56-58 are one Project.
Redo estimates after survey of needed repairs scheduled for 4-30-26
Maint Committee Estimate.
Rockford Chimney Supply estimate for 66" x 48" chimney chase cover for two chimney pipe holes and storm collar, stainleess steel = $1,196 each.
76 chminey chases x $1,196  = $90,896.
Gerrior website estimate $300 labor per chimney chase cover installation: 76 x $300 per chase labor = $22,800.
Total = $90,896 + $22,800 = $113,696. (not adjusted for inflation)</t>
      </text>
    </comment>
    <comment authorId="0" ref="X58">
      <text>
        <t xml:space="preserve">4-27-26 RP Workshop:
Need to assess all 76 chimney chase covers and grade their condition and schedule in future years according to condition. 
The actual cost may less than half of the estimate for all 76 chases.
Maint Committee Estimate in Dec 2025 for all 76 chases:
Rockford Chimney Supply estimate for 66" x 48" chimney chase cover for two chimney pipe holes and storm collar, stainleess steel = $1,196 each.
76 chminey chases x $1,196  = $90,896.
Gerrior website estimate $300 labor per chimney chase cover installation: 76 x $300 per chase labor = $22,800.
Total = $90,896 + $22,800 = $113,696. (not adjusted for inflation, tax, contingency)</t>
      </text>
    </comment>
    <comment authorId="0" ref="Y58">
      <text>
        <t xml:space="preserve">4-27-26 RP Workshop:
Need to assess all 76 chimney chase covers and grade their condition and schedule in future years according to condition. 
The actual cost may less than half of the estimate for all 76 chases.
Maint Committee Estimate in Dec 2025 for all 76 chases:
Rockford Chimney Supply estimate for 66" x 48" chimney chase cover for two chimney pipe holes and storm collar, stainleess steel = $1,196 each.
76 chminey chases x $1,196  = $90,896.
Gerrior website estimate $300 labor per chimney chase cover installation: 76 x $300 per chase labor = $22,800.
Total = $90,896 + $22,800 = $113,696. (not adjusted for inflation, tax, contingency)</t>
      </text>
    </comment>
    <comment authorId="0" ref="Z58">
      <text>
        <t xml:space="preserve">4-27-26 RP Workshop:
Need to assess all 76 chimney chase covers and grade their condition and schedule in future years according to condition. 
The actual cost may less than half of the estimate for all 76 chases.
Maint Committee Estimate in Dec 2025 for all 76 chases:
Rockford Chimney Supply estimate for 66" x 48" chimney chase cover for two chimney pipe holes and storm collar, stainleess steel = $1,196 each.
76 chminey chases x $1,196  = $90,896.
Gerrior website estimate $300 labor per chimney chase cover installation: 76 x $300 per chase labor = $22,800.
Total = $90,896 + $22,800 = $113,696. (not adjusted for inflation, tax, contingency)</t>
      </text>
    </comment>
    <comment authorId="0" ref="AA58">
      <text>
        <t xml:space="preserve">4-27-26 RP Workshop:
Need to assess all 76 chimney chase covers and grade their condition and schedule in future years according to condition. 
The actual cost may less than half of the estimate for all 76 chases.
Maint Committee Estimate in Dec 2025 for all 76 chases:
Rockford Chimney Supply estimate for 66" x 48" chimney chase cover for two chimney pipe holes and storm collar, stainleess steel = $1,196 each.
76 chminey chases x $1,196  = $90,896.
Gerrior website estimate $300 labor per chimney chase cover installation: 76 x $300 per chase labor = $22,800.
Total = $90,896 + $22,800 = $113,696. (not adjusted for inflation, tax, contingency)</t>
      </text>
    </comment>
    <comment authorId="0" ref="AE58">
      <text>
        <t xml:space="preserve">For all 76 chimney chases in RP.</t>
      </text>
    </comment>
    <comment authorId="0" ref="Q59">
      <text>
        <t xml:space="preserve">Theoretically, Gutter Guards eliminate cleaning.</t>
      </text>
    </comment>
    <comment authorId="0" ref="AG59">
      <text>
        <t xml:space="preserve">Theoretically, Gutter Guards eliminate cleaning.</t>
      </text>
    </comment>
    <comment authorId="0" ref="AU59">
      <text>
        <t xml:space="preserve">Theoretically, Gutter Guards eliminate cleaning.</t>
      </text>
    </comment>
    <comment authorId="0" ref="BI59">
      <text>
        <t xml:space="preserve">Theoretically, Gutter Guards eliminate cleaning.</t>
      </text>
    </comment>
    <comment authorId="0" ref="BW59">
      <text>
        <t xml:space="preserve">Theoretically, Gutter Guards eliminate cleaning.</t>
      </text>
    </comment>
    <comment authorId="0" ref="L60">
      <text>
        <t xml:space="preserve">Bank Acct 3877	11/20/2025	Chk #15196	$137937.00	Leaf Filter Maintenace &amp; Repairs - Facility
</t>
      </text>
    </comment>
    <comment authorId="0" ref="Q60">
      <text>
        <t xml:space="preserve">Installed in 2025. Replace or Repair in 2051.</t>
      </text>
    </comment>
    <comment authorId="0" ref="Q61">
      <text>
        <t xml:space="preserve">Installed in 2025. Replace or Repair starting in 2050.</t>
      </text>
    </comment>
    <comment authorId="0" ref="K62">
      <text>
        <t xml:space="preserve">Check Register	10/6/2025	$18,259.17 	PowerHouse Contracting	Repair and Paint Bldg 5 - Initial Payment
</t>
      </text>
    </comment>
    <comment authorId="0" ref="M62">
      <text>
        <t xml:space="preserve">2nd half of payment. When?
MOVABLE FORMULA=(('Project Costs'!$L$15+'Project Costs'!$L$16)*POWER(1+'Project Costs'!$J$1,Offset(W62,-59,0)-'Project Costs'!$I$1))*(1/12)</t>
      </text>
    </comment>
    <comment authorId="0" ref="P62">
      <text>
        <t xml:space="preserve">This is the difference between the Maintenance Committee estimate based on a bid and the Board's estimate.</t>
      </text>
    </comment>
    <comment authorId="0" ref="Q62">
      <text>
        <t xml:space="preserve">Main Comm to identify buildings for painting.</t>
      </text>
    </comment>
    <comment authorId="0" ref="W62">
      <text>
        <t xml:space="preserve">Board Budget Number.
4 Buildings: 3, 6, 7, 8 
Plus wood surfaces on Bldgs 2 and 4.</t>
      </text>
    </comment>
    <comment authorId="0" ref="AM62">
      <text>
        <t xml:space="preserve"> 4 Buildings
MOVABLE FORMULA=(('Project Costs'!$L$15+'Project Costs'!$L$16)*POWER(1+'Project Costs'!$J$1,Offset(AM62,-59,0)-'Project Costs'!$I$1))*(4/12)</t>
      </text>
    </comment>
    <comment authorId="0" ref="AZ62">
      <text>
        <t xml:space="preserve">4 Buildings
movable formula:
=(('Project Costs'!$L$15+'Project Costs'!$L$16)*POWER(1+'Project Costs'!$J$1,Offset(AZ62,-59,0)-'Project Costs'!$I$1))*(4/12)</t>
      </text>
    </comment>
    <comment authorId="0" ref="Q63">
      <text>
        <t xml:space="preserve">4-27-26 RP Workshop:
Include in Facility Maintenance / Misc. Repairs above.
$4,800 for all.</t>
      </text>
    </comment>
    <comment authorId="0" ref="AE63">
      <text>
        <t xml:space="preserve">4/27/26 Board/Maint/Budget Workshop.
Revised from $4,115 to 0. Included in   Facility Maintenance (Misc Repairs)  </t>
      </text>
    </comment>
    <comment authorId="0" ref="X64">
      <text>
        <t xml:space="preserve">4-27-26 RP Workshop:
New Project.</t>
      </text>
    </comment>
    <comment authorId="0" ref="AE64">
      <text>
        <t xml:space="preserve">4/27/26 Board/Maint/Budget Workshop.
New Project.</t>
      </text>
    </comment>
    <comment authorId="0" ref="A65">
      <text>
        <t xml:space="preserve">Los Alamos Property Mangement.</t>
      </text>
    </comment>
    <comment authorId="0" ref="H65">
      <text>
        <t xml:space="preserve">CHECK REGISTER:
15151	7/10/2025	Los Alamos Property Management	Maintenance &amp; Repairs - Facility	Property Management Contract	$137.86 	Property Management Contract
15157	7/28/2025	Los Alamos Property Management	Maintenance &amp; Repairs - Facility	Property Management Contract	$455.89 	June Property Management Contract.
At $70/hour, this = only 8 billing hours. 
</t>
      </text>
    </comment>
    <comment authorId="0" ref="I65">
      <text>
        <t xml:space="preserve">Check Register	15163	8/6/2025	Los Alamos Property Management	Property Management, Bldg 9 repairs	$251.65 
</t>
      </text>
    </comment>
    <comment authorId="0" ref="K65">
      <text>
        <t xml:space="preserve">Check Register	10/9/2025	$2,178.54 	Los Alamos Property Management	Property Management Contract
</t>
      </text>
    </comment>
    <comment authorId="0" ref="Y65">
      <text>
        <t xml:space="preserve">4-27-26 RP Workshop:
New Project. Which skylights?</t>
      </text>
    </comment>
    <comment authorId="0" ref="AE65">
      <text>
        <t xml:space="preserve">4/27/26 Board/Maint/Budget Workshop.
New Project.</t>
      </text>
    </comment>
    <comment authorId="0" ref="Z66">
      <text>
        <t xml:space="preserve">4-27-26 RP Workshop:
New Project.</t>
      </text>
    </comment>
    <comment authorId="0" ref="AE66">
      <text>
        <t xml:space="preserve">4/27/26 Board/Maint/Budget Workshop.
New Project.</t>
      </text>
    </comment>
    <comment authorId="0" ref="AB67">
      <text>
        <t xml:space="preserve">4-27-26 RP Workshop:
New Project.</t>
      </text>
    </comment>
    <comment authorId="0" ref="AE67">
      <text>
        <t xml:space="preserve">4/27/26 Board/Maint/Budget Workshop.
New Project.</t>
      </text>
    </comment>
    <comment authorId="0" ref="Q69">
      <text>
        <t xml:space="preserve">Consider metal roofs.</t>
      </text>
    </comment>
    <comment authorId="0" ref="BW69">
      <text>
        <t xml:space="preserve">Consider metal roofs.</t>
      </text>
    </comment>
    <comment authorId="0" ref="CC69">
      <text>
        <t xml:space="preserve">5 buildings
A future RP Board should consider the additional cost of installing metal roofs instead of shingles. Metal roofs may cost 50 - 100% more than shingles.</t>
      </text>
    </comment>
    <comment authorId="0" ref="CD69">
      <text>
        <t xml:space="preserve">5 buildings
A future RP Board should consider the additional cost of installing metal roofs instead of shingles. Metal roofs may be double the cost of shingles.</t>
      </text>
    </comment>
    <comment authorId="0" ref="CE69">
      <text>
        <t xml:space="preserve">5 buildings
A future RP Board should consider the additional cost of installing metal roofs instead of shingles. Metal roofs may be double the cost of shingles.</t>
      </text>
    </comment>
    <comment authorId="0" ref="A70">
      <text>
        <t xml:space="preserve">For shingle roofs. Metal roofs would need occasional inspections, only.</t>
      </text>
    </comment>
    <comment authorId="0" ref="M70">
      <text>
        <t xml:space="preserve">Can be done in 2025.
2025 Budget, $15,000 rounded.
$14,575 Quote from McPartlon Roofing on 8/2/2024 for next 5 years. Every October.
"Maintenance flashings on shingle roofs with plastic roof cement. Caulk metal edge where required. Remove leaves and other debris. Add meta kick-out where required at chimney sidewalls."</t>
      </text>
    </comment>
    <comment authorId="0" ref="AA70">
      <text>
        <t xml:space="preserve">Already done for 2026?
$14,575 Quote from McPartlon Roofing on 8/2/2024 for next 5 years. Every October.
"Maintenance flashings on shingle roofs with plastic roof cement. Caulk metal edge where required. Remove leaves and other debris. Add meta kick-out where required at chimney sidewalls."</t>
      </text>
    </comment>
    <comment authorId="0" ref="I71">
      <text>
        <t xml:space="preserve">Check Register	15166	8/6/2025	Lizard Landscaping and Remodeling	Replace front walk and handicap access sidewalk	$7,992.00 </t>
      </text>
    </comment>
    <comment authorId="0" ref="Q71">
      <text>
        <t xml:space="preserve">Maint Comm to identify sidewalks.</t>
      </text>
    </comment>
    <comment authorId="0" ref="Y71">
      <text>
        <t xml:space="preserve">Board estimate. Near Bldg 4?</t>
      </text>
    </comment>
    <comment authorId="0" ref="X72">
      <text>
        <t xml:space="preserve">4-27-26 RP Workshop:
New Project. Reinstall downspouts and adjust gutters.</t>
      </text>
    </comment>
    <comment authorId="0" ref="AE72">
      <text>
        <t xml:space="preserve">4/27/26 Board/Maint/Budget Workshop.
New Project.</t>
      </text>
    </comment>
    <comment authorId="0" ref="L73">
      <text>
        <t xml:space="preserve">Referred to Los Alamos Property Management.</t>
      </text>
    </comment>
    <comment authorId="0" ref="M73">
      <text>
        <t xml:space="preserve">Referred to Los Alamos Property Management.</t>
      </text>
    </comment>
    <comment authorId="0" ref="Q73">
      <text>
        <t xml:space="preserve">4-27-26 RP Workshop:
Repair as buildings are painted.
Building 5 Painting and siding repair total cost in 2025 is an example.</t>
      </text>
    </comment>
    <comment authorId="0" ref="G74">
      <text>
        <t xml:space="preserve">Tree removal, initial payment.
Contract signed with Jaquez Drywall to remove 20 trees in 2025.
What is Contract Total?</t>
      </text>
    </comment>
    <comment authorId="0" ref="H74">
      <text>
        <t xml:space="preserve">CHECK REGISTER:
15155	7/28/2025	Carlos A Leal Gonzalez	Maintenance &amp; Repairs - Grounds	Tree Removal	$14,000.00 	Tree Removal - 1st payment. Includes stump grinding? What is contract total?
How many trees?</t>
      </text>
    </comment>
    <comment authorId="0" ref="I74">
      <text>
        <t xml:space="preserve">Check Register	15171	8/15/2025	Carlos A Leal Gonzalez	Tree Removal - final payment part a	$18,549.28 
Check Register	15172	8/15/2025	ND Construction Services LLC	Tree Removal - final payment part b	$8,458.86 
</t>
      </text>
    </comment>
    <comment authorId="0" ref="Q74">
      <text>
        <t xml:space="preserve">15 smaller trees plus stump grind. 
Estimate $1,000 per tree.
Main Comm to identify which trees.</t>
      </text>
    </comment>
    <comment authorId="0" ref="Z74">
      <text>
        <t xml:space="preserve">4-27-26 RP Workshop: $15,605
$15,000 Maint Comm estimate for 15 small trees. 
Trees not identified.
</t>
      </text>
    </comment>
    <comment authorId="0" ref="AE74">
      <text>
        <t xml:space="preserve">4/27/26 Board/Maint/Budget Workshop.
Revised from $15,000 to 15,605.</t>
      </text>
    </comment>
    <comment authorId="0" ref="W75">
      <text>
        <t xml:space="preserve">4-27-26 RP Workshop:
New Project. Unit 420.</t>
      </text>
    </comment>
    <comment authorId="0" ref="AE75">
      <text>
        <t xml:space="preserve">4/27/26 Board/Maint/Budget Workshop.
New Project.</t>
      </text>
    </comment>
    <comment authorId="0" ref="M76">
      <text>
        <t xml:space="preserve">Can be done in 2025.
Referred to Los Alamos Property Management.
This should include Unit 420.</t>
      </text>
    </comment>
    <comment authorId="0" ref="Q76">
      <text>
        <t xml:space="preserve">Replace 41 stairwell steps.
Need to survey repair status of balconies.</t>
      </text>
    </comment>
    <comment authorId="0" ref="AA76">
      <text>
        <t xml:space="preserve">4-27-26 RP Workshop:
Replace 41 Stairwell steps: $23,173 quote. Includes Unit 420.
Which treads?</t>
      </text>
    </comment>
    <comment authorId="0" ref="AE76">
      <text>
        <t xml:space="preserve">4/27/26 Board/Maint/Budget Workshop.
Revised from $25,000 to 23,173.</t>
      </text>
    </comment>
    <comment authorId="0" ref="I77">
      <text>
        <t xml:space="preserve">Not spent in 2025, savings shifted to 2026.
Board added cost contingency for Roof Flashing Repairs.
$120,000 Budget 2025 -
$75,510 Maint. Comm. Est. =
$44,490.</t>
      </text>
    </comment>
    <comment authorId="0" ref="J77">
      <text>
        <t xml:space="preserve">Not spent in 2025, savings shifted to 2026.
Board added cost contingency for Flat Roof Replacements.
$325,000 Budget 2025 -
$265,535 Maint. Comm. Est. =
$59,465.</t>
      </text>
    </comment>
    <comment authorId="0" ref="K77">
      <text>
        <t xml:space="preserve">Not spent in 2025, savings shifted to 2026.
Board added cost contingency for Chimney Chase Flashing &amp; Siding Repairs.
$120,000 Budget 2025 -
$58,369 Maint. Comm. Est. =
$61,631.</t>
      </text>
    </comment>
    <comment authorId="0" ref="N77">
      <text>
        <t xml:space="preserve">This is the total contingency the Board added to project costs.</t>
      </text>
    </comment>
    <comment authorId="0" ref="A78">
      <text>
        <t xml:space="preserve">Probably $400 each breaker box outside buildings. 35 boxes x $400 each = $14,000 according to  Internet.
Frequency: Every 2 years.
Source: Google AI
Type of Inspection:
A standard inspection (wiring, outlets, circuit breakers, panels) may cost $100-$200, while an infrared inspection (detecting hot spots) could range from $150-$350. A full home electrical inspection, which includes all electrical components, might cost $250-$400. </t>
      </text>
    </comment>
    <comment authorId="0" ref="M78">
      <text>
        <t xml:space="preserve">Can be done in 2025.
Includes inspection to assess needed repairs. Who has contract?</t>
      </text>
    </comment>
    <comment authorId="0" ref="Q78">
      <text>
        <t xml:space="preserve">Probably $400 each breaker box outside buildings. 35 boxes x $400 each = $14,000 according to  Internet.
Frequency: Every 3 years.
Source: Google AI
Type of Inspection:
A standard inspection (wiring, outlets, circuit breakers, panels) may cost $100-$200, while an infrared inspection (detecting hot spots) could range from $150-$350. A full home electrical inspection, which includes all electrical components, might cost $250-$400. </t>
      </text>
    </comment>
    <comment authorId="0" ref="Z78">
      <text>
        <t xml:space="preserve">4-27-26 RP Workshop:
Include in Facility Maintenance / Misc. Repairs above.
</t>
      </text>
    </comment>
    <comment authorId="0" ref="BD78">
      <text>
        <t xml:space="preserve">4-27-26 RP Workshop:
Include in Facility Maintenance / Misc. Repairs above.
</t>
      </text>
    </comment>
    <comment authorId="0" ref="A79">
      <text>
        <t xml:space="preserve">TLC Plumbing can do.
Source: Google AI
Probably $400 each from valves outside buildings. 31 valves x $400 each = $12,400.
Frequency: Every year.
Visual Inspection:
This is the most basic type of inspection, involving a visual assessment of the water lines, drains, and fixtures. It typically costs between $100 and $200.
Camera Inspection:
This involves using a camera to inspect the inside of pipes, especially in hard-to-reach areas like behind walls or under floors. The cost can range from $300 to $1,100.
Combination Inspection:
This combines both visual and camera inspections and can cost $400 to $1,300.
</t>
      </text>
    </comment>
    <comment authorId="0" ref="K79">
      <text>
        <t xml:space="preserve">Check Register	10/6/2025	$19,807.95 	TLC Plumbing	Water Main Repairs by Bldgs 4, 11, 12.
Repairs resulting from inspection.
</t>
      </text>
    </comment>
    <comment authorId="0" ref="Q79">
      <text>
        <t xml:space="preserve">TLC Plumbing can do.
Probably $400 each from valves outside buildings. 31 valves x $400 each = $12,400.
Frequency: Every year.
Visual Inspection:
This is the most basic type of inspection, involving a visual assessment of the water lines, drains, and fixtures. It typically costs between $100 and $200.
Camera Inspection:
This involves using a camera to inspect the inside of pipes, especially in hard-to-reach areas like behind walls or under floors. The cost can range from $300 to $1,100.
Combination Inspection:
This combines both visual and camera inspections and can cost $400 to $1,300.
</t>
      </text>
    </comment>
    <comment authorId="0" ref="AA79">
      <text>
        <t xml:space="preserve">4-27-26 RP Workshop:
Include in Facility Maintenance / Misc. Repairs above.
</t>
      </text>
    </comment>
    <comment authorId="0" ref="AE79">
      <text>
        <t xml:space="preserve">4/27/26 Board/Maint/Budget Workshop.
Revised from $1,756 to 0. Included in   Facility Maintenance (Misc Repairs) </t>
      </text>
    </comment>
    <comment authorId="0" ref="AG79">
      <text>
        <t xml:space="preserve">TLC Plumbing can do.
Source: Google AI
Probably $400 each from valves outside buildings. 31 valves x $400 each = $12,400.
Frequency: Every year.
Visual Inspection:
This is the most basic type of inspection, involving a visual assessment of the water lines, drains, and fixtures. It typically costs between $100 and $200.
Camera Inspection:
This involves using a camera to inspect the inside of pipes, especially in hard-to-reach areas like behind walls or under floors. The cost can range from $300 to $1,100.
Combination Inspection:
This combines both visual and camera inspections and can cost $400 to $1,300.
</t>
      </text>
    </comment>
    <comment authorId="0" ref="AU79">
      <text>
        <t xml:space="preserve">TLC Plumbing can do.
Source: Google AI
Probably $400 each from valves outside buildings. 31 valves x $400 each = $12,400.
Frequency: Every year.
Visual Inspection:
This is the most basic type of inspection, involving a visual assessment of the water lines, drains, and fixtures. It typically costs between $100 and $200.
Camera Inspection:
This involves using a camera to inspect the inside of pipes, especially in hard-to-reach areas like behind walls or under floors. The cost can range from $300 to $1,100.
Combination Inspection:
This combines both visual and camera inspections and can cost $400 to $1,300.
</t>
      </text>
    </comment>
    <comment authorId="0" ref="BI79">
      <text>
        <t xml:space="preserve">TLC Plumbing can do.
Source: Google AI
Probably $400 each from valves outside buildings. 31 valves x $400 each = $12,400.
Frequency: Every year.
Visual Inspection:
This is the most basic type of inspection, involving a visual assessment of the water lines, drains, and fixtures. It typically costs between $100 and $200.
Camera Inspection:
This involves using a camera to inspect the inside of pipes, especially in hard-to-reach areas like behind walls or under floors. The cost can range from $300 to $1,100.
Combination Inspection:
This combines both visual and camera inspections and can cost $400 to $1,300.
</t>
      </text>
    </comment>
    <comment authorId="0" ref="BW79">
      <text>
        <t xml:space="preserve">TLC Plumbing can do.
Source: Google AI
Probably $400 each from valves outside buildings. 31 valves x $400 each = $12,400.
Frequency: Every year.
Visual Inspection:
This is the most basic type of inspection, involving a visual assessment of the water lines, drains, and fixtures. It typically costs between $100 and $200.
Camera Inspection:
This involves using a camera to inspect the inside of pipes, especially in hard-to-reach areas like behind walls or under floors. The cost can range from $300 to $1,100.
Combination Inspection:
This combines both visual and camera inspections and can cost $400 to $1,300.
</t>
      </text>
    </comment>
    <comment authorId="0" ref="A80">
      <text>
        <t xml:space="preserve">TLC Plumbing can do. Probably for $300 each from sewer cleanouts. 26 clean-out x $300 each = $7,800.
Frequency: Every 2 years.
Source: Google AI
A sewer line camera inspection typically costs between $270 and $1,734, with the national average around $999. However, costs can range from $100 to $6,000 depending on factors like the length of the sewer line, ease of access, and potential need for additional services like pipe clearing or repairs. 
If the sewer line is easily accessible (e.g., with a cleanout access point), the inspection will likely be on the lower end of the price range. Difficult access, such as needing to remove a toilet or work in a crawlspace, will increase costs. 
</t>
      </text>
    </comment>
    <comment authorId="0" ref="Q80">
      <text>
        <t xml:space="preserve">TLC Plumbing can do. Probably for $300 each from sewer cleanouts. 26 clean-out x $300 each = $7,800.
Frequency: Every 2 years.
Source: Google AI
A sewer line camera inspection typically costs between $270 and $1,734, with the national average around $999. However, costs can range from $100 to $6,000 depending on factors like the length of the sewer line, ease of access, and potential need for additional services like pipe clearing or repairs. 
If the sewer line is easily accessible (e.g., with a cleanout access point), the inspection will likely be on the lower end of the price range. Difficult access, such as needing to remove a toilet or work in a crawlspace, will increase costs. 
</t>
      </text>
    </comment>
    <comment authorId="0" ref="U80">
      <text>
        <t xml:space="preserve">4-27-26 RP Workshop:
Include in Facility Maintenance / Misc. Repairs above.</t>
      </text>
    </comment>
    <comment authorId="0" ref="AE80">
      <text>
        <t xml:space="preserve">4/27/26 Board/Maint/Budget Workshop.
Revised from $4,097 to 0. Included in   Facility Maintenance (Misc Repairs) </t>
      </text>
    </comment>
    <comment authorId="0" ref="AG80">
      <text>
        <t xml:space="preserve">TLC Plumbing can do. Probably for $300 each from sewer cleanouts. 26 clean-out x $300 each = $7,800.
Frequency: Every 2 years.
Source: Google AI
A sewer line camera inspection typically costs between $270 and $1,734, with the national average around $999. However, costs can range from $100 to $6,000 depending on factors like the length of the sewer line, ease of access, and potential need for additional services like pipe clearing or repairs. 
If the sewer line is easily accessible (e.g., with a cleanout access point), the inspection will likely be on the lower end of the price range. Difficult access, such as needing to remove a toilet or work in a crawlspace, will increase costs. 
</t>
      </text>
    </comment>
    <comment authorId="0" ref="AU80">
      <text>
        <t xml:space="preserve">TLC Plumbing can do. Probably for $300 each from sewer cleanouts. 26 clean-out x $300 each = $7,800.
Frequency: Every 2 years.
Source: Google AI
A sewer line camera inspection typically costs between $270 and $1,734, with the national average around $999. However, costs can range from $100 to $6,000 depending on factors like the length of the sewer line, ease of access, and potential need for additional services like pipe clearing or repairs. 
If the sewer line is easily accessible (e.g., with a cleanout access point), the inspection will likely be on the lower end of the price range. Difficult access, such as needing to remove a toilet or work in a crawlspace, will increase costs. 
</t>
      </text>
    </comment>
    <comment authorId="0" ref="BI80">
      <text>
        <t xml:space="preserve">TLC Plumbing can do. Probably for $300 each from sewer cleanouts. 26 clean-out x $300 each = $7,800.
Frequency: Every 2 years.
Source: Google AI
A sewer line camera inspection typically costs between $270 and $1,734, with the national average around $999. However, costs can range from $100 to $6,000 depending on factors like the length of the sewer line, ease of access, and potential need for additional services like pipe clearing or repairs. 
If the sewer line is easily accessible (e.g., with a cleanout access point), the inspection will likely be on the lower end of the price range. Difficult access, such as needing to remove a toilet or work in a crawlspace, will increase costs. 
</t>
      </text>
    </comment>
    <comment authorId="0" ref="BW80">
      <text>
        <t xml:space="preserve">TLC Plumbing can do. Probably for $300 each from sewer cleanouts. 26 clean-out x $300 each = $7,800.
Frequency: Every 2 years.
Source: Google AI
A sewer line camera inspection typically costs between $270 and $1,734, with the national average around $999. However, costs can range from $100 to $6,000 depending on factors like the length of the sewer line, ease of access, and potential need for additional services like pipe clearing or repairs. 
If the sewer line is easily accessible (e.g., with a cleanout access point), the inspection will likely be on the lower end of the price range. Difficult access, such as needing to remove a toilet or work in a crawlspace, will increase costs. 
</t>
      </text>
    </comment>
    <comment authorId="0" ref="A81">
      <text>
        <t xml:space="preserve">The windows are resting on the roof shingles which causes water damage to window frames and prevents proper flashing below them.   Also, they may violate local building code.</t>
      </text>
    </comment>
    <comment authorId="0" ref="Q81">
      <text>
        <t xml:space="preserve">4-27-26 RP Workshop:
Do as roofs are replaced starting in 2035.
The windows are resting on the roof shingles which causes water damage to window frames and prevents proper flashing below them.   Also, they may violate current local building code but passed county inspection in 1984.</t>
      </text>
    </comment>
    <comment authorId="0" ref="V81">
      <text>
        <t xml:space="preserve">4-27-26 RP Workshop:
Do when replacing roofs in 2035.
$17, 233 Online calculator estimate plus 10% and tax.
Bldgs 5, 6, 7, &amp; 8. 24 Windows.</t>
      </text>
    </comment>
    <comment authorId="0" ref="AE81">
      <text>
        <t xml:space="preserve">type here4/27/26 Board/Maint/Budget Workshop.
Revised from $17,233 to 0. 
Do as roofs are replaced starting in 2035.</t>
      </text>
    </comment>
    <comment authorId="0" ref="AG81">
      <text>
        <t xml:space="preserve">The windows are resting on the roof shingles which causes water damage to window frames and prevents proper flashing below them.   Also, they may violate local building code.</t>
      </text>
    </comment>
    <comment authorId="0" ref="AL81">
      <text>
        <t xml:space="preserve">Online calculator estimate plus 10% and tax.
Bldgs  6 &amp; 7. 
8 Windows.</t>
      </text>
    </comment>
    <comment authorId="0" ref="O82">
      <text>
        <t xml:space="preserve">The $742,000 total in the Board's 2025 Reserve Fund Plan is incorrect. It adss up to $807,000 for the listed Planned Expenditures.</t>
      </text>
    </comment>
    <comment authorId="0" ref="P82">
      <text>
        <t xml:space="preserve">This is under budget because of an addition error in the 2025 Budget.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New Office Building Construction.
Although Ridge Park is not involved in new construction, this rate can be reasonably applied to building repairs and accounts for the rising cost of building materials such as siding, etc. The inflation rate for 2021 was 7%.</t>
      </text>
    </comment>
    <comment authorId="0" ref="E2">
      <text>
        <t xml:space="preserve">Construction costs appear to have flattened out.
New Office Building Construction.
Indexes:
Jan' 25 210.851
Jan '24 205.116
Jan '23 207.761
Jan '22 173.184
Jan '21 147.900</t>
      </text>
    </comment>
    <comment authorId="0" ref="F2">
      <text>
        <t xml:space="preserve">fred.stlouisfed.org: prices rose 3.7% from Jan 25 to Jan 26.
AI Overview
Expected construction cost inflation for 2026 is projected to be moderate, with various sources indicating rates around 3-4%. While overall construction spending growth is predicted to be slow, rising material and labor costs, along with potential tariff impacts and higher contractor margins, will contribute to this ongoing escalation in prices. Specific forecasts vary, with one report suggesting a 3.5% increase for 2025 and 2026 before stabilizing. 
Inflation from 2019 to 2020 was 3.26%. Stabilizing means that the forecast rate for 2026 will remain constant in future years until the next pandemic-like event.</t>
      </text>
    </comment>
    <comment authorId="0" ref="A3">
      <text>
        <t xml:space="preserve">Daily Post Article by Robert Gibson. 6% water rate increase starting in Oct 2025.
Los Alamos Water inflation has been around 5% for several years.</t>
      </text>
    </comment>
    <comment authorId="0" ref="F3">
      <text>
        <t xml:space="preserve">Daily Post Article by Robert Gibson. 6% water rate increase starting in Oct 2025.
Los Alamos Water inflation has been around 5% for several years.</t>
      </text>
    </comment>
    <comment authorId="0" ref="D4">
      <text>
        <t xml:space="preserve">Nonresidential Building Maintenance and Repair.</t>
      </text>
    </comment>
    <comment authorId="0" ref="E4">
      <text>
        <t xml:space="preserve">Nonresidential Building Maintenance and Repair.
Indexes:
Jun 25 160.617
Jun 24 153.383
Jan' 25 156.602
Jan '24 147.885
Jan '23 143.917
Jan '22 135.384
Jan '21 121.100
</t>
      </text>
    </comment>
    <comment authorId="0" ref="F4">
      <text>
        <t xml:space="preserve">fred.stlouisfed.org: prices rose 5.3% from Jan 25 to Jan 26.
AI Overview
For 2026, expect building maintenance and repair costs to increase, but the exact rate is uncertain and varies by market and building type. The Insurance Information Institute (Triple-I) projects replacement costs for properties to grow by 3.2% in 2026.
In the 10 years prior to the Pandemic, inflation rose 1.6% per year for this category. A conservative forecast for future years would project a flat rate equal to the forecast for 2026.</t>
      </text>
    </comment>
    <comment authorId="0" ref="G4">
      <text>
        <t xml:space="preserve">3.2% for 2026 and beyond.
Nonresidential Building Maintenance and Repair.
Pandemic Indexes:
Jan' 25 156.602
Jan '24 147.885
Jan '23 143.917
Jan '22 135.384
Jan '21 121.100
</t>
      </text>
    </comment>
    <comment authorId="0" ref="H4">
      <text>
        <t xml:space="preserve">3.2% for 2026 and beyond.
Nonresidential Building Maintenance and Repair.
Pandemic Indexes:
Jan' 25 156.602
Jan '24 147.885
Jan '23 143.917
Jan '22 135.384
Jan '21 121.100
</t>
      </text>
    </comment>
    <comment authorId="0" ref="I4">
      <text>
        <t xml:space="preserve">3.2% for 2026 and beyond.
Nonresidential Building Maintenance and Repair.
Pandemic Indexes:
Jan' 25 156.602
Jan '24 147.885
Jan '23 143.917
Jan '22 135.384
Jan '21 121.100
</t>
      </text>
    </comment>
    <comment authorId="0" ref="J4">
      <text>
        <t xml:space="preserve">3.2% for 2026 and beyond.
Nonresidential Building Maintenance and Repair.
Pandemic Indexes:
Jan' 25 156.602
Jan '24 147.885
Jan '23 143.917
Jan '22 135.384
Jan '21 121.100
</t>
      </text>
    </comment>
    <comment authorId="0" ref="A5">
      <text>
        <t xml:space="preserve">Include Janitorial for Grounds Maintenance.</t>
      </text>
    </comment>
    <comment authorId="0" ref="E5">
      <text>
        <t xml:space="preserve">core CPI (excluding food and energy
https://www.jpmorgan.com/insights/outlook/economic-outlook/cpi-report-january-2025</t>
      </text>
    </comment>
    <comment authorId="0" ref="E11">
      <text>
        <t xml:space="preserve">From July 11 to July 31, $429,424 yielded $686 ( 20 days).
In 30 days in would have yielded $1,029, or $12,348 in 12 months.
($429,424) x = $12,348. 
x = .028754, or 2.8754% annual interest rate.
</t>
      </text>
    </comment>
    <comment authorId="0" ref="F11">
      <text>
        <t xml:space="preserve">Assume less than 2025 if Federal reserve lending rates decrease.</t>
      </text>
    </comment>
    <comment authorId="0" ref="F13">
      <text>
        <t xml:space="preserve">2026 inflation may increase under present national trade policy. 
This is the inflation rate for Project Costs, Building Construction, Maintenance/Repair.
This number will be adjusted up if inflation for this category changes.</t>
      </text>
    </comment>
    <comment authorId="0" ref="G13">
      <text>
        <t xml:space="preserve">2026 inflation may increase under present national trade policy. 
This is the inflation rate for Project Costs, Building Construction, Maintenance/Repair.
This number will be adjusted up if inflation for this category changes.</t>
      </text>
    </comment>
    <comment authorId="0" ref="H13">
      <text>
        <t xml:space="preserve">2026 inflation may increase under present national trade policy. 
This is the inflation rate for Project Costs, Building Construction, Maintenance/Repair.
This number will be adjusted up if inflation for this category changes.</t>
      </text>
    </comment>
    <comment authorId="0" ref="I13">
      <text>
        <t xml:space="preserve">2026 inflation may increase under present national trade policy. 
This is the inflation rate for Project Costs, Building Construction, Maintenance/Repair.
This number will be adjusted up if inflation for this category changes.</t>
      </text>
    </comment>
    <comment authorId="0" ref="J13">
      <text>
        <t xml:space="preserve">2026 inflation may increase under present national trade policy. 
This is the inflation rate for Project Costs, Building Construction, Maintenance/Repair.
This number will be adjusted up if inflation for this category changes.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Cash Surplus carried over from previous month. Based on actual bank and investment cash balances entered on the first day of each month.</t>
      </text>
    </comment>
    <comment authorId="0" ref="B4">
      <text>
        <t xml:space="preserve">Board Budget Number.</t>
      </text>
    </comment>
    <comment authorId="0" ref="A6">
      <text>
        <t xml:space="preserve">Depends on interest rate for Reserve Account total. In 2025 it's a rediculous .004%.</t>
      </text>
    </comment>
    <comment authorId="0" ref="A7">
      <text>
        <t xml:space="preserve">INCLUDES ALL CASH INCOME EXCEPT INTEREST BECAUSE BANK DEPOSITS DO NOT SHOW SEPARATE LINE ITEMS OR PAYERS.
=(138 RP Units) X (Monthly Assessment). This is an average. Actual amounts are higher at the beginning of the year because some owners pay for multiple months.</t>
      </text>
    </comment>
    <comment authorId="0" ref="A8">
      <text>
        <t xml:space="preserve">Bldg 505 Apartment Rent.</t>
      </text>
    </comment>
    <comment authorId="0" ref="A14">
      <text>
        <t xml:space="preserve">Jim Dinkle financial statement compilation services.</t>
      </text>
    </comment>
    <comment authorId="0" ref="A15">
      <text>
        <t xml:space="preserve">Community Association D&amp;O Insurance.
Farm Bureau Financial for property.</t>
      </text>
    </comment>
    <comment authorId="0" ref="A16">
      <text>
        <t xml:space="preserve">Mr. Donald Walcott, Santa Fe, NM.
2025 Budget, $10,000 averaged over 12 months.</t>
      </text>
    </comment>
    <comment authorId="0" ref="A19">
      <text>
        <t xml:space="preserve">Office.
2025 Budget, $1,265 averaged over 12 months.</t>
      </text>
    </comment>
    <comment authorId="0" ref="A20">
      <text>
        <t xml:space="preserve">Jaquez Drywall contract.
Landscaping, mowing, debris cleanup, bush, and small tree removal. $3,756 per month. 
Janitorial?</t>
      </text>
    </comment>
    <comment authorId="0" ref="A21">
      <text>
        <t xml:space="preserve">Unplanned expenses, emergency repairs, non-projects, mostly minor repairs for owners.
</t>
      </text>
    </comment>
    <comment authorId="0" ref="A22">
      <text>
        <t xml:space="preserve">Repairs to Buildings, parking lots, streets.
Show as Total and breakout starting on Line 51.</t>
      </text>
    </comment>
    <comment authorId="0" ref="A23">
      <text>
        <t xml:space="preserve">Start-up and Maintenance.</t>
      </text>
    </comment>
    <comment authorId="0" ref="A24">
      <text>
        <t xml:space="preserve">505 Building Apartment Maintenance.
2025 Budget, $1,500 averaged over 12 months.
</t>
      </text>
    </comment>
    <comment authorId="0" ref="A25">
      <text>
        <t xml:space="preserve">Purchase pallet of Snow-Melt for $1,000 in January.</t>
      </text>
    </comment>
    <comment authorId="0" ref="A28">
      <text>
        <t xml:space="preserve">Includes Employer taxes.</t>
      </text>
    </comment>
    <comment authorId="0" ref="A29">
      <text>
        <t xml:space="preserve">Special Budget Line:
These are unallocated cash expenses (debits) in the Bank Statement that cannot be matched to the Ridge Park Check Register.
A DDA, or Demand Deposit Account, is a type of bank account that allows for immediate access to funds, typically through withdrawals, transfers, or payments. (similar to a debit card). </t>
      </text>
    </comment>
    <comment authorId="0" ref="A30">
      <text>
        <t xml:space="preserve">Approx 8.52% of gross payroll plus inflation.
This Line includes all taxes paid.</t>
      </text>
    </comment>
    <comment authorId="0" ref="A33">
      <text>
        <t xml:space="preserve">Office.</t>
      </text>
    </comment>
    <comment authorId="0" ref="A34">
      <text>
        <t xml:space="preserve">US Mail: HOA Budget info and other materials to residents.</t>
      </text>
    </comment>
    <comment authorId="0" ref="A35">
      <text>
        <t xml:space="preserve">For possible staff trips to Santa Fe.</t>
      </text>
    </comment>
    <comment authorId="0" ref="A38">
      <text>
        <t xml:space="preserve">4.9% County increase on Oct 1, 2024.
2025 Budget, $153,395 averaged over 12 months.</t>
      </text>
    </comment>
    <comment authorId="0" ref="A39">
      <text>
        <t xml:space="preserve">Bank Stmt</t>
      </text>
    </comment>
    <comment authorId="0" ref="A42">
      <text>
        <t xml:space="preserve">Cash Surplus AFTER all expenses in this column are paid.
Need Board policy on the minimum end-of-year amount.</t>
      </text>
    </comment>
    <comment authorId="0" ref="A43">
      <text>
        <t xml:space="preserve">Need Board policy on funding options and priorites: Loans? Asset sale? Monthly dues increase? Special Assessment?
In what order?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Standard Engineering contingency cost added to all construction projects.</t>
      </text>
    </comment>
    <comment authorId="0" ref="J1">
      <text>
        <t xml:space="preserve">Current Year Construction Cost Inflation. 
Assume it is the average inflation rate on the Inflation spreadsheet.</t>
      </text>
    </comment>
    <comment authorId="0" ref="K1">
      <text>
        <t xml:space="preserve">New Mexico Gross Receipts Tax
7.0625% 7-1-25 to 6-30-26</t>
      </text>
    </comment>
    <comment authorId="0" ref="B2">
      <text>
        <t xml:space="preserve">See 26 Projects Tab below.</t>
      </text>
    </comment>
    <comment authorId="0" ref="M2">
      <text>
        <t xml:space="preserve">BELOW IS THE EQUIVALENT STANDARD FORMULA FOR FUTURE VALUE:
FV = PV x (1 + r)^n
PV = Present Value
r = Interest or Inflation Rate (%)
n = Number of Compounding Periods
Note: n must be a positive number.</t>
      </text>
    </comment>
    <comment authorId="0" ref="A4">
      <text>
        <t xml:space="preserve">An asphalt overlay involves applying a new layer of pavement over an existing surface after milling off defects or roughness.
Most overlays range from 1.5-2 inches. This thickness is enough to create a durable surface but thin enough to bond to the existing pavement.
Overlay (Resurfacing) $2-$7 per SF, life 8-15 years.
Full replacement (repaving), $5-$12, 20-30 years.</t>
      </text>
    </comment>
    <comment authorId="0" ref="E4">
      <text>
        <t xml:space="preserve">According to Reserve Planning Process document, Gifford, May 13, 2026.</t>
      </text>
    </comment>
    <comment authorId="0" ref="F4">
      <text>
        <t xml:space="preserve">The most obvious driver is square footage; larger jobs spread mobilization and equipment costs over more pavement, lowering the unit price. A 300 sq ft residential driveway may cost closer to $7 per square foot, while a 10,000 sq ft parking lot could drop to around $2-$3 per square foot due to economies of scale. Complex shapes, multiple entrances, or tight access can raise labor time and thus increase the price.</t>
      </text>
    </comment>
    <comment authorId="0" ref="H4">
      <text>
        <t xml:space="preserve">2025 Cost Range = $2-7 per square foot.
Assume $5 economies of scale rate.</t>
      </text>
    </comment>
    <comment authorId="0" ref="A5">
      <text>
        <t xml:space="preserve">Overlay is appropriate when: Less than about one‑quarter of the pavement needs repairs, cracks are under ¼ inch, drainage is good, and the sub‑base remains solid. In these situations, resurfacing can extend life by 8-15 years at a fraction of the cost.
Replacement is needed when: Cracks are deeper than ½ inch or widespread, potholes expose the base, the pavement is over 20 years old, or multiple prior overlays exist. Full replacement resolves structural issues and offers a 20-30‑year life.</t>
      </text>
    </comment>
    <comment authorId="0" ref="E5">
      <text>
        <t xml:space="preserve">According to Reserve Planning Process document, Gifford, May 13, 2026.</t>
      </text>
    </comment>
    <comment authorId="0" ref="F5">
      <text>
        <t xml:space="preserve">The most obvious driver is square footage; larger jobs spread mobilization and equipment costs over more pavement, lowering the unit price. A 300 sq ft residential driveway may cost closer to $7 per square foot, while a 10,000 sq ft parking lot could drop to around $2-$3 per square foot due to economies of scale. Complex shapes, multiple entrances, or tight access can raise labor time and thus increase the price.</t>
      </text>
    </comment>
    <comment authorId="0" ref="H5">
      <text>
        <t xml:space="preserve">2025 Cost Range = $5-12 per square foot.
Assume $9 economies of scale rate.</t>
      </text>
    </comment>
    <comment authorId="0" ref="A9">
      <text>
        <t xml:space="preserve">2025 Maintenance Committe estimate for 25 chases, $733 each.
A.D. Affordable Roofing, Inc. bid  $25,738 on 8/1/25 to do 24 chimney chases, or $1,072 each, x 76 chases = .
In Dec 2021, Superior Roofing estimated $13,680 to remove and replace flashing on 40 chimney chases, $342 each. Extrapolate to all 76 chases = $25,992 or $27,212 in 2025 adjusted for inflation.
According to homeguide.com stone and masonry chimneys cost $500 - 1500 to replace flashing. Metal chimneys cost $300 - 500.
The committee agreed that roof area leaks are caused from chimney chases that lack flashing. The roof shingles are 16 years old and still serviceable.</t>
      </text>
    </comment>
    <comment authorId="0" ref="G9">
      <text>
        <t xml:space="preserve">76 Chimney Chases Total. Maint Comm.</t>
      </text>
    </comment>
    <comment authorId="0" ref="H9">
      <text>
        <t xml:space="preserve">2025 Maint Comm Est. $733 each for 76 total chases.</t>
      </text>
    </comment>
    <comment authorId="0" ref="A11">
      <text>
        <t xml:space="preserve">Total flat roofs: 26 </t>
      </text>
    </comment>
    <comment authorId="0" ref="I11">
      <text>
        <t xml:space="preserve">McPartlon Roofing signed contract to complete 22 of 26 garage roofs in 2025.
(4 already completed in 2024)</t>
      </text>
    </comment>
    <comment authorId="0" ref="G13">
      <text>
        <t xml:space="preserve">Blueprints show 2,176 Lin Ft on 2nd Story and 1,860 Lin Ft on 3rd Story.
Blueprint BP-4, Bldg Elev Notes, Note 16 says that dotted lines on building eleveation shown gutter and downspout locations.</t>
      </text>
    </comment>
    <comment authorId="0" ref="I13">
      <text>
        <t xml:space="preserve">9/24/25 Whiterock Roofing and Gutters, LLC,  bid of $253,976.02 Total for Gutters and Gutter Guards on all 14 buildings.</t>
      </text>
    </comment>
    <comment authorId="0" ref="G14">
      <text>
        <t xml:space="preserve">Blueprints show 2,176 Lin Ft on 2nd Story and 1,860 Lin Ft on 3rd Story.
Blueprint BP-4, Bldg Elev Notes, Note 16 says that dotted lines on building eleveation shown gutter and downspout locations.</t>
      </text>
    </comment>
    <comment authorId="0" ref="I14">
      <text>
        <t xml:space="preserve">9/24/25 Whiterock Roofing and Gutters, LLC,  bid of $253,976.02 Total for Gutters and Gutter Guards on all 14 buildings.
1/2/23 Equivalent Bid from ABC Seamless Gutters, Alb, = $236,620 Total, Gutters and Gutter guards on all buildings.</t>
      </text>
    </comment>
    <comment authorId="0" ref="E15">
      <text>
        <t xml:space="preserve">Based on the condition of paint on buildings, the Maintenance Committee decided to start painting buildings over a 5-year period starting in 2025.</t>
      </text>
    </comment>
    <comment authorId="0" ref="E16">
      <text>
        <t xml:space="preserve">Based on the condition of paint on buildings, the Maintenance Committee decided to start painting buildings over a 5-year period starting in 2025.</t>
      </text>
    </comment>
    <comment authorId="0" ref="H16">
      <text>
        <t xml:space="preserve">High estimate used from homewyse.com to factor in premium cost for contractors to travel to Los Alamos and top quality paint. Avg Cost = $4.26/SF.
Westernwalls.com estimates $30,240 to paint Bldg 5: 150'x60'x24'.
$30,240x1.17(10%+tax)=$35,380.</t>
      </text>
    </comment>
    <comment authorId="0" ref="I16">
      <text>
        <t xml:space="preserve">Aug 2025 PowerHouse Contracting bid $34,480 (includes tax) to paint Bldg 5. Approx 14,409 SF = $2.39/SF. Round up to $2.50/SF , so est 145,274 SF x $2.50/SF = $363,185.
Westernwalls.com estimates $30,240 to paint Bldg 5: $30,240 / 14,409SF = 2.10/SF.
$30,240x1.17(10%+tax)=$35,380.
$618,761 IS THE HIGH estimate from homewyse.com to factor in premium cost for contractors to travel to Los Alamos and top quality paint. Avg Cost = $2.14 - $4.26/SF.
In 2014-2015 Ridge Park paid A-Plus Painting $142,000 total. Ridge Park bought Sherwin Williams A-100 paint for $42,803.</t>
      </text>
    </comment>
    <comment authorId="0" ref="A17">
      <text>
        <t xml:space="preserve">Standard parking spaces measure 9 feet wide by 18 feet long for perpendicular parking according to most municipal codes.
Standard parking lot lines measure 4 inches wide.
AI Overview
Restriping a parking space typically costs between $4 and $20 per stall, with most contractors charging $0.20 to $1 per linear foot.</t>
      </text>
    </comment>
    <comment authorId="0" ref="H17">
      <text>
        <t xml:space="preserve">$1.00 per lineal foot.</t>
      </text>
    </comment>
    <comment authorId="0" ref="A18">
      <text>
        <t xml:space="preserve">40 x 16 x 18; 565 Square Feet, concrete, plastic finish, cost to replace: $100,000 in 2025.
Resurfaced in 2022.
Denise Carson discovered that the pool deck was redone in 2005.</t>
      </text>
    </comment>
    <comment authorId="0" ref="G21">
      <text>
        <t xml:space="preserve">4,036 LF Gutter/Fascia/Flashing +
1,475 LF Headwall Horizontal Flashing +	
4,260 LF Sidewall Sloped Flashing 
= 9,771 LF for all 14 Buildings</t>
      </text>
    </comment>
    <comment authorId="0" ref="I21">
      <text>
        <t xml:space="preserve">type hereSource: Litespeedconstruction.com:
Mid-range costs.
$9+$7.25 = 16.25/LF.</t>
      </text>
    </comment>
    <comment authorId="0" ref="A22">
      <text>
        <t xml:space="preserve">Owens Corning "SureNail" "DURATION" architectural asphalt shingles installed 2010-2012. Nailing strip is fiberglass reinforced. Est life :25 years.
Note: These are NOT 3-tab asphalt shingles.</t>
      </text>
    </comment>
    <comment authorId="0" ref="C22">
      <text>
        <t xml:space="preserve">In 2010, 2011 and 2012, CAU insurance reimbursed Ridge Park $444,222 to replace all roofs from hail damage in 2009, according to check registers. RP paid a deductible. Total cost was $660,000 according to Stuart Bowling, past president.</t>
      </text>
    </comment>
    <comment authorId="0" ref="E22">
      <text>
        <t xml:space="preserve">Manufacturer's shingle estimated life is 30 years. Maint. Comm. shortened to 25 years.</t>
      </text>
    </comment>
    <comment authorId="0" ref="H22">
      <text>
        <t xml:space="preserve">High estimate used from homewyse.com to factor in premium cost for contractors to travel to Los Alamos and top quality paint.</t>
      </text>
    </comment>
    <comment authorId="0" ref="L22">
      <text>
        <t xml:space="preserve">Current 2026:
$1,056,145 / 122,484 SF = $8.62/SF
Metal Roof: Assume $17.50/SF.
122,484SF x $17.50/SF = $2,143,470
NEED ESTIMATE</t>
      </text>
    </comment>
    <comment authorId="0" ref="A25">
      <text>
        <t xml:space="preserve">Properly installed and maintained traditional exterior stucco typically lasts 50 to 80 years, often exceeding 100 years, due to its durable, cement-based composition. While highly durable and resistant to rot, it requires regular maintenance—including painting every 7–10 years—to prevent moisture infiltration and cracking.</t>
      </text>
    </comment>
    <comment authorId="0" ref="A26">
      <text>
        <t xml:space="preserve">This was a structural fix to poor construction. 
A wood-framed house can last 100 years or more, and with pristine care and heavy timber construction, it can endure for centuries.</t>
      </text>
    </comment>
    <comment authorId="0" ref="A30">
      <text>
        <t xml:space="preserve">Front balconies on all 22 Townhouses were replaced in 2014 for $96,000.</t>
      </text>
    </comment>
    <comment authorId="0" ref="A31">
      <text>
        <t xml:space="preserve">TLC Plumbing can do.
Source: Google AI
Probably $400 each from valves outside buildings. 31 valves x $400 each = $12,4
00.
Frequency: Every year.
Visual Inspection:
This is the most basic type of inspection, involving a visual assessment of the water lines, drains, and fixtures. It typically costs between $100 and $200.
Camera Inspection:
This involves using a camera to inspect the inside of pipes, especially in hard-to-reach areas like behind walls or under floors. The cost can range from $300 to $1,100.
Combination Inspection:
This combines both visual and camera inspections and can cost $400 to $1,300.
</t>
      </text>
    </comment>
    <comment authorId="0" ref="I31">
      <text>
        <t xml:space="preserve">TLC : $120/hr for 8 hrs = $1,120. Round to $1,500.</t>
      </text>
    </comment>
    <comment authorId="0" ref="A32">
      <text>
        <t xml:space="preserve">TLC Plumbing can do. Probably for $300 each from sewer cleanouts. 26 clean-out x $500 each = $13,000.
Frequency: Every 2 years.
Source: Google AI
A sewer line camera inspection typically costs between $270 and $1,734, with the national average around $999. However, costs can range from $100 to $6,000 depending on factors like the length of the sewer line, ease of access, and potential need for additional services like pipe clearing or repairs. 
If the sewer line is easily accessible (e.g., with a cleanout access point), the inspection will likely be on the lower end of the price range. Difficult access, such as needing to remove a toilet or work in a crawlspace, will increase costs. 
</t>
      </text>
    </comment>
    <comment authorId="0" ref="H32">
      <text>
        <t xml:space="preserve">Assume 26 clean-out at $400 each.</t>
      </text>
    </comment>
    <comment authorId="0" ref="I32">
      <text>
        <t xml:space="preserve">9/4/25 TLC estimated $140/hr, 2 days, $2,800 - $3,500 to camera 26 sewer clean-outs.</t>
      </text>
    </comment>
    <comment authorId="0" ref="A33">
      <text>
        <t xml:space="preserve">Probably $400 each breaker box outside buildings. 35 boxes x $400 each = $14,000 according to  Internet.
Frequency: Every 2 years.
Source: Google AI
Type of Inspection:
A standard inspection (wiring, outlets, circuit breakers, panels) may cost $100-$200, while an infrared inspection (detecting hot spots) could range from $150-$350. A full home electrical inspection, which includes all electrical components, might cost $250-$400. </t>
      </text>
    </comment>
    <comment authorId="0" ref="A34">
      <text>
        <t xml:space="preserve">In 2025 McParlon Roofing performs annual roof inspection for $15,000 until 2029. Includes minor repairs.
Source: Google AI
A shingle roof inspection typically costs between $150 and $350 for a basic inspection of a typical single-family home. More complex roofs or those requiring specialized inspections can cost between $300 and $800 or more. </t>
      </text>
    </comment>
    <comment authorId="0" ref="H36">
      <text>
        <t xml:space="preserve">Rockford Chimney Supply:
($1196 each + $300 labor)
x 76 Chimney Chases
= $113,696</t>
      </text>
    </comment>
    <comment authorId="0" ref="H37">
      <text>
        <t xml:space="preserve">Calculator Est range $16,625 - 25,3173.</t>
      </text>
    </comment>
    <comment authorId="0" ref="H38">
      <text>
        <t xml:space="preserve">Calculator Est range $$5,503 - 7,652.</t>
      </text>
    </comment>
    <comment authorId="0" ref="L39">
      <text>
        <t xml:space="preserve">2026 Budget.</t>
      </text>
    </comment>
    <comment authorId="0" ref="H40">
      <text>
        <t xml:space="preserve">15 treads at $700 each to replace. (Angie's list high-end estimate)
15 treads at $50 each to repair.</t>
      </text>
    </comment>
    <comment authorId="0" ref="A41">
      <text>
        <t xml:space="preserve">To comply with Fannie Mae Condominium Project Questionnaire (Form 1076) for new buyers.
Licensed Engineer to inspect every 3-5 years.</t>
      </text>
    </comment>
    <comment authorId="0" ref="L41">
      <text>
        <t xml:space="preserve">Etsimated cost in 2025.</t>
      </text>
    </comment>
    <comment authorId="0" ref="A45">
      <text>
        <t xml:space="preserve">OFFSET Formula:
OFFSET(cell_reference, offset_rows, offset_columns, [height optional], [width optional])</t>
      </text>
    </comment>
    <comment authorId="0" ref="A48">
      <text>
        <t xml:space="preserve">Example:If your principal is \($1,000) (Cell A1), the rate is (5%) (Cell A2), it compounds monthly (Cell A3), and you are investing for (10) years (Cell A4), the formula would look like this:=A1*(1+A2/A3)^(A3*A4).</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See Blueprints.</t>
      </text>
    </comment>
    <comment authorId="0" ref="C3">
      <text>
        <t xml:space="preserve">Estimated from blueprints.</t>
      </text>
    </comment>
    <comment authorId="0" ref="D3">
      <text>
        <t xml:space="preserve">Estimated from blueprints.</t>
      </text>
    </comment>
    <comment authorId="0" ref="F3">
      <text>
        <t xml:space="preserve">Estimated from blueprints.</t>
      </text>
    </comment>
    <comment authorId="0" ref="H3">
      <text>
        <t xml:space="preserve">Estimated from blueprints.
Dimensions:
5"10" x 4'4" = 5.83' x 4.3' 
2(5.83) +2(4.3) = 20.26 LF/Chase
20.26 x 4 chases = 81 LF
</t>
      </text>
    </comment>
    <comment authorId="0" ref="I3">
      <text>
        <t xml:space="preserve">From aerial photo, 20% roof slopes, and overhangs.</t>
      </text>
    </comment>
    <comment authorId="0" ref="J3">
      <text>
        <t xml:space="preserve">Based on Roof Area Square FT.</t>
      </text>
    </comment>
    <comment authorId="0" ref="K3">
      <text>
        <t xml:space="preserve">Estimated from blueprints.</t>
      </text>
    </comment>
    <comment authorId="0" ref="L3">
      <text>
        <t xml:space="preserve">Estimated from blueprints.</t>
      </text>
    </comment>
    <comment authorId="0" ref="M3">
      <text>
        <t xml:space="preserve">Estimated from blueprints.
Assume same for fascia boards on all buildings.
3rd floor only.</t>
      </text>
    </comment>
    <comment authorId="0" ref="N3">
      <text>
        <t xml:space="preserve">Estimated from blueprints.
This is not flashing for chimney chases.
</t>
      </text>
    </comment>
    <comment authorId="0" ref="O3">
      <text>
        <t xml:space="preserve">Estimated from blueprints.
This is not flashing for chimney chases.
</t>
      </text>
    </comment>
    <comment authorId="0" ref="Q3">
      <text>
        <t xml:space="preserve">From aerial photo.</t>
      </text>
    </comment>
    <comment authorId="0" ref="R3">
      <text>
        <t xml:space="preserve">Estimated from 100 square feet of existing asphalt in 2022.</t>
      </text>
    </comment>
    <comment authorId="0" ref="S3">
      <text>
        <t xml:space="preserve">From aerial photo.</t>
      </text>
    </comment>
    <comment authorId="0" ref="T3">
      <text>
        <t xml:space="preserve">From aerial photo.</t>
      </text>
    </comment>
    <comment authorId="0" ref="V3">
      <text>
        <t xml:space="preserve">Estimated from blueprints.</t>
      </text>
    </comment>
    <comment authorId="0" ref="W3">
      <text>
        <t xml:space="preserve">Estimated from blueprints.</t>
      </text>
    </comment>
    <comment authorId="0" ref="X3">
      <text>
        <t xml:space="preserve">Estimated from blueprints.</t>
      </text>
    </comment>
    <comment authorId="0" ref="Y3">
      <text>
        <t xml:space="preserve">Estimated from blueprints.</t>
      </text>
    </comment>
    <comment authorId="0" ref="AB3">
      <text>
        <t xml:space="preserve">From blueprints.</t>
      </text>
    </comment>
    <comment authorId="0" ref="C5">
      <text>
        <t xml:space="preserve">Balcony and patio partitions and posts, stairwell wood surfaces.</t>
      </text>
    </comment>
    <comment authorId="0" ref="C7">
      <text>
        <t xml:space="preserve">Balcony and patio partitions and posts, stairwell wood surfaces.</t>
      </text>
    </comment>
    <comment authorId="0" ref="C8">
      <text>
        <t xml:space="preserve">In 2024, "A1 Painting" estimated 12, 500 SF.
12,500/14409 = 87%.</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From actual bank transactions, Check register, obligated payments (McPartlon),  and 2025 budget averages.</t>
      </text>
    </comment>
    <comment authorId="0" ref="C2">
      <text>
        <t xml:space="preserve">Directly from the 2025 ratified budget.</t>
      </text>
    </comment>
    <comment authorId="0" ref="A4">
      <text>
        <t xml:space="preserve">Need Board policy on the minimum cash surplus for Operating Account.</t>
      </text>
    </comment>
    <comment authorId="0" ref="A5">
      <text>
        <t xml:space="preserve">The HOA needs to draw money from the Reserve Account when needed.</t>
      </text>
    </comment>
    <comment authorId="0" ref="A6">
      <text>
        <t xml:space="preserve">Money Market account. What is interest rate? This is too small considering the size of the Cash Surplus.
Need Board policy on the minimum amount.</t>
      </text>
    </comment>
    <comment authorId="0" ref="A7">
      <text>
        <t xml:space="preserve">Cash Surplus carried over from previous month. Based on actual bank and investment cash balances entered on the first day of each month.</t>
      </text>
    </comment>
    <comment authorId="0" ref="A9">
      <text>
        <t xml:space="preserve">Depends on Investment Account total and interest rate.</t>
      </text>
    </comment>
    <comment authorId="0" ref="A10">
      <text>
        <t xml:space="preserve">INCLUDES ALL CASH INCOME EXCEPT INTEREST BECAUSE BANK DEPOSITS DO NOT SHOW SEPARATE LINE ITEMS.
=(138 RP Units) X (Monthly Assessment). This is an average. Actual amounts are higher at the beginning of the year because some owners pay for multiple months.</t>
      </text>
    </comment>
    <comment authorId="0" ref="B10">
      <text>
        <t xml:space="preserve">Need update for 2026.</t>
      </text>
    </comment>
    <comment authorId="0" ref="A11">
      <text>
        <t xml:space="preserve">Bldg 505 Apartment Rent.</t>
      </text>
    </comment>
    <comment authorId="0" ref="A12">
      <text>
        <t xml:space="preserve">Included in Line 10, Income from Owner Assessments.</t>
      </text>
    </comment>
    <comment authorId="0" ref="A13">
      <text>
        <t xml:space="preserve">Included in Line 10, Income from Owner Assessments.</t>
      </text>
    </comment>
    <comment authorId="0" ref="A17">
      <text>
        <t xml:space="preserve">Jim Dinkle financial statement compilation services.</t>
      </text>
    </comment>
    <comment authorId="0" ref="A18">
      <text>
        <t xml:space="preserve">Community Association D&amp;O Insurance.
Farm Bureau Financial for property.</t>
      </text>
    </comment>
    <comment authorId="0" ref="A19">
      <text>
        <t xml:space="preserve">Mr. Donald Walcott, Santa Fe, NM.
2026 Budget amount averaged over 12 months.</t>
      </text>
    </comment>
    <comment authorId="0" ref="A23">
      <text>
        <t xml:space="preserve">Landscaping, mowing, debris cleanup, bush, and small tree removal.</t>
      </text>
    </comment>
    <comment authorId="0" ref="A24">
      <text>
        <t xml:space="preserve">equipment, supplies, snow
</t>
      </text>
    </comment>
    <comment authorId="0" ref="A25">
      <text>
        <t xml:space="preserve">Repairs to Buildings, parking lots, streets.
Show as Total and breakout starting on Line 51.</t>
      </text>
    </comment>
    <comment authorId="0" ref="C25">
      <text>
        <t xml:space="preserve">New Project Budget from 4/27/26 Board/Maint/Budget Workshop.</t>
      </text>
    </comment>
    <comment authorId="0" ref="E25">
      <text>
        <t xml:space="preserve">If all projects are completed in 2025.
Most of Chimney Chase Flashing and Roof Flashing have been moved to 2026.</t>
      </text>
    </comment>
    <comment authorId="0" ref="A26">
      <text>
        <t xml:space="preserve">Start-up and Maintenance.</t>
      </text>
    </comment>
    <comment authorId="0" ref="A27">
      <text>
        <t xml:space="preserve">505 Building Apartment Maintenance.
2026 Budget averaged over 12 months.
</t>
      </text>
    </comment>
    <comment authorId="0" ref="A28">
      <text>
        <t xml:space="preserve">Plus Purchase pallet of Snow-Melt for $1,000 in January.</t>
      </text>
    </comment>
    <comment authorId="0" ref="A31">
      <text>
        <t xml:space="preserve">Does not includes Employer taxes.</t>
      </text>
    </comment>
    <comment authorId="0" ref="A32">
      <text>
        <t xml:space="preserve">Special Budget Line:
These are unallocated cash expenses (debits) in the Bank Statement that are not shown in the Ridge Park Check Register. The payees are unknown at this time.</t>
      </text>
    </comment>
    <comment authorId="0" ref="A33">
      <text>
        <t xml:space="preserve">Approx 8.52% of gross payroll plus inflation.
This Line includes all taxes paid.</t>
      </text>
    </comment>
    <comment authorId="0" ref="A36">
      <text>
        <t xml:space="preserve">Office.</t>
      </text>
    </comment>
    <comment authorId="0" ref="A37">
      <text>
        <t xml:space="preserve">US Mail: HOA Budget info and other materials to residents.</t>
      </text>
    </comment>
    <comment authorId="0" ref="A38">
      <text>
        <t xml:space="preserve">For possible staff trips to Santa Fe.</t>
      </text>
    </comment>
    <comment authorId="0" ref="A41">
      <text>
        <t xml:space="preserve">2026 Budget averaged over 12 months.</t>
      </text>
    </comment>
    <comment authorId="0" ref="A42">
      <text>
        <t xml:space="preserve">Bank Stmt</t>
      </text>
    </comment>
    <comment authorId="0" ref="A45">
      <text>
        <t xml:space="preserve">Cash Surplus AFTER all expenses in this column are paid.
Need Board policy on the minimum end-of-year amount.</t>
      </text>
    </comment>
    <comment authorId="0" ref="A48">
      <text>
        <t xml:space="preserve">These Projects need to be prioritized.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2025 Budget Amount.</t>
      </text>
    </comment>
    <comment authorId="0" ref="A23">
      <text>
        <t xml:space="preserve">Unplanned expenses, emergency repairs, non-projects, mostly minor repairs for owners.
Jaquez Drywall, equipment, supplies, snow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Board needs to consider the capacity of its business management function when selecting budget projects. 
There are 14 budget projects on this list for 2026. Considering the number of projects left undone in 2025, the number of projects on this list may overwhelm management again.</t>
      </text>
    </comment>
    <comment authorId="0" ref="A3">
      <text>
        <t xml:space="preserve">Set by Board/Maint/Budget Workshop on 4/27/29.</t>
      </text>
    </comment>
    <comment authorId="0" ref="E3">
      <text>
        <t xml:space="preserve">Peter Carson
Kirk Pearson
Brendan Gifford
Connie Reynolds
Denise Carson
Clark Reynolds
Gary Monce
Victor </t>
      </text>
    </comment>
    <comment authorId="0" ref="C12">
      <text>
        <t xml:space="preserve">4-27-26 RP Workshop:
Need to assess all 76 chimney chase covers and grade their condition, and schedule buildings in future years according to condition.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Spreading costs is the primary financing option. The Board has complete control and stretching out payments to contractors will keep RP expenses from outrunning monthly revenues. </t>
      </text>
    </comment>
    <comment authorId="0" ref="C9">
      <text>
        <t xml:space="preserve">Delaying projects give immediate financial relief but may increase  deferred maintenance problems.</t>
      </text>
    </comment>
    <comment authorId="0" ref="C10">
      <text>
        <t xml:space="preserve">We should consider financing offered by contractors. ABC Seamless of Albuquerque offers financing options that typically include a 12-month same-as-cash (no interest, no payments) option, allowing for 12 months to pay off the project in full to avoid interest charges. These plans often allow for loans up to $45,000 for qualified homeowners on projects like siding, gutters, and roofing.</t>
      </text>
    </comment>
    <comment authorId="0" ref="D10">
      <text>
        <t xml:space="preserve">Several Albuquerque roofing companies offer 12-month or longer financing options for metal roofs, including Reimagine Roofing (0% interest for 12 months, no money down) and Altitude Roofing/Everguard Roofing (flexible, customized plans). These options allow for manageable, sometimes same-as-cash payments while upgrading to durable metal roofing.</t>
      </text>
    </comment>
    <comment authorId="0" ref="E10">
      <text>
        <t xml:space="preserve">Powerhouse Contracting in Albuquerque offers flexible financing options for remodeling and HVAC projects, including deferred interest (0% if paid within 18 months) and reduced APR options with fixed payments through Synchrony Bank.</t>
      </text>
    </comment>
    <comment authorId="0" ref="C11">
      <text>
        <t xml:space="preserve">A Line of Credit would be used in emergencies to bridge unexpected cash gaps.</t>
      </text>
    </comment>
    <comment authorId="0" ref="C12">
      <text>
        <t xml:space="preserve">According to the Internet, loans are a common HOA option for financing large projects. 
A typical HOA Project Financing Scenario Project: A 100-unit condominium needs $500,000 for new roofing and siding.Funding Choice: Instead of a $5,000 immediate special assessment per unit, the Board secures a 10-year term loan, spreading costs over time. 
Financing Type: A term loan with a fixed interest rate, providing predictable monthly payments. 
Collateral: The loan is secured by the association’s right to collect dues and assessments from unit owners.
Approval: Approved by a board vote or member vote depending on governing documents.</t>
      </text>
    </comment>
    <comment authorId="0" ref="C13">
      <text>
        <t xml:space="preserve">Selling the RP apartment above office has been discussed. Its sale would boost the Reserves for years to come. Alternatively, the apartment could be collateral for a loan.</t>
      </text>
    </comment>
    <comment authorId="0" ref="C14">
      <text>
        <t xml:space="preserve">Assessing more money from owners to finance projects should be a last resort, after all other financing options have been exhausted.
Money in the possession of owners represents a ready reservoir of funds. Special Assessments are always an option, if justified.</t>
      </text>
    </comment>
  </commentList>
</comments>
</file>

<file path=xl/sharedStrings.xml><?xml version="1.0" encoding="utf-8"?>
<sst xmlns="http://schemas.openxmlformats.org/spreadsheetml/2006/main" count="1192" uniqueCount="586">
  <si>
    <t>Year</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</si>
  <si>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</si>
  <si>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</si>
  <si>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</si>
  <si>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</si>
  <si>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</si>
  <si>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</si>
  <si>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</si>
  <si>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</si>
  <si>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</si>
  <si>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</si>
  <si>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</si>
  <si>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</si>
  <si>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</si>
  <si>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</si>
  <si>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</si>
  <si>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</si>
  <si>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</si>
  <si>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</si>
  <si>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</si>
  <si>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</si>
  <si>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</si>
  <si>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</si>
  <si>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</si>
  <si>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</si>
  <si>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</si>
  <si>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</si>
  <si>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</si>
  <si>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RESERVES (Cash Surplus Yr-End)</t>
  </si>
  <si>
    <t>Minimum Year-End Reserve Start 2030</t>
  </si>
  <si>
    <t>Monthly Cash-In / Unit</t>
  </si>
  <si>
    <t>THIS CASH PROJECTION REPRESENTS THE BEST ESTIMATE OF THE FINANCIAL OUTLOOK. THE RIDGE PARK BOARD MAY CHANGE IT AT ANYTIME.</t>
  </si>
  <si>
    <r>
      <rPr>
        <rFont val="Calibri"/>
        <b/>
        <color theme="1"/>
      </rPr>
      <t>Inflation Rate Sources</t>
    </r>
    <r>
      <rPr>
        <rFont val="Calibri"/>
        <color theme="1"/>
      </rPr>
      <t>: Federal Reserve Bank of St. Louis Producer Price Index by Industry for Building Maintenance, New Construction, and General Inflation.</t>
    </r>
  </si>
  <si>
    <r>
      <rPr>
        <rFont val="Calibri"/>
        <b/>
        <color theme="1"/>
      </rPr>
      <t xml:space="preserve">Ridge Park Property Data Sources: </t>
    </r>
    <r>
      <rPr>
        <rFont val="Calibri"/>
        <b val="0"/>
        <color theme="1"/>
      </rPr>
      <t>square footages, linear feet, and other dimensions measured and estimated from Ridge Park blue prints.</t>
    </r>
  </si>
  <si>
    <r>
      <rPr>
        <rFont val="Calibri"/>
        <b/>
        <color theme="1"/>
      </rPr>
      <t>Financial Data Sources</t>
    </r>
    <r>
      <rPr>
        <rFont val="Calibri"/>
        <color theme="1"/>
      </rPr>
      <t>: Bank Statements, Financial Statements from Accoutant, Ridge Park Annual Budget, Max Property Insurance Deductible, and cost estimates from Budget and Maintenance Committees.</t>
    </r>
  </si>
  <si>
    <r>
      <rPr>
        <rFont val="Calibri"/>
        <b/>
        <color theme="1"/>
      </rPr>
      <t>Assumptions</t>
    </r>
    <r>
      <rPr>
        <rFont val="Calibri"/>
        <color theme="1"/>
      </rPr>
      <t xml:space="preserve">: All Projects in each Annual Budget are completed. Current Inflation Rates are used for all future years. </t>
    </r>
  </si>
  <si>
    <t>CLICK CHART AND HOVER CURSOR OVER BAR TO DISPLAY RESERVE BALANCE</t>
  </si>
  <si>
    <t>FOR DETAILS ON HOW THIS CHART WAS BUILT CLICK THIS LINK AND REQUEST ACCESS</t>
  </si>
  <si>
    <t>Ridge Park Budget Projection</t>
  </si>
  <si>
    <t>STANDARD FORMULA FOR FUTURE VALUES:</t>
  </si>
  <si>
    <t>FV = PV x (1 + r)^n</t>
  </si>
  <si>
    <t>PV = Present Value</t>
  </si>
  <si>
    <t>r = Interest or Inflation Rate (Annual %)</t>
  </si>
  <si>
    <t>n = Number of Compounding Periods (Years)</t>
  </si>
  <si>
    <t>FUNDING PLAN</t>
  </si>
  <si>
    <t>1</t>
  </si>
  <si>
    <r>
      <rPr>
        <rFont val="Calibri"/>
        <b/>
        <strike/>
        <color rgb="FF000000"/>
        <sz val="11.0"/>
      </rPr>
      <t xml:space="preserve">2025 Budget Projection
</t>
    </r>
    <r>
      <rPr>
        <rFont val="Calibri"/>
        <b/>
        <strike/>
        <color rgb="FF38761D"/>
        <sz val="11.0"/>
      </rPr>
      <t>GREEN</t>
    </r>
    <r>
      <rPr>
        <rFont val="Calibri"/>
        <b/>
        <strike/>
        <color rgb="FF000000"/>
        <sz val="11.0"/>
      </rPr>
      <t xml:space="preserve"> = Bank Record or Check Register
</t>
    </r>
    <r>
      <rPr>
        <rFont val="Calibri"/>
        <b/>
        <strike/>
        <color rgb="FF0000FF"/>
        <sz val="11.0"/>
      </rPr>
      <t>BLUE</t>
    </r>
    <r>
      <rPr>
        <rFont val="Calibri"/>
        <b/>
        <strike/>
        <color rgb="FF000000"/>
        <sz val="11.0"/>
      </rPr>
      <t xml:space="preserve"> = Budgeted Averages &amp; Estimates, Bids, 
BLACK = Formula Results</t>
    </r>
  </si>
  <si>
    <t>Jan</t>
  </si>
  <si>
    <t>Feb</t>
  </si>
  <si>
    <t>Mar</t>
  </si>
  <si>
    <t>Apr</t>
  </si>
  <si>
    <t>May</t>
  </si>
  <si>
    <t>Jun</t>
  </si>
  <si>
    <t>July</t>
  </si>
  <si>
    <t>Aug</t>
  </si>
  <si>
    <t>Sep</t>
  </si>
  <si>
    <t>Oct</t>
  </si>
  <si>
    <t>Nov</t>
  </si>
  <si>
    <t>Dec</t>
  </si>
  <si>
    <t>Projected Total</t>
  </si>
  <si>
    <t>Budgeted Total</t>
  </si>
  <si>
    <t>Projected Over (+) Under (-) Budget</t>
  </si>
  <si>
    <r>
      <rPr>
        <rFont val="Calibri"/>
        <b/>
        <color rgb="FF000000"/>
        <sz val="11.0"/>
      </rPr>
      <t xml:space="preserve">2026 Budget Projection
</t>
    </r>
    <r>
      <rPr>
        <rFont val="Calibri"/>
        <b/>
        <color rgb="FF38761D"/>
        <sz val="11.0"/>
      </rPr>
      <t>GREEN</t>
    </r>
    <r>
      <rPr>
        <rFont val="Calibri"/>
        <b/>
        <color rgb="FF000000"/>
        <sz val="11.0"/>
      </rPr>
      <t xml:space="preserve"> = Bank Record Numbers
</t>
    </r>
    <r>
      <rPr>
        <rFont val="Calibri"/>
        <b/>
        <color rgb="FF0000FF"/>
        <sz val="11.0"/>
      </rPr>
      <t>BLUE</t>
    </r>
    <r>
      <rPr>
        <rFont val="Calibri"/>
        <b/>
        <color rgb="FF000000"/>
        <sz val="11.0"/>
      </rPr>
      <t xml:space="preserve"> = Budget Number/Averages &amp; Bids
BLACK = Other Formula Results</t>
    </r>
  </si>
  <si>
    <r>
      <rPr>
        <rFont val="Calibri"/>
        <b/>
        <color rgb="FFFF0000"/>
        <sz val="14.0"/>
      </rPr>
      <t>PROJECTED
Operating &amp; Reserves Account Balances</t>
    </r>
    <r>
      <rPr>
        <rFont val="Calibri"/>
        <b/>
        <color theme="1"/>
        <sz val="14.0"/>
      </rPr>
      <t xml:space="preserve">
</t>
    </r>
  </si>
  <si>
    <t>Total 2027</t>
  </si>
  <si>
    <r>
      <rPr>
        <rFont val="Calibri"/>
        <b/>
        <color rgb="FFFF0000"/>
        <sz val="14.0"/>
      </rPr>
      <t>PROJECTED
Operating &amp; Reserves Account Balances</t>
    </r>
    <r>
      <rPr>
        <rFont val="Calibri"/>
        <b/>
        <color theme="1"/>
        <sz val="14.0"/>
      </rPr>
      <t xml:space="preserve">
</t>
    </r>
  </si>
  <si>
    <t>Total 2028</t>
  </si>
  <si>
    <r>
      <rPr>
        <rFont val="Calibri"/>
        <b/>
        <color rgb="FFFF0000"/>
        <sz val="14.0"/>
      </rPr>
      <t>PROJECTED
Operating &amp; Reserves Account Balances</t>
    </r>
    <r>
      <rPr>
        <rFont val="Calibri"/>
        <b/>
        <color theme="1"/>
        <sz val="14.0"/>
      </rPr>
      <t xml:space="preserve">
</t>
    </r>
  </si>
  <si>
    <t>Total 2029</t>
  </si>
  <si>
    <r>
      <rPr>
        <rFont val="Calibri"/>
        <b/>
        <color rgb="FFFF0000"/>
        <sz val="14.0"/>
      </rPr>
      <t>PROJECTED
Operating &amp; Reserves Account Balances</t>
    </r>
    <r>
      <rPr>
        <rFont val="Calibri"/>
        <b/>
        <color theme="1"/>
        <sz val="14.0"/>
      </rPr>
      <t xml:space="preserve">
</t>
    </r>
  </si>
  <si>
    <t>2027</t>
  </si>
  <si>
    <t>2028</t>
  </si>
  <si>
    <t>2029</t>
  </si>
  <si>
    <t>Operating Account (checking)</t>
  </si>
  <si>
    <t xml:space="preserve">      Auto Transfer to Reserves</t>
  </si>
  <si>
    <t xml:space="preserve">  Auto Transfer to Reserves</t>
  </si>
  <si>
    <t xml:space="preserve">      Transfer to Operating</t>
  </si>
  <si>
    <t xml:space="preserve">  Transfer to Operating</t>
  </si>
  <si>
    <t>Reserves Account (savings)</t>
  </si>
  <si>
    <t>Reserves Account (Money Mkt Accts #3731 &amp; #0598)</t>
  </si>
  <si>
    <t>Investment Account (CD)</t>
  </si>
  <si>
    <t>Investment Account (Cert of Deposit)</t>
  </si>
  <si>
    <t>Investment Account</t>
  </si>
  <si>
    <r>
      <rPr>
        <rFont val="Calibri"/>
        <b/>
        <color theme="1"/>
        <sz val="14.0"/>
      </rPr>
      <t>Starting Balance (</t>
    </r>
    <r>
      <rPr>
        <rFont val="Calibri"/>
        <b/>
        <color rgb="FFFF0000"/>
        <sz val="14.0"/>
      </rPr>
      <t>Current Reserves</t>
    </r>
    <r>
      <rPr>
        <rFont val="Calibri"/>
        <b/>
        <color theme="1"/>
        <sz val="14.0"/>
      </rPr>
      <t>)</t>
    </r>
  </si>
  <si>
    <r>
      <rPr>
        <rFont val="Calibri"/>
        <b/>
        <color theme="1"/>
        <sz val="14.0"/>
      </rPr>
      <t>Starting Balance (</t>
    </r>
    <r>
      <rPr>
        <rFont val="Calibri"/>
        <b/>
        <color rgb="FFFF0000"/>
        <sz val="14.0"/>
      </rPr>
      <t>Current Reserves</t>
    </r>
    <r>
      <rPr>
        <rFont val="Calibri"/>
        <b/>
        <color theme="1"/>
        <sz val="14.0"/>
      </rPr>
      <t>)</t>
    </r>
  </si>
  <si>
    <r>
      <rPr>
        <rFont val="Calibri"/>
        <b/>
        <color theme="1"/>
        <sz val="14.0"/>
      </rPr>
      <t>Starting Balance (</t>
    </r>
    <r>
      <rPr>
        <rFont val="Calibri"/>
        <b/>
        <color rgb="FFFF0000"/>
        <sz val="14.0"/>
      </rPr>
      <t>Current Reserves</t>
    </r>
    <r>
      <rPr>
        <rFont val="Calibri"/>
        <b/>
        <color theme="1"/>
        <sz val="14.0"/>
      </rPr>
      <t>)</t>
    </r>
  </si>
  <si>
    <r>
      <rPr>
        <rFont val="Calibri"/>
        <b/>
        <color theme="1"/>
        <sz val="14.0"/>
      </rPr>
      <t>Starting Balance (</t>
    </r>
    <r>
      <rPr>
        <rFont val="Calibri"/>
        <b/>
        <color rgb="FFFF0000"/>
        <sz val="14.0"/>
      </rPr>
      <t>Current Reserves</t>
    </r>
    <r>
      <rPr>
        <rFont val="Calibri"/>
        <b/>
        <color theme="1"/>
        <sz val="14.0"/>
      </rPr>
      <t>)</t>
    </r>
  </si>
  <si>
    <r>
      <rPr>
        <rFont val="Calibri"/>
        <b/>
        <color theme="1"/>
        <sz val="14.0"/>
      </rPr>
      <t>Starting Balance (</t>
    </r>
    <r>
      <rPr>
        <rFont val="Calibri"/>
        <b/>
        <color rgb="FFFF0000"/>
        <sz val="14.0"/>
      </rPr>
      <t>Current Reserves</t>
    </r>
    <r>
      <rPr>
        <rFont val="Calibri"/>
        <b/>
        <color theme="1"/>
        <sz val="14.0"/>
      </rPr>
      <t>)</t>
    </r>
  </si>
  <si>
    <r>
      <rPr>
        <rFont val="Calibri"/>
        <b/>
        <color theme="1"/>
        <sz val="14.0"/>
      </rPr>
      <t>Starting Balance (</t>
    </r>
    <r>
      <rPr>
        <rFont val="Calibri"/>
        <b/>
        <color rgb="FFFF0000"/>
        <sz val="14.0"/>
      </rPr>
      <t>Current Reserves</t>
    </r>
    <r>
      <rPr>
        <rFont val="Calibri"/>
        <b/>
        <color theme="1"/>
        <sz val="14.0"/>
      </rPr>
      <t>)</t>
    </r>
  </si>
  <si>
    <t>CASH IN</t>
  </si>
  <si>
    <t>Interest Income</t>
  </si>
  <si>
    <t>Income from Owner Assessments</t>
  </si>
  <si>
    <t>Other Income  Apt Rent</t>
  </si>
  <si>
    <t>RV Park Fees</t>
  </si>
  <si>
    <t>Late Fees, Resale Certificates</t>
  </si>
  <si>
    <t>TOTAL CASH IN</t>
  </si>
  <si>
    <t>CASH OUT</t>
  </si>
  <si>
    <t>Financial Management</t>
  </si>
  <si>
    <t xml:space="preserve">Accounting </t>
  </si>
  <si>
    <t>Accounting + PayHOA Svc</t>
  </si>
  <si>
    <t xml:space="preserve">Insurance </t>
  </si>
  <si>
    <t xml:space="preserve">Legal/Professional Services </t>
  </si>
  <si>
    <t xml:space="preserve">Subtotal </t>
  </si>
  <si>
    <t>Maintenance and Repairs</t>
  </si>
  <si>
    <t>Equipment Repairs (and purchases)</t>
  </si>
  <si>
    <t xml:space="preserve">Equipment Repairs </t>
  </si>
  <si>
    <t>Grounds Maintenance (Jaquez Contract)</t>
  </si>
  <si>
    <t>Grounds Maintenance</t>
  </si>
  <si>
    <t xml:space="preserve">Grounds Maintenance </t>
  </si>
  <si>
    <t>Facility Maintenance (Misc Repairs)</t>
  </si>
  <si>
    <t>Facilities Maintenance (Detail in Line 51):</t>
  </si>
  <si>
    <t>Facilities Maintenance (Detail in Line 52):</t>
  </si>
  <si>
    <t xml:space="preserve">Pool Maintenance </t>
  </si>
  <si>
    <t xml:space="preserve">Rental Unit Maintenance </t>
  </si>
  <si>
    <t>Snow Removal &amp; Purchase Snow-Melt</t>
  </si>
  <si>
    <t>Office Salary Expenses</t>
  </si>
  <si>
    <t xml:space="preserve">Business Office Salary </t>
  </si>
  <si>
    <t>Unallocated expenses (includes DDA)</t>
  </si>
  <si>
    <t>Payroll Taxes &amp; other taxes</t>
  </si>
  <si>
    <t>Payroll Taxes</t>
  </si>
  <si>
    <t>Office Expenses</t>
  </si>
  <si>
    <t>Supplies</t>
  </si>
  <si>
    <t>Postage and Freight</t>
  </si>
  <si>
    <t>Travel/Mileage Reimbursement</t>
  </si>
  <si>
    <t>Utilities</t>
  </si>
  <si>
    <t>Utility Bill, Water, Sewer &amp; Trash</t>
  </si>
  <si>
    <t>Telecomm Services</t>
  </si>
  <si>
    <t>TOTAL CASH OUT</t>
  </si>
  <si>
    <t>Ending Cash Balance</t>
  </si>
  <si>
    <t>Ending Balance (Operating + Reserve Cash)</t>
  </si>
  <si>
    <t>Special Assessment</t>
  </si>
  <si>
    <t>Special Assessments</t>
  </si>
  <si>
    <t>Monthly Assessment per Unit</t>
  </si>
  <si>
    <t>Line of Credit Payments (When Used)</t>
  </si>
  <si>
    <t>Loan Balance to Pay Off</t>
  </si>
  <si>
    <t>Loan Payments (When Used)</t>
  </si>
  <si>
    <t>Minimum Year-End Reserve</t>
  </si>
  <si>
    <t>Facilities Maintenance (Gantt Chart):</t>
  </si>
  <si>
    <t>Purple #'s are Maint Comm estimates and can shift in a row and auto-adjust for inflation.</t>
  </si>
  <si>
    <r>
      <rPr>
        <rFont val="Calibri"/>
        <b/>
        <color theme="1"/>
        <sz val="14.0"/>
      </rPr>
      <t>Facilities Maintenance (</t>
    </r>
    <r>
      <rPr>
        <rFont val="Calibri"/>
        <b/>
        <color rgb="FFFF0000"/>
        <sz val="14.0"/>
      </rPr>
      <t>Project Schedule</t>
    </r>
    <r>
      <rPr>
        <rFont val="Calibri"/>
        <b/>
        <color theme="1"/>
        <sz val="14.0"/>
      </rPr>
      <t>):</t>
    </r>
  </si>
  <si>
    <r>
      <rPr>
        <rFont val="Calibri"/>
        <b/>
        <color theme="1"/>
        <sz val="14.0"/>
      </rPr>
      <t>Facilities Maintenance (</t>
    </r>
    <r>
      <rPr>
        <rFont val="Calibri"/>
        <b/>
        <color rgb="FFFF0000"/>
        <sz val="14.0"/>
      </rPr>
      <t>Project Schedule</t>
    </r>
    <r>
      <rPr>
        <rFont val="Calibri"/>
        <b/>
        <color theme="1"/>
        <sz val="14.0"/>
      </rPr>
      <t>):</t>
    </r>
  </si>
  <si>
    <r>
      <rPr>
        <rFont val="Calibri"/>
        <b/>
        <color theme="1"/>
        <sz val="14.0"/>
      </rPr>
      <t>Facilities Maintenance (</t>
    </r>
    <r>
      <rPr>
        <rFont val="Calibri"/>
        <b/>
        <color rgb="FFFF0000"/>
        <sz val="14.0"/>
      </rPr>
      <t>Project Schedule</t>
    </r>
    <r>
      <rPr>
        <rFont val="Calibri"/>
        <b/>
        <color theme="1"/>
        <sz val="14.0"/>
      </rPr>
      <t>):</t>
    </r>
  </si>
  <si>
    <r>
      <rPr>
        <rFont val="Calibri"/>
        <b/>
        <color theme="1"/>
        <sz val="14.0"/>
      </rPr>
      <t>Facilities Maintenance (</t>
    </r>
    <r>
      <rPr>
        <rFont val="Calibri"/>
        <b/>
        <color rgb="FFFF0000"/>
        <sz val="14.0"/>
      </rPr>
      <t>Project Schedule</t>
    </r>
    <r>
      <rPr>
        <rFont val="Calibri"/>
        <b/>
        <color theme="1"/>
        <sz val="14.0"/>
      </rPr>
      <t>):</t>
    </r>
  </si>
  <si>
    <r>
      <rPr>
        <rFont val="Calibri"/>
        <b/>
        <color theme="1"/>
        <sz val="14.0"/>
      </rPr>
      <t>Facilities Maintenance (</t>
    </r>
    <r>
      <rPr>
        <rFont val="Calibri"/>
        <b/>
        <color rgb="FFFF0000"/>
        <sz val="14.0"/>
      </rPr>
      <t>Project Schedule</t>
    </r>
    <r>
      <rPr>
        <rFont val="Calibri"/>
        <b/>
        <color theme="1"/>
        <sz val="14.0"/>
      </rPr>
      <t>):</t>
    </r>
  </si>
  <si>
    <t>Asphalt Cracks &amp; Holes, Fill</t>
  </si>
  <si>
    <t>Driveway pothole &amp; crack repair</t>
  </si>
  <si>
    <t>Asphalt Milling and Overlay, then Replace</t>
  </si>
  <si>
    <t>Landscaping Design Services</t>
  </si>
  <si>
    <t>Landscaping, Wildfire Defensible Space</t>
  </si>
  <si>
    <t>Landscaping</t>
  </si>
  <si>
    <t>Chimney Chase Flashing &amp; Siding Repairs</t>
  </si>
  <si>
    <t>Chimney Chase Flashing &amp; Siding Repairs, 13 Bldgs</t>
  </si>
  <si>
    <t>Roof Flashing Repairs</t>
  </si>
  <si>
    <t>Roof Flashing Repairs, 13 Buildings</t>
  </si>
  <si>
    <t>Roof Flashing, Remove and Replace</t>
  </si>
  <si>
    <t>Flat Roof Replacement</t>
  </si>
  <si>
    <t>Chimney Chase Covers, 76 Covers</t>
  </si>
  <si>
    <t>Chimney Chase Covers</t>
  </si>
  <si>
    <t>Garage, Replace Roof membrane, PVC</t>
  </si>
  <si>
    <t>Gutters, Clean and Repair</t>
  </si>
  <si>
    <t>Gutters &amp; Guards, Install all buildings</t>
  </si>
  <si>
    <t>Gutter Guards, Install</t>
  </si>
  <si>
    <t>Gutters, Install on all horizontal roof edges</t>
  </si>
  <si>
    <t>Paint Building Wood Exteriors</t>
  </si>
  <si>
    <t>Paint 4 Full Buildings and Trim on 2 Stucco Buildings</t>
  </si>
  <si>
    <t>Paint 4 Building Exteriors</t>
  </si>
  <si>
    <t>Paint for Building Exteriors</t>
  </si>
  <si>
    <t>Parking Lots, Restripe</t>
  </si>
  <si>
    <t>Guardrails on the patio area next to the pool</t>
  </si>
  <si>
    <t>Pool Repair and Plaster Resurface</t>
  </si>
  <si>
    <t>Project Management Agent</t>
  </si>
  <si>
    <t>Replace/Repair Skylights</t>
  </si>
  <si>
    <t>Repair retaining wall by building 4</t>
  </si>
  <si>
    <t>Retaining Wall, Replace (Bldgs #1, &amp; #7 west side, only)</t>
  </si>
  <si>
    <t>Retaining Wall, Replace</t>
  </si>
  <si>
    <t>Townhouse Walls, Decks</t>
  </si>
  <si>
    <t>Retaining Wall, Repair (Bldgs#3,4,10)</t>
  </si>
  <si>
    <t>Retaining Wall, Repair</t>
  </si>
  <si>
    <t>Metal Roofs</t>
  </si>
  <si>
    <t>Roof, Install Fiberglass-reinforced asphalt shingles</t>
  </si>
  <si>
    <t>https://www.homebuddy.com/costs/roofing/cost-of-metal-roof-vs-shingles?Source=Sad&amp;mb=2681&amp;utm_source=Sad&amp;utm_campaign=23252167347_188513140253&amp;utm_term=new%20roof%20cost%202026_e&amp;utm_medium=2681&amp;utm_content=783797253811-g&amp;offer_id=2904&amp;ad_id=Cj0KCQjwlLDQBhDjARIsAPlIefFmQr-q-M9xcyHobo6IJPSK381XCNe0G4kCBi7duZYDP2utt1PT3AUaAqqwEALw_wcB&amp;gad_source=1&amp;gad_campaignid=23252167347&amp;gbraid=0AAAAADdiad_XrdcidX2bkpt0i9wlbfn6d&amp;gclid=Cj0KCQjwlLDQBhDjARIsAPlIefFmQr-q-M9xcyHobo6IJPSK381XCNe0G4kCBi7duZYDP2utt1PT3AUaAqqwEALw_wcB</t>
  </si>
  <si>
    <t>https://www.homewyse.com/services/cost_to_install_seam_metal_roof.html</t>
  </si>
  <si>
    <t>https://foxhavenroof.com/metal-roof-vs-shingles-cost-complete-2026-price-comparison/</t>
  </si>
  <si>
    <t>https://www.google.com/search?q=cost+comparison+of+metal+roofs+versus+shingles&amp;sca_esv=c4a9854c715d4f5d&amp;sxsrf=ANbL-n4KH-FVvsuTYnT2-GJdlg3TJLijfQ%3A1779229093585&amp;ei=peEMaufAI53LkPIPreHwwQk&amp;ved=0ahUKEwinp-PwsMaUAxWdJUQIHa0wPJgQ4dUDCBI&amp;uact=5&amp;oq=cost+comparison+of+metal+roofs+versus+shingles&amp;gs_lp=Egxnd3Mtd2l6LXNlcnAiLmNvc3QgY29tcGFyaXNvbiBvZiBtZXRhbCByb29mcyB2ZXJzdXMgc2hpbmdsZXMyCBAAGIAEGKIEMgUQABjvBUjGKlD2CFjvI3ABeACQAQCYAeYBoAGlDKoBBjEuMTAuMbgBA8gBAPgBAZgCDKACpQzCAgoQABhHGNYEGLADwgIGEAAYHhgNwgILEAAYgAQYigUYhgPCAggQABiJBRiiBMICChAhGAoYoAEYwwSYAwCIBgGQBgiSBwQxLjExoAfONrIHBDAuMTG4B-4LwgcJMi03LjQuMC4xyAeMAYAIAQ&amp;sclient=gws-wiz-serp#fpstate=ive&amp;vld=cid:0a541bb1,vid:i6cysOpwpe0,st:0</t>
  </si>
  <si>
    <t>Annual Roof Inspection &amp; Maint, All Bldgs</t>
  </si>
  <si>
    <t>Roof Inspection and Repair, All Bldgs</t>
  </si>
  <si>
    <t>Sidewalk repairs &amp; replacement</t>
  </si>
  <si>
    <t>Sidewalks, Replace Concrete</t>
  </si>
  <si>
    <t>Gutter work, Bldg 13</t>
  </si>
  <si>
    <t>Wood Siding Repairs</t>
  </si>
  <si>
    <t>Tree Removal</t>
  </si>
  <si>
    <t>Tree Removal &amp; Grind, 15 Small Trees</t>
  </si>
  <si>
    <t>Xeriscaping, Install</t>
  </si>
  <si>
    <t>Stairwell Guardrail, Replace on Unit 420</t>
  </si>
  <si>
    <t>Balcony and Stairwell Repairs</t>
  </si>
  <si>
    <t>Balcony and Stairwell Repairs, 41 Treads</t>
  </si>
  <si>
    <t>Board Maintenance Contingency</t>
  </si>
  <si>
    <t>Breaker Maintenance</t>
  </si>
  <si>
    <t>Breaker Maintenance, Inspection</t>
  </si>
  <si>
    <t>Water Valve and Line Inspection</t>
  </si>
  <si>
    <t>Water Valve and Line Annual Inspection</t>
  </si>
  <si>
    <t>Sewer Inspection, Bi-annual Inspection</t>
  </si>
  <si>
    <t>Sewer Inspection</t>
  </si>
  <si>
    <t>Raise or Replace 16 windows in Bldgs 5 &amp; 8.</t>
  </si>
  <si>
    <t>Raise or Replace windows in Apt Bldgs.</t>
  </si>
  <si>
    <t>TOTAL</t>
  </si>
  <si>
    <t>Project PRIORITIES for 2026 from 4-27-26 Workshop</t>
  </si>
  <si>
    <t>#1 Paint four Buildings and trim: $187,035</t>
  </si>
  <si>
    <t>#2 Asphalt cracks, potholes (prevent water intrusion): $48,000</t>
  </si>
  <si>
    <t>#3 Replace Stairwell Guardrail on Unit 420: $4,191</t>
  </si>
  <si>
    <t>#4 Replace 41 stairwell steps: $23,173</t>
  </si>
  <si>
    <t>#5 Guardrails on the patio area next to the pool (already informed Samson and Joshua that they won’t fall off the cliff anymore on walks ;)) $17,620</t>
  </si>
  <si>
    <t>#6 Landscaping, Wildfire Defensible Space. $10,000</t>
  </si>
  <si>
    <t>#7 Chimney Chase Flashing &amp; Siding Repairs. $54,348</t>
  </si>
  <si>
    <t>#7 Roof Flashing Repairs, 13 Buildings. $64,835</t>
  </si>
  <si>
    <t>#7 Chimney Chase Covers, all. $113,697</t>
  </si>
  <si>
    <t>(NOTE: #7 likely have overlapping scope: waiting for new bid and information in coming week to establish scope)</t>
  </si>
  <si>
    <t>#8 Replace/Repair Skylights. $5,810</t>
  </si>
  <si>
    <t>#9 Repair retaining wall by building 4. $10,170</t>
  </si>
  <si>
    <t>#10 Townhouse Walls. $48,000</t>
  </si>
  <si>
    <t>#11 Gutter work, Bldg 13. $25,000</t>
  </si>
  <si>
    <t>#12 Sidewalks, Replace Concrete. $6,000</t>
  </si>
  <si>
    <t>#13 Tree Removal &amp; Grind, 15 Small Trees. $15,605</t>
  </si>
  <si>
    <t>#14 Roof Inspection and Repair, All Bldgs. $15,041 (already done, actually closer to $17K)</t>
  </si>
  <si>
    <r>
      <rPr>
        <rFont val="Arial, Helvetica, sans-serif"/>
        <color rgb="FF222222"/>
      </rPr>
      <t>The total planned expenditures discussed above come to $648,525. The</t>
    </r>
    <r>
      <rPr>
        <rFont val="Arial, Helvetica, sans-serif"/>
        <color rgb="FFFF0000"/>
      </rPr>
      <t xml:space="preserve"> three items in red total</t>
    </r>
    <r>
      <rPr>
        <rFont val="Arial, Helvetica, sans-serif"/>
        <color rgb="FF222222"/>
      </rPr>
      <t xml:space="preserve"> on which we await further information total </t>
    </r>
    <r>
      <rPr>
        <rFont val="Arial, Helvetica, sans-serif"/>
        <color rgb="FFFF0000"/>
      </rPr>
      <t>$232,880</t>
    </r>
    <r>
      <rPr>
        <rFont val="Arial, Helvetica, sans-serif"/>
        <color rgb="FF222222"/>
      </rPr>
      <t>. We are still close to the approved budget from the 2025 Board.</t>
    </r>
  </si>
  <si>
    <t>Separately we decided the following items would be included within the $71,892 in the 2026 budget for “Facility Maintenance / Misc. Repairs:</t>
  </si>
  <si>
    <t>Parking lots, restripe: $4,115</t>
  </si>
  <si>
    <t>Water valve and line annual inspection: $1,756</t>
  </si>
  <si>
    <t>Sewer inspection, bi-annual inspection: $4,097</t>
  </si>
  <si>
    <t>Sewer lateral line cleanout: $5,000</t>
  </si>
  <si>
    <t>Replace 7 broken windows: $6,745</t>
  </si>
  <si>
    <t>Engineer report: $1,082</t>
  </si>
  <si>
    <t>Other landscaping: $0.00</t>
  </si>
  <si>
    <t>Trash enclosures: $500</t>
  </si>
  <si>
    <t>EXAMPLE MOVABLE FORMULA FOR PAINTING 1 BUILDING=(('Project Costs'!$L$15+'Project Costs'!$L$16)*POWER(1+'Project Costs'!$J$1,Offset(W62,-59,0)-'Project Costs'!$I$1))*(1/12)</t>
  </si>
  <si>
    <t>Annual Inflation Rates:</t>
  </si>
  <si>
    <t>Annual Building Construction Inflation Rate</t>
  </si>
  <si>
    <t>https://fred.stlouisfed.org/series/PCU236223236223</t>
  </si>
  <si>
    <t>Annual Water Utility Inflation Rate</t>
  </si>
  <si>
    <t>Los Alamos Department of Public Utilities.</t>
  </si>
  <si>
    <t>https://ladailypost.com/gibson-inflation-squeezes-utilities-too/</t>
  </si>
  <si>
    <t>Annual Building Maintenance/Repair Inflation Rate</t>
  </si>
  <si>
    <t>https://fred.stlouisfed.org/series/PCU2381MR2381MR</t>
  </si>
  <si>
    <t>Annual General Inflation Rate</t>
  </si>
  <si>
    <t>https://www.usinflationcalculator.com/inflation/current-inflation-rates/#:~:text=The%20annual%20inflation%20rate%20for%20the%20United%20States,inflation%20over%20the%2012%20months%20ended%20October%202021.</t>
  </si>
  <si>
    <t>Annual Cost of Living Rate CPI (for salaries)</t>
  </si>
  <si>
    <t>https://www.bls.gov/data/inflation_calculator.htm</t>
  </si>
  <si>
    <t>Number of Ridge Park Units</t>
  </si>
  <si>
    <t>Payroll Tax Rate</t>
  </si>
  <si>
    <t>Reserve as % of Total Dues Collected</t>
  </si>
  <si>
    <t xml:space="preserve">Interest Income Rate on Reserve Account. </t>
  </si>
  <si>
    <t>Weighted Average Inflation Rate for Projects.</t>
  </si>
  <si>
    <t>Weighted Average Calculation:</t>
  </si>
  <si>
    <t>2026 Budget</t>
  </si>
  <si>
    <t>% of Total</t>
  </si>
  <si>
    <t>Annual Building Construction</t>
  </si>
  <si>
    <t xml:space="preserve"> </t>
  </si>
  <si>
    <t>Annual Building Maintenance/Repair</t>
  </si>
  <si>
    <t>Total</t>
  </si>
  <si>
    <t>Ridge Park Luxury Condominiums, Inc., 5-Year Budget Projection</t>
  </si>
  <si>
    <t>Starting Cash Balance</t>
  </si>
  <si>
    <t>Planned Expenditures (Projects)</t>
  </si>
  <si>
    <t>Ridge Park Luxury Condominiums, Inc., 5-Year Project Cost Projection</t>
  </si>
  <si>
    <t>Project Cost Estimates as of Oct 10, 2024</t>
  </si>
  <si>
    <t>Add Cost Contingency</t>
  </si>
  <si>
    <t>Current Year is</t>
  </si>
  <si>
    <t>https://edzarenski.com/category/inflation-indexing/#:~:text=Current%20and%20predicted%20Inflation%20rates%20updated%209%2D19%2D22%3A&amp;text=Infra%20Avg%20%2D0.3%25-,2021%20Rsdn%20Inflation%2013.4%25%2C%20Nonres%20Bldgs%206.8%25%2C%20Non,Non%2Dbldg%20Infra%20Avg%2012.0%25</t>
  </si>
  <si>
    <t>https://smartasset.com/investing/inflation-calculator#PvB6ecvWDI</t>
  </si>
  <si>
    <t>Project Descriptions (Yellow for 2026)</t>
  </si>
  <si>
    <t>PRIORITY</t>
  </si>
  <si>
    <t>Year Done</t>
  </si>
  <si>
    <t>Lifespan in Years</t>
  </si>
  <si>
    <t>Year Due</t>
  </si>
  <si>
    <t>Total Ridge Park Square Feet</t>
  </si>
  <si>
    <r>
      <rPr>
        <rFont val="Calibri"/>
        <b/>
        <color rgb="FF000000"/>
        <sz val="13.0"/>
      </rPr>
      <t xml:space="preserve">Total Ridge Park </t>
    </r>
    <r>
      <rPr>
        <rFont val="Calibri"/>
        <b/>
        <i/>
        <color rgb="FF000000"/>
        <sz val="13.0"/>
      </rPr>
      <t>Linear</t>
    </r>
    <r>
      <rPr>
        <rFont val="Calibri"/>
        <b/>
        <color rgb="FF000000"/>
        <sz val="13.0"/>
      </rPr>
      <t xml:space="preserve"> Feet</t>
    </r>
  </si>
  <si>
    <t>Online Estimate (Current Year)</t>
  </si>
  <si>
    <t>Actual Cost or Contractor Quote</t>
  </si>
  <si>
    <t>NM Gross Receipts Tax</t>
  </si>
  <si>
    <t>TOTAL Estimated Current COST</t>
  </si>
  <si>
    <t>TOTAL Estimated Future COST</t>
  </si>
  <si>
    <t>Estimate Sources</t>
  </si>
  <si>
    <t>Lifespan Sources</t>
  </si>
  <si>
    <t>Other Cost Sources</t>
  </si>
  <si>
    <t>Asphalt Cracks, Fill</t>
  </si>
  <si>
    <t>https://www.homewyse.com/services/cost_to_apply_slurry_seal.html</t>
  </si>
  <si>
    <t>https://www.bobvila.com/articles/best-asphalt-driveway-crack-filler/</t>
  </si>
  <si>
    <t>Check Registers</t>
  </si>
  <si>
    <t>Stuart Bowling paid Danny Romero $48,295 in 2010 to do all.</t>
  </si>
  <si>
    <t>Asphalt Milling and Overlay</t>
  </si>
  <si>
    <t>https://texpaveexperts.com/blog/how-much-does-an-asphalt-overlay-cost/</t>
  </si>
  <si>
    <t>https://www.michiganpaving.com/blog/asphalt-milling-and-overlay-cost/</t>
  </si>
  <si>
    <t>Asphalt, Replace</t>
  </si>
  <si>
    <t>https://www.homewyse.com/services/cost_to_install_asphaltic_concrete_driveway.html</t>
  </si>
  <si>
    <t>Bldg 2 Remove Metal &amp; Paint</t>
  </si>
  <si>
    <t>https://www.homewyse.com/services/cost_to_paint_house_exterior.html</t>
  </si>
  <si>
    <t>Bldg 4 Paint Wood Panels and Trim, Buy paint</t>
  </si>
  <si>
    <t>Bldg 5 Repair Ground Level Wiring</t>
  </si>
  <si>
    <t>Connie Reynolds</t>
  </si>
  <si>
    <t>Chimney Chases, Remove and Replace Flashing</t>
  </si>
  <si>
    <t>https://www.angi.com/articles/how-much-should-it-cost-replace-flashing-around-chimney.htm</t>
  </si>
  <si>
    <t>https://www.homewyse.com/services/cost_to_install_shingle_roof.html</t>
  </si>
  <si>
    <t>https://www.angi.com/articles/what-is-chimney-flashing.htm</t>
  </si>
  <si>
    <t>Maint Comm Est $733 each for 76 chases.</t>
  </si>
  <si>
    <t>Chimney Chases, Repair Wood Siding and Paint Touch-up</t>
  </si>
  <si>
    <t>https://www.homewyse.com/maintenance_costs/cost_to_repair_board_siding.html</t>
  </si>
  <si>
    <t>https://homeguide.com/costs/chimney-repair-cost#:~:text=Chimney%20flashing%20repair%20costs%20%24200,chimney%20meet%20to%20prevent%20leaking.</t>
  </si>
  <si>
    <t>Garage, Replace Flat Roof membrane, PVC</t>
  </si>
  <si>
    <t>https://www.roofcalc.org/flat-roof-calculator/</t>
  </si>
  <si>
    <t>https://roofslope.com/average-flat-roof-membrane-life-span/</t>
  </si>
  <si>
    <t>https://www.roofcalc.org/pvc-roofing/</t>
  </si>
  <si>
    <t>https://www.homewyse.com/services/cost_to_install_membrane_roofing_system.html</t>
  </si>
  <si>
    <t>Connie Reynolds. $6,000 bid from Manny Jaquez.</t>
  </si>
  <si>
    <t>https://www.thisoldhouse.com/gutters/22454418/gutter-guard-installation-cost</t>
  </si>
  <si>
    <t>https://www.homewyse.com/services/cost_to_install_rain_gutter_cover.html</t>
  </si>
  <si>
    <t>Gutters, Install on horizontal roof edges</t>
  </si>
  <si>
    <t>https://www.costimates.com/calculators/seamless-gutter-cost-calculator/</t>
  </si>
  <si>
    <t>https://www.barrybest.com/blog/seamless-gutters/when-will-you-need-to-replace-your-gutters/</t>
  </si>
  <si>
    <t>https://www.homewyse.com/services/cost_to_install_metal_gutters.html#google_vignette</t>
  </si>
  <si>
    <t>https://www.paintzen.com/blog/how-long-should-an-exterior-paint-job-last#:~:text=A%3A%20Typically%205%2D10%20years,a%20contractor%20and%20quality%20products.</t>
  </si>
  <si>
    <t>Stuart Bowling negotiated a "deal" with Sherwin Williams in Santa Fe in 2014.</t>
  </si>
  <si>
    <t>Paint Building Wood Exteriors, includes paint</t>
  </si>
  <si>
    <t>https://www.homewyse.com/services/cost_to_paint_two_story_house.html</t>
  </si>
  <si>
    <t>https://www.westernwalls.com/house-painting-cost-calculator/</t>
  </si>
  <si>
    <t>https://www.behr.com/consumer/how-to/exterior/how-much-exterior-paint-to-buy</t>
  </si>
  <si>
    <t>https://home.howstuffworks.com/home-improvement/home-diy/painting/estimating-exterior-paint.htm</t>
  </si>
  <si>
    <t>https://alphapavingtexas.com/how-long-does-parking-lot-paint-take-to-dry/</t>
  </si>
  <si>
    <t>https://www.homeadvisor.com/cost/outdoor-living/parking-lot-striping/</t>
  </si>
  <si>
    <t>Contractor Estimate</t>
  </si>
  <si>
    <t>https://www.homewyse.com/services/cost_to_replaster_pool.html</t>
  </si>
  <si>
    <t>RP Files</t>
  </si>
  <si>
    <t>https://eaquinn.com/causes-retaining-wall-collapse/</t>
  </si>
  <si>
    <t>https://homeguide.com/costs/retaining-wall-cost</t>
  </si>
  <si>
    <t>Retaining Wall, Repair (Bldgs#4)</t>
  </si>
  <si>
    <t>https://litespeedconstruction.com/how-much-does-it-cost-to-replace-wall-flashings/</t>
  </si>
  <si>
    <t>https://www.angi.com/articles/roof-flashing-types.htm</t>
  </si>
  <si>
    <t>https://www.iko.com/blog/what-is-roof-flashing-how-to-install-it/</t>
  </si>
  <si>
    <t>https://www.homewyse.com/services/cost_to_install_asphalt_shingle_roof.html</t>
  </si>
  <si>
    <t>https://www.inchcalculator.com/roof-replacement-cost/</t>
  </si>
  <si>
    <t>Stuart Bowling said the cost of the roof replacement in 2009-2010 was $650,000. The online calculator high estimate for 122,484 square feet is $896,733 as of March, 2026.</t>
  </si>
  <si>
    <t>https://smartasset.com/investing/inflation-calculator#UmpNAXEirk</t>
  </si>
  <si>
    <t>https://www.calculator.net/future-value-calculator.html?cyearsv=15&amp;cstartingprinciplev=237%2C000&amp;cinterestratev=3&amp;ccontributeamountv=60%2C000&amp;ciadditionat1=end&amp;printit=0&amp;x=Calculate#calresult</t>
  </si>
  <si>
    <t>https://www.taylormaderoofingllc.com/life-expectancy-of-fiberglass-shingles/#:~:text=With%20proper%20maintenance%2C%20you%20can,outshine%20many%20other%20roofing%20materials%3F</t>
  </si>
  <si>
    <t>https://roofingcalculator.com/</t>
  </si>
  <si>
    <t>https://aaaconcreteraising.com/how-often-should-you-replace-your-sidewalk/</t>
  </si>
  <si>
    <t>https://www.remodelingexpense.com/costs/cost-of-concrete-sidewalk/</t>
  </si>
  <si>
    <t>Sprinkling System, Repair along Oppenheimer Dr.</t>
  </si>
  <si>
    <t>2023 Bid from Victor's Landscaping</t>
  </si>
  <si>
    <t>Stucco, Bldgs 2 &amp; 4, Paint &amp; Labor</t>
  </si>
  <si>
    <t>Townhouse Balconies, facing street</t>
  </si>
  <si>
    <t>All balconies were replaced in 2014 for $96,000 per Stuart Bowling.</t>
  </si>
  <si>
    <t>Trees, Remove, 50-Foot Pines, others</t>
  </si>
  <si>
    <t>Victor's Landscaping quote for 20 trees in 2025.</t>
  </si>
  <si>
    <t>Tree Stump, Remove each</t>
  </si>
  <si>
    <t>Victor's Landscaping estimate in 2023.</t>
  </si>
  <si>
    <t>https://www.homeserve.com/en-us/blog/cost-guide/xeriscape/</t>
  </si>
  <si>
    <t>RP Board estimate</t>
  </si>
  <si>
    <t>https://mainstreamhomeservices.com/faq/how-much-will-a-plumbing-inspection-cost/</t>
  </si>
  <si>
    <t>https://www.salisburyut.com/the-importance-of-regular-maintenance-for-your-water-main/#:~:text=When%20to%20schedule%20maintenance,safe%20water%20efficiently%20and%20reliably.</t>
  </si>
  <si>
    <t>Sewer Inspection, Every 2 Years</t>
  </si>
  <si>
    <t>https://www.balkanplumbing.com/sewer-scope-inspection-cost/</t>
  </si>
  <si>
    <t>https://plumbers.promatcher.com/cost/los-alamos-nm-plumbers-costs-prices.aspx</t>
  </si>
  <si>
    <t>Electrical Breaker Inspection</t>
  </si>
  <si>
    <t>Roof Inspection</t>
  </si>
  <si>
    <t>Gas Valves (County responsibility) (check)</t>
  </si>
  <si>
    <t>Chimney Chase Covers, Stainless Steel</t>
  </si>
  <si>
    <t>https://www.rockfordchimneysupply.com/products/stainless-steel-chase-covers?_pos=2&amp;_sid=3bdf65c28&amp;_ss=r</t>
  </si>
  <si>
    <t>https://gerriormasonry.com/chimney-chase-cover-replacement-cost/</t>
  </si>
  <si>
    <t>Raise or Replace in Apt. Bldgs. 24 windows in Blds 5,6 7, &amp; 8</t>
  </si>
  <si>
    <t>https://www.homewyse.com/services/cost_to_install_replacement_windows.html</t>
  </si>
  <si>
    <t>RP Board's Estimate is 17,233</t>
  </si>
  <si>
    <t>Reframe 24 window openings in Bldgs 5,6 7, &amp; 8</t>
  </si>
  <si>
    <t>https://www.homewyse.com/services/cost_to_frame_window_opening.html</t>
  </si>
  <si>
    <t>Maint Comm estimate for 15 small trees.</t>
  </si>
  <si>
    <t>Replace Exterior Stair Treads (Unit 420)</t>
  </si>
  <si>
    <t>https://www.lapeyrestair.com/blog/concrete-filled-metal-pan-stair-treads/?srsltid=AfmBOopSDMZ6p0DUb_L8CMqtQtduL17MnaNp_bx2_wZnRJMBI7PjY2Dp</t>
  </si>
  <si>
    <t>https://commercialconcreteproducts.com/stair-tread/</t>
  </si>
  <si>
    <t>https://www.acisupply.com/proddetail.php?prod=AV12395TB</t>
  </si>
  <si>
    <t>https://www.angi.com/articles/how-much-does-it-cost-install-concrete-steps.htm</t>
  </si>
  <si>
    <t>Structural Engineering Inspection Report</t>
  </si>
  <si>
    <t>EXAMPLE MOVABLE FORMULA FOR PAINTING 1 BLDG=(('Project Costs'!$L$15+'Project Costs'!$L$16)*POWER(1+'Project Costs'!$J$1,Offset(W62,-59,0)-'Project Costs'!$I$1))*(1/12)</t>
  </si>
  <si>
    <t xml:space="preserve">OFFSET FORMULA: </t>
  </si>
  <si>
    <t>How to use the OFFSET function in Google Sheets - Sheetgo</t>
  </si>
  <si>
    <t>Estimated &amp; Actual Dimensions and Areas</t>
  </si>
  <si>
    <t>Use these Estimates to check Contractor Estimates for reasonable costs.</t>
  </si>
  <si>
    <t>Bldg #</t>
  </si>
  <si>
    <t>Design Type (I-VII)</t>
  </si>
  <si>
    <t>Siding &amp; Paintable Wood Area Square Ft</t>
  </si>
  <si>
    <t>Stucco Area Square Ft</t>
  </si>
  <si>
    <t>Building Stories</t>
  </si>
  <si>
    <t>Chimney Chases</t>
  </si>
  <si>
    <t>Chimney Chase Cover Dimensions</t>
  </si>
  <si>
    <t>Chimney Chase Flashing Linear Feet</t>
  </si>
  <si>
    <t>Roof Area Square Ft</t>
  </si>
  <si>
    <t>Building Footprint Square Ft</t>
  </si>
  <si>
    <t>Gutter Linear Ft 2nd Story</t>
  </si>
  <si>
    <t>Gutter Linear Ft 3rd Story</t>
  </si>
  <si>
    <t>Gutter/Fascia/Flashing Linear Ft TOTAL</t>
  </si>
  <si>
    <t>Headwall Horizontal Flashing LF</t>
  </si>
  <si>
    <t>Sidewall Sloped Flashing LF</t>
  </si>
  <si>
    <t>Asphalt Area Location</t>
  </si>
  <si>
    <t>Asphalt Area Square Feet</t>
  </si>
  <si>
    <t>Asphalt Cracks Linear Feet</t>
  </si>
  <si>
    <t>Parking Spaces</t>
  </si>
  <si>
    <t>Handicap Parking Spaces</t>
  </si>
  <si>
    <t>Parking Stripe Linear Feet 18 ft ea</t>
  </si>
  <si>
    <t>Flat Garage Roof per Building</t>
  </si>
  <si>
    <t>Garage Roof Area SF</t>
  </si>
  <si>
    <t>Total Garage Roof Area SF</t>
  </si>
  <si>
    <t>Garage Parapet Linear Feet Per Pair</t>
  </si>
  <si>
    <t>Retaining Wall Length</t>
  </si>
  <si>
    <t>Retaining Wall Height</t>
  </si>
  <si>
    <t>Stairways</t>
  </si>
  <si>
    <t>Water Supply Valves</t>
  </si>
  <si>
    <t>Electrical Breaker Boxes</t>
  </si>
  <si>
    <t>Sewer Clean-outs</t>
  </si>
  <si>
    <t>Gas Valves</t>
  </si>
  <si>
    <t>Cantilevered Balconies</t>
  </si>
  <si>
    <t>III</t>
  </si>
  <si>
    <t>5"10" x 4'4"</t>
  </si>
  <si>
    <t>N &amp; W of Bldg 1</t>
  </si>
  <si>
    <t>NE of Bldg 2</t>
  </si>
  <si>
    <t>II</t>
  </si>
  <si>
    <t>NW of Bldg 3</t>
  </si>
  <si>
    <t>I</t>
  </si>
  <si>
    <t>W of Bldg 4</t>
  </si>
  <si>
    <t>IV</t>
  </si>
  <si>
    <t>E of Bldg 5</t>
  </si>
  <si>
    <t>V</t>
  </si>
  <si>
    <t>E of Bldg 7</t>
  </si>
  <si>
    <t>N of Bldg 8</t>
  </si>
  <si>
    <t>VII</t>
  </si>
  <si>
    <t>5'4" x 2'4"</t>
  </si>
  <si>
    <t>N of Bldgs 9 &amp; 10</t>
  </si>
  <si>
    <t>VI</t>
  </si>
  <si>
    <t>E of Bldgs 11 &amp; 12</t>
  </si>
  <si>
    <t>E of Bldg 13</t>
  </si>
  <si>
    <t>Rec</t>
  </si>
  <si>
    <t>4' x 12'</t>
  </si>
  <si>
    <t>SW of Bldg 505</t>
  </si>
  <si>
    <t>Retaining Wall, RR Ties</t>
  </si>
  <si>
    <t>Measure</t>
  </si>
  <si>
    <t>N of Bldg 1 Parking</t>
  </si>
  <si>
    <t>Retaining Wall, Concrete Block</t>
  </si>
  <si>
    <t>NW of Bldg 2 Parking</t>
  </si>
  <si>
    <t>N of Bldg 8 Parking</t>
  </si>
  <si>
    <t>W of Bldg 13</t>
  </si>
  <si>
    <t>W of Bldg 12</t>
  </si>
  <si>
    <t>W of Bldg 11</t>
  </si>
  <si>
    <t>S of Bldg 10</t>
  </si>
  <si>
    <t>SE of Bldg 5</t>
  </si>
  <si>
    <t>Asphalt Areas SF</t>
  </si>
  <si>
    <t>Park Spaces</t>
  </si>
  <si>
    <t>Handicap</t>
  </si>
  <si>
    <t>NE of Bdlg 2</t>
  </si>
  <si>
    <r>
      <rPr>
        <rFont val="Calibri"/>
        <b/>
        <color rgb="FF000000"/>
        <sz val="13.0"/>
      </rPr>
      <t xml:space="preserve">2026 Budget
</t>
    </r>
    <r>
      <rPr>
        <rFont val="Calibri"/>
        <b/>
        <color rgb="FF0000FF"/>
        <sz val="13.0"/>
      </rPr>
      <t>BLUE</t>
    </r>
    <r>
      <rPr>
        <rFont val="Calibri"/>
        <b/>
        <color rgb="FF000000"/>
        <sz val="13.0"/>
      </rPr>
      <t xml:space="preserve"> = Budget Number/Averages &amp; Estimates
BLACK = Formula Results/Projected</t>
    </r>
  </si>
  <si>
    <t>2026 Actual to-date Total</t>
  </si>
  <si>
    <t>2026 Budgeted Total</t>
  </si>
  <si>
    <t>Percent of Budgeted Amount</t>
  </si>
  <si>
    <t>Line Items Under Budget (Projected)</t>
  </si>
  <si>
    <t>Line Items Over Budget (Projected)</t>
  </si>
  <si>
    <t>Previous Whole Month Balances</t>
  </si>
  <si>
    <t>Enter Previous Month # (1 - 12)</t>
  </si>
  <si>
    <t>Includes CD interest on $125,000</t>
  </si>
  <si>
    <t>Starting Cash Balance (Current Month)</t>
  </si>
  <si>
    <t>Includes 1-yr interest from CD.</t>
  </si>
  <si>
    <t>Need Check Register/Payee Info</t>
  </si>
  <si>
    <t>Facilities Maintenance (Projects)</t>
  </si>
  <si>
    <t>Unallocated expenses</t>
  </si>
  <si>
    <t>Unexplained Expenses</t>
  </si>
  <si>
    <t>Projected</t>
  </si>
  <si>
    <t>PROJECTS</t>
  </si>
  <si>
    <t>Ridge Park Luxury Condominiums 2026 Adopted Budget</t>
  </si>
  <si>
    <t>CASH BALANCE  Jan 1, 2026</t>
  </si>
  <si>
    <t>Income from General Assessment for Common Expenses</t>
  </si>
  <si>
    <t>Income from HOA Owned Unit</t>
  </si>
  <si>
    <t>Income from Reserve Funds Interest</t>
  </si>
  <si>
    <t xml:space="preserve">Income From RV Parking Fees </t>
  </si>
  <si>
    <t xml:space="preserve">Income from Late Fees, Resale Certificates </t>
  </si>
  <si>
    <t>Income from Reserve Assessment for Inadequate Reserves</t>
  </si>
  <si>
    <t>Accounting</t>
  </si>
  <si>
    <t>Insurance</t>
  </si>
  <si>
    <t>Legal/Professional Services</t>
  </si>
  <si>
    <t>Equipment Repairs</t>
  </si>
  <si>
    <t>Pool Maintenance/Start-up</t>
  </si>
  <si>
    <t>Rental Unit Maintenance</t>
  </si>
  <si>
    <t>Snow Removal</t>
  </si>
  <si>
    <t>Salary Expenses</t>
  </si>
  <si>
    <t>Business Office Salaries</t>
  </si>
  <si>
    <t>Office Supplies</t>
  </si>
  <si>
    <t>Water, Sewer, Electrical &amp; Trash</t>
  </si>
  <si>
    <t>Telecom/Internet Services</t>
  </si>
  <si>
    <t>Facilities Maintenance PROJECTS</t>
  </si>
  <si>
    <t>CASH BALANCE Dec 31, 2026</t>
  </si>
  <si>
    <t>TOTAL MONTHLY ASSESSMENT</t>
  </si>
  <si>
    <t>Monthly General Assessment for Common Expenses</t>
  </si>
  <si>
    <t>Monthly Reserve Assessment for Inadequate Reserves</t>
  </si>
  <si>
    <t>Ridge Park Luxury Condominiums 2026 Facilities Maintenance Projects</t>
  </si>
  <si>
    <t>PRIORITY #</t>
  </si>
  <si>
    <t>Planned Expenditures (revised 4/27/26 Workshop)</t>
  </si>
  <si>
    <t>4/27/26 Workshop Attendees</t>
  </si>
  <si>
    <t>Which areas?</t>
  </si>
  <si>
    <t>Need to identify Chases that need new covers.</t>
  </si>
  <si>
    <t>RP Financing Policy (Proposed)</t>
  </si>
  <si>
    <r>
      <rPr>
        <rFont val="Calibri"/>
        <color theme="1"/>
      </rPr>
      <t>"</t>
    </r>
    <r>
      <rPr>
        <rFont val="Calibri"/>
        <b/>
        <color theme="1"/>
      </rPr>
      <t>Investigate</t>
    </r>
    <r>
      <rPr>
        <rFont val="Calibri"/>
        <color theme="1"/>
      </rPr>
      <t xml:space="preserve"> all Financing Options before assessing more money from owners."</t>
    </r>
  </si>
  <si>
    <r>
      <rPr>
        <rFont val="Calibri"/>
        <b/>
        <color theme="1"/>
      </rPr>
      <t xml:space="preserve">Financing Options in </t>
    </r>
    <r>
      <rPr>
        <rFont val="Calibri"/>
        <color theme="1"/>
      </rPr>
      <t>Order of Investigation Priority:</t>
    </r>
  </si>
  <si>
    <t>Priority</t>
  </si>
  <si>
    <t>Spread Project Costs/Multi-year</t>
  </si>
  <si>
    <t>Delay a Project 1 or more years</t>
  </si>
  <si>
    <t>Accept Contractor Financing</t>
  </si>
  <si>
    <t>Obtain Line of Credit</t>
  </si>
  <si>
    <t>Obtain Loan</t>
  </si>
  <si>
    <t>Sell HOA Asset</t>
  </si>
  <si>
    <t>Assess Owners</t>
  </si>
  <si>
    <t>Ridge Park</t>
  </si>
  <si>
    <t>Estimated Dimensions and Areas</t>
  </si>
  <si>
    <t>505 Club</t>
  </si>
  <si>
    <t>Job</t>
  </si>
  <si>
    <t>$</t>
  </si>
  <si>
    <t>Urgency</t>
  </si>
  <si>
    <t>Comment</t>
  </si>
  <si>
    <t>Source</t>
  </si>
  <si>
    <t>Install Gutters (4.5 Bldgs)</t>
  </si>
  <si>
    <t>Low</t>
  </si>
  <si>
    <t xml:space="preserve">ABC Roofing can spread over 3 years plus extra for set-up (assume 20% extra). $220,748 for all w/ Leaf Guards. $166,367 for all w/o Leaf Guards. Manny replaced gutters on north side of Building 1 for $5,174.80 in 2022.        </t>
  </si>
  <si>
    <t>Paint stairs Safety Yellow</t>
  </si>
  <si>
    <t>High</t>
  </si>
  <si>
    <t>Insurance Survey Observation. 1 gallon.</t>
  </si>
  <si>
    <t>Paint Parking Spaces</t>
  </si>
  <si>
    <t>Insurance Survey Observation. 5 gallons.</t>
  </si>
  <si>
    <t>Paint Handicap Parking Spaces</t>
  </si>
  <si>
    <t>Remove 5 Tree Stumps along Oppenheimer Dr.</t>
  </si>
  <si>
    <t>Victors Landscaping. $300 each. Would simplify some landscaping work.</t>
  </si>
  <si>
    <t>Clean All Gutters</t>
  </si>
  <si>
    <t>Insurance Survey Observation. Estimate from Manny Jaquez. Doing now?</t>
  </si>
  <si>
    <t>Remove Snow</t>
  </si>
  <si>
    <t>Variable cost. Last year $14,035 was budgeted for 2024.</t>
  </si>
  <si>
    <t>Remove Pine cones</t>
  </si>
  <si>
    <t>Medium</t>
  </si>
  <si>
    <t>Insurance Survey Observation. Part of Maintenance Contract Fixed Fee.</t>
  </si>
  <si>
    <t>Fill Asphalt cracks and potholes (test)</t>
  </si>
  <si>
    <t>Insurance Survey Observation. Assess after initial payment. $65,584 etsimated for all asphalt.</t>
  </si>
  <si>
    <t>Remove 5 Selected Large Trees.</t>
  </si>
  <si>
    <t>Insurance Survey Observation. Removed 3 dying trees and 3 problematic trees in 2023 for $12,863. Assume $2,500 average for large trees. Manny can remove the tree in front of Clubhouse that is heaving the sidewalk.</t>
  </si>
  <si>
    <t>Broadleaf trees are less flamable than pine.</t>
  </si>
  <si>
    <t>Repair Sprinkling System along Oppenheimer</t>
  </si>
  <si>
    <t>Bid from Victor's Landscaping. Do it before growing season.Prerequisit for other landscaping projects.</t>
  </si>
  <si>
    <t>Remove grass and Install gravel in selected areas, Bldgs 5 &amp; 14.</t>
  </si>
  <si>
    <t>Landscape Committee. 13 tons of gravel. Does not include grass removal, plastic sheeting, etc.</t>
  </si>
  <si>
    <t>Emergency Repairs</t>
  </si>
  <si>
    <t>Based on 2023 experience. Variable. Too high?</t>
  </si>
  <si>
    <t>Repair 6 Potholes</t>
  </si>
  <si>
    <t>Insurance Survey Observation. Manny can do.</t>
  </si>
  <si>
    <t>https://sealmaster.net/faq/much-cost-fix-pothole/#:~:text=Typical%20cost%20to%20repair%20potholes,also%20affect%20the%20repair%20cost.</t>
  </si>
  <si>
    <t>Repair damaged window and door trim, and loose siding.</t>
  </si>
  <si>
    <t>Do those likely to leak first.</t>
  </si>
  <si>
    <t>Seal likely leaks on roofs and flashing around all 57chimneys.</t>
  </si>
  <si>
    <t>Some chimney chases are worse than others. Assume $1,000 per chase. Some of the 57 chimneys need repair.</t>
  </si>
  <si>
    <t>Seal all 24 flat roofs on Townhouse garages (2 done in 2023).</t>
  </si>
  <si>
    <t>Single-Ply membranes cover garage roofs now. They can be repaired for about $4-8 per square foot. Assume $3,872 for each 22x22 foot area. Manny resealed two garage roofs for $6,312. Do as needed.</t>
  </si>
  <si>
    <t>https://www.fixr.com/costs/flat-roof-repair</t>
  </si>
  <si>
    <t xml:space="preserve">Inspect electrical boxes/breaker panels in 2024, clean and repair, if necessary </t>
  </si>
  <si>
    <t>Insurance Survey Observation. Depends on inspection results. Assume estimate of $600 per panel. Inspector and Contractor should be two different companies.</t>
  </si>
  <si>
    <t>https://www.homewyse.com/maintenance_costs/cost_to_repair_electric_panel.html</t>
  </si>
  <si>
    <t>Maintain landscape sprinklers, borders, plants, etc., except mowing.</t>
  </si>
  <si>
    <t>Landscape Committee may do some. Must repair sprinkliers first. Paid Victors Landscaping $5,544 per month for 3 months in 2021 for grounds maintenance including mowing. Mowing may cost $1,000, but not weekly.</t>
  </si>
  <si>
    <t>Install Safety signs.</t>
  </si>
  <si>
    <t>Insurance Survey Observation. Handicap Parking, other safety signs.</t>
  </si>
  <si>
    <t>From Pete Carson:</t>
  </si>
  <si>
    <t>Electrical box inspection and maintenance $10K</t>
  </si>
  <si>
    <t>Inspection may cost $2,000. Results would identify additional repairs.</t>
  </si>
  <si>
    <t>Flat roof sealing $26K</t>
  </si>
  <si>
    <t>Manny said that he can repair membrane on garage roofs and do not need replacement for years.</t>
  </si>
  <si>
    <t>Roof and flashing sealing $30K</t>
  </si>
  <si>
    <t>Manny could identify immediate needs.</t>
  </si>
  <si>
    <t>Part time office assistant $22K (1000 hr.@$22.00/he.)</t>
  </si>
  <si>
    <t>Job Description? Who will supervise?</t>
  </si>
  <si>
    <t>Tree removal $25K</t>
  </si>
  <si>
    <t>$2,500 to remove one 60-FT (Large) tree. 10 large trees over the next two years seems reseaonable.</t>
  </si>
  <si>
    <t>Landscaping $15K</t>
  </si>
  <si>
    <t>Must fix Sprinklers first.  Victors Landscaping estimated $6,000 for area along Oppenheimer.</t>
  </si>
  <si>
    <t>T&amp;M snow removal $8K</t>
  </si>
  <si>
    <t>Last year $14,035 was budgeted for 2024.</t>
  </si>
  <si>
    <t>T&amp;M yard maintenance $8K</t>
  </si>
  <si>
    <t>Last year $21,094 was budgeted for landscape, mowing, and removal of 5 large 60-FT trees.</t>
  </si>
  <si>
    <t>T&amp;M misc. $10K</t>
  </si>
  <si>
    <t xml:space="preserve">The Operating budget or Emergency Repairs line can probably absorb this.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</si>
</sst>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
    <numFmt numFmtId="165" formatCode="#,##0.00;(#,##0.00)"/>
    <numFmt numFmtId="166" formatCode="0.0%"/>
    <numFmt numFmtId="167" formatCode="#,##0&quot;$&quot;"/>
    <numFmt numFmtId="168" formatCode="0.0000%"/>
    <numFmt numFmtId="169" formatCode="&quot;$&quot;#,##0.00"/>
    <numFmt numFmtId="170" formatCode="_($* #,##0_);_($* (#,##0);_($* &quot; &quot;_);_(@_)"/>
  </numFmts>
  <fonts count="96">
    <font>
      <sz val="14.0"/>
      <color theme="1"/>
      <name val="Calibri"/>
      <scheme val="minor"/>
    </font>
    <font>
      <b/>
      <color theme="1"/>
      <name val="Calibri"/>
      <scheme val="minor"/>
    </font>
    <font>
      <color theme="1"/>
      <name val="Calibri"/>
      <scheme val="minor"/>
    </font>
    <font>
      <b/>
      <color rgb="FFFF9900"/>
      <name val="Calibri"/>
      <scheme val="minor"/>
    </font>
    <font>
      <b/>
      <strike/>
      <color rgb="FFFF9900"/>
      <name val="Calibri"/>
      <scheme val="minor"/>
    </font>
    <font>
      <b/>
      <color rgb="FFFF1F00"/>
      <name val="Calibri"/>
      <scheme val="minor"/>
    </font>
    <font>
      <u/>
      <color rgb="FF0000FF"/>
    </font>
    <font>
      <i/>
      <color theme="1"/>
      <name val="Calibri"/>
      <scheme val="minor"/>
    </font>
    <font>
      <b/>
      <sz val="11.0"/>
      <color rgb="FFFF0000"/>
      <name val="Calibri"/>
    </font>
    <font>
      <b/>
      <sz val="14.0"/>
      <color theme="1"/>
      <name val="Calibri"/>
    </font>
    <font>
      <b/>
      <sz val="11.0"/>
      <color theme="1"/>
      <name val="Calibri"/>
    </font>
    <font>
      <b/>
      <sz val="8.0"/>
      <color theme="1"/>
      <name val="Calibri"/>
    </font>
    <font>
      <b/>
      <strike/>
      <sz val="10.0"/>
      <color rgb="FF000000"/>
      <name val="Calibri"/>
    </font>
    <font>
      <b/>
      <strike/>
      <sz val="14.0"/>
      <color theme="1"/>
      <name val="Calibri"/>
    </font>
    <font>
      <b/>
      <strike/>
      <sz val="11.0"/>
      <color theme="1"/>
      <name val="Calibri"/>
    </font>
    <font>
      <b/>
      <strike/>
      <sz val="8.0"/>
      <color theme="1"/>
      <name val="Calibri"/>
    </font>
    <font>
      <b/>
      <sz val="10.0"/>
      <color rgb="FF000000"/>
      <name val="Calibri"/>
    </font>
    <font>
      <b/>
      <strike/>
      <sz val="14.0"/>
      <color rgb="FF000000"/>
      <name val="Calibri"/>
    </font>
    <font>
      <b/>
      <strike/>
      <sz val="14.0"/>
      <color rgb="FF38761D"/>
      <name val="Calibri"/>
    </font>
    <font>
      <sz val="14.0"/>
      <color theme="1"/>
      <name val="Calibri"/>
    </font>
    <font>
      <b/>
      <sz val="14.0"/>
      <color rgb="FF38761D"/>
      <name val="Calibri"/>
    </font>
    <font>
      <b/>
      <sz val="14.0"/>
      <color rgb="FFFF0000"/>
      <name val="Calibri"/>
    </font>
    <font>
      <strike/>
      <sz val="14.0"/>
      <color rgb="FF0000FF"/>
      <name val="Calibri"/>
    </font>
    <font>
      <strike/>
      <sz val="14.0"/>
      <color theme="1"/>
      <name val="Calibri"/>
    </font>
    <font>
      <strike/>
      <color rgb="FF0000FF"/>
      <name val="Calibri"/>
    </font>
    <font>
      <b/>
      <strike/>
      <sz val="14.0"/>
      <color rgb="FFFF0000"/>
      <name val="Calibri"/>
    </font>
    <font>
      <strike/>
      <color theme="1"/>
      <name val="Calibri"/>
    </font>
    <font>
      <color theme="1"/>
      <name val="Calibri"/>
    </font>
    <font>
      <b/>
      <strike/>
      <sz val="14.0"/>
      <color rgb="FF0000FF"/>
      <name val="Calibri"/>
    </font>
    <font>
      <b/>
      <sz val="14.0"/>
      <color rgb="FF000000"/>
      <name val="Calibri"/>
    </font>
    <font>
      <color rgb="FF0000FF"/>
      <name val="Calibri"/>
    </font>
    <font>
      <sz val="14.0"/>
      <color rgb="FF0000FF"/>
      <name val="Calibri"/>
    </font>
    <font>
      <b/>
      <sz val="14.0"/>
      <color rgb="FF0000FF"/>
      <name val="Calibri"/>
    </font>
    <font>
      <b/>
      <strike/>
      <color rgb="FF38761D"/>
      <name val="Calibri"/>
    </font>
    <font>
      <b/>
      <strike/>
      <color theme="1"/>
      <name val="Calibri"/>
    </font>
    <font>
      <b/>
      <color theme="1"/>
      <name val="Calibri"/>
    </font>
    <font>
      <b/>
      <color rgb="FF0000FF"/>
      <name val="Calibri"/>
    </font>
    <font>
      <strike/>
      <sz val="14.0"/>
      <color rgb="FF000000"/>
      <name val="Calibri"/>
    </font>
    <font>
      <sz val="14.0"/>
      <color rgb="FF000000"/>
      <name val="Calibri"/>
    </font>
    <font>
      <strike/>
      <color theme="1"/>
      <name val="Calibri"/>
      <scheme val="minor"/>
    </font>
    <font>
      <b/>
      <sz val="14.0"/>
      <color rgb="FFFF9900"/>
      <name val="Calibri"/>
    </font>
    <font>
      <b/>
      <strike/>
      <color rgb="FFFF00FF"/>
      <name val="Calibri"/>
      <scheme val="minor"/>
    </font>
    <font>
      <color rgb="FF0000FF"/>
      <name val="Calibri"/>
      <scheme val="minor"/>
    </font>
    <font>
      <color rgb="FFFF00FF"/>
      <name val="Calibri"/>
    </font>
    <font>
      <strike/>
      <color rgb="FFFF00FF"/>
      <name val="Calibri"/>
    </font>
    <font>
      <b/>
      <strike/>
      <color rgb="FF6AA84F"/>
      <name val="Calibri"/>
      <scheme val="minor"/>
    </font>
    <font>
      <b/>
      <strike/>
      <sz val="14.0"/>
      <color rgb="FF6AA84F"/>
      <name val="Calibri"/>
    </font>
    <font>
      <strike/>
      <color rgb="FF0000FF"/>
      <name val="Calibri"/>
      <scheme val="minor"/>
    </font>
    <font>
      <b/>
      <strike/>
      <color rgb="FFFF0000"/>
      <name val="Calibri"/>
    </font>
    <font>
      <strike/>
      <color rgb="FFFF0000"/>
      <name val="Calibri"/>
      <scheme val="minor"/>
    </font>
    <font>
      <color rgb="FFFF0000"/>
      <name val="Calibri"/>
    </font>
    <font>
      <u/>
      <color rgb="FF0000FF"/>
    </font>
    <font>
      <color rgb="FF000000"/>
      <name val="Calibri"/>
    </font>
    <font>
      <strike/>
      <sz val="14.0"/>
      <color rgb="FFFF0000"/>
      <name val="Calibri"/>
    </font>
    <font>
      <sz val="11.0"/>
      <color rgb="FF1F1F1F"/>
      <name val="Arial"/>
    </font>
    <font>
      <b/>
      <color rgb="FFFF0000"/>
      <name val="Calibri"/>
    </font>
    <font>
      <b/>
      <color rgb="FF222222"/>
      <name val="Arial"/>
    </font>
    <font>
      <color rgb="FF222222"/>
      <name val="Arial"/>
    </font>
    <font>
      <color rgb="FF0C0D0E"/>
      <name val="Calibri"/>
    </font>
    <font>
      <color rgb="FFFF1F00"/>
      <name val="Arial"/>
    </font>
    <font>
      <color rgb="FF000000"/>
      <name val="Arial"/>
    </font>
    <font>
      <u/>
      <sz val="14.0"/>
      <color rgb="FF0563C1"/>
      <name val="Calibri"/>
    </font>
    <font>
      <u/>
      <sz val="14.0"/>
      <color rgb="FF0563C1"/>
      <name val="Calibri"/>
    </font>
    <font>
      <b/>
      <color rgb="FF0000FF"/>
      <name val="Calibri"/>
      <scheme val="minor"/>
    </font>
    <font>
      <b/>
      <sz val="12.0"/>
      <color rgb="FF0000FF"/>
      <name val="Calibri"/>
      <scheme val="minor"/>
    </font>
    <font>
      <u/>
      <sz val="14.0"/>
      <color rgb="FF0563C1"/>
      <name val="Calibri"/>
    </font>
    <font>
      <b/>
      <sz val="13.0"/>
      <color rgb="FF000000"/>
      <name val="Calibri"/>
    </font>
    <font>
      <b/>
      <sz val="12.0"/>
      <color rgb="FF000000"/>
      <name val="Calibri"/>
    </font>
    <font>
      <b/>
      <color rgb="FF000000"/>
      <name val="Calibri"/>
    </font>
    <font>
      <u/>
      <color theme="1"/>
      <name val="Calibri"/>
    </font>
    <font>
      <u/>
      <color rgb="FF0000FF"/>
    </font>
    <font>
      <u/>
      <sz val="11.0"/>
      <color rgb="FF1155CC"/>
      <name val="Arial"/>
    </font>
    <font>
      <u/>
      <sz val="14.0"/>
      <color rgb="FF000000"/>
      <name val="Calibri"/>
    </font>
    <font>
      <u/>
      <sz val="14.0"/>
      <color rgb="FF000000"/>
      <name val="Calibri"/>
    </font>
    <font>
      <u/>
      <sz val="14.0"/>
      <color rgb="FF000000"/>
      <name val="Calibri"/>
    </font>
    <font>
      <u/>
      <sz val="14.0"/>
      <color rgb="FF0563C1"/>
      <name val="Calibri"/>
    </font>
    <font>
      <u/>
      <sz val="14.0"/>
      <color rgb="FF0563C1"/>
      <name val="Calibri"/>
    </font>
    <font>
      <u/>
      <sz val="11.0"/>
      <color rgb="FF0000FF"/>
      <name val="Arial"/>
    </font>
    <font>
      <u/>
      <color rgb="FF0563C1"/>
    </font>
    <font>
      <u/>
      <color rgb="FF000000"/>
      <name val="Calibri"/>
    </font>
    <font>
      <b/>
      <sz val="11.0"/>
      <color rgb="FF000000"/>
      <name val="Calibri"/>
    </font>
    <font>
      <sz val="11.0"/>
      <color theme="1"/>
      <name val="Calibri"/>
    </font>
    <font>
      <sz val="14.0"/>
      <color rgb="FFFF0000"/>
      <name val="Calibri"/>
    </font>
    <font>
      <color rgb="FFFF0000"/>
      <name val="Calibri"/>
      <scheme val="minor"/>
    </font>
    <font>
      <b/>
      <sz val="13.0"/>
      <color theme="1"/>
      <name val="Calibri"/>
    </font>
    <font>
      <b/>
      <sz val="13.0"/>
      <color rgb="FF0000FF"/>
      <name val="Calibri"/>
    </font>
    <font>
      <b/>
      <sz val="13.0"/>
      <color rgb="FFFF0000"/>
      <name val="Calibri"/>
    </font>
    <font>
      <color rgb="FF000000"/>
      <name val="Calibri"/>
      <scheme val="minor"/>
    </font>
    <font/>
    <font>
      <b/>
      <color rgb="FF000000"/>
      <name val="Calibri"/>
      <scheme val="minor"/>
    </font>
    <font>
      <b/>
      <color rgb="FFFF0000"/>
      <name val="Calibri"/>
      <scheme val="minor"/>
    </font>
    <font>
      <sz val="11.0"/>
      <color theme="1"/>
      <name val="Arial"/>
    </font>
    <font>
      <sz val="10.0"/>
      <color theme="1"/>
      <name val="Arial"/>
    </font>
    <font>
      <sz val="11.0"/>
      <color rgb="FFFF0000"/>
      <name val="Arial"/>
    </font>
    <font>
      <u/>
      <sz val="11.0"/>
      <color rgb="FF0000FF"/>
      <name val="Arial"/>
    </font>
    <font>
      <sz val="11.0"/>
      <color rgb="FF0000FF"/>
      <name val="Arial"/>
    </font>
  </fonts>
  <fills count="14">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F9CB9C"/>
        <bgColor rgb="FFF9CB9C"/>
      </patternFill>
    </fill>
    <fill>
      <patternFill patternType="solid">
        <fgColor rgb="FFFF00FF"/>
        <bgColor rgb="FFFF00FF"/>
      </patternFill>
    </fill>
    <fill>
      <patternFill patternType="solid">
        <fgColor rgb="FFB7B7B7"/>
        <bgColor rgb="FFB7B7B7"/>
      </patternFill>
    </fill>
    <fill>
      <patternFill patternType="solid">
        <fgColor rgb="FFFFD966"/>
        <bgColor rgb="FFFFD966"/>
      </patternFill>
    </fill>
    <fill>
      <patternFill patternType="solid">
        <fgColor theme="0"/>
        <bgColor theme="0"/>
      </patternFill>
    </fill>
    <fill>
      <patternFill patternType="solid">
        <fgColor rgb="FFCFE2F3"/>
        <bgColor rgb="FFCFE2F3"/>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54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49" xfId="0" applyAlignment="1" applyFont="1" applyNumberFormat="1">
      <alignment horizontal="center"/>
    </xf>
    <xf borderId="0" fillId="0" fontId="1" numFmtId="49" xfId="0" applyAlignment="1" applyFont="1" applyNumberFormat="1">
      <alignment horizontal="center" readingOrder="0"/>
    </xf>
    <xf borderId="0" fillId="0" fontId="2" numFmtId="164" xfId="0" applyAlignment="1" applyFont="1" applyNumberFormat="1">
      <alignment readingOrder="0"/>
    </xf>
    <xf borderId="0" fillId="0" fontId="2" numFmtId="164" xfId="0" applyFont="1" applyNumberFormat="1"/>
    <xf borderId="0" fillId="0" fontId="3" numFmtId="0" xfId="0" applyAlignment="1" applyFont="1">
      <alignment readingOrder="0"/>
    </xf>
    <xf borderId="0" fillId="0" fontId="4" numFmtId="164" xfId="0" applyAlignment="1" applyFont="1" applyNumberFormat="1">
      <alignment readingOrder="0"/>
    </xf>
    <xf borderId="0" fillId="0" fontId="4" numFmtId="164" xfId="0" applyFont="1" applyNumberFormat="1"/>
    <xf borderId="0" fillId="0" fontId="3" numFmtId="164" xfId="0" applyFont="1" applyNumberFormat="1"/>
    <xf borderId="0" fillId="0" fontId="2" numFmtId="0" xfId="0" applyAlignment="1" applyFont="1">
      <alignment readingOrder="0"/>
    </xf>
    <xf borderId="0" fillId="0" fontId="5" numFmtId="0" xfId="0" applyAlignment="1" applyFont="1">
      <alignment readingOrder="0"/>
    </xf>
    <xf borderId="0" fillId="0" fontId="2" numFmtId="0" xfId="0" applyFont="1"/>
    <xf borderId="0" fillId="0" fontId="1" numFmtId="0" xfId="0" applyAlignment="1" applyFont="1">
      <alignment readingOrder="0"/>
    </xf>
    <xf borderId="0" fillId="0" fontId="6" numFmtId="0" xfId="0" applyAlignment="1" applyFont="1">
      <alignment readingOrder="0"/>
    </xf>
    <xf borderId="0" fillId="0" fontId="7" numFmtId="0" xfId="0" applyAlignment="1" applyFont="1">
      <alignment horizontal="left" readingOrder="0"/>
    </xf>
    <xf borderId="0" fillId="0" fontId="8" numFmtId="0" xfId="0" applyAlignment="1" applyFont="1">
      <alignment horizontal="center" readingOrder="0"/>
    </xf>
    <xf borderId="0" fillId="2" fontId="9" numFmtId="3" xfId="0" applyAlignment="1" applyFill="1" applyFont="1" applyNumberFormat="1">
      <alignment horizontal="center" readingOrder="0"/>
    </xf>
    <xf borderId="0" fillId="2" fontId="9" numFmtId="3" xfId="0" applyAlignment="1" applyFont="1" applyNumberFormat="1">
      <alignment horizontal="center" readingOrder="0" shrinkToFit="0" wrapText="0"/>
    </xf>
    <xf borderId="0" fillId="2" fontId="10" numFmtId="3" xfId="0" applyAlignment="1" applyFont="1" applyNumberFormat="1">
      <alignment horizontal="center" readingOrder="0" shrinkToFit="0" wrapText="1"/>
    </xf>
    <xf borderId="0" fillId="0" fontId="10" numFmtId="0" xfId="0" applyAlignment="1" applyFont="1">
      <alignment horizontal="center" readingOrder="0" shrinkToFit="0" vertical="bottom" wrapText="1"/>
    </xf>
    <xf borderId="0" fillId="0" fontId="11" numFmtId="0" xfId="0" applyAlignment="1" applyFont="1">
      <alignment horizontal="center" shrinkToFit="0" vertical="bottom" wrapText="1"/>
    </xf>
    <xf borderId="0" fillId="0" fontId="8" numFmtId="0" xfId="0" applyAlignment="1" applyFont="1">
      <alignment horizontal="center" readingOrder="0" vertical="center"/>
    </xf>
    <xf borderId="0" fillId="3" fontId="9" numFmtId="49" xfId="0" applyAlignment="1" applyFill="1" applyFont="1" applyNumberFormat="1">
      <alignment horizontal="center" readingOrder="0" shrinkToFit="0" wrapText="1"/>
    </xf>
    <xf borderId="0" fillId="3" fontId="9" numFmtId="0" xfId="0" applyAlignment="1" applyFont="1">
      <alignment horizontal="center" readingOrder="0"/>
    </xf>
    <xf borderId="0" fillId="3" fontId="9" numFmtId="49" xfId="0" applyAlignment="1" applyFont="1" applyNumberFormat="1">
      <alignment horizontal="center" shrinkToFit="0" wrapText="1"/>
    </xf>
    <xf borderId="0" fillId="0" fontId="9" numFmtId="0" xfId="0" applyAlignment="1" applyFont="1">
      <alignment horizontal="left"/>
    </xf>
    <xf borderId="0" fillId="4" fontId="9" numFmtId="49" xfId="0" applyAlignment="1" applyFill="1" applyFont="1" applyNumberFormat="1">
      <alignment horizontal="center" shrinkToFit="0" wrapText="1"/>
    </xf>
    <xf borderId="0" fillId="4" fontId="9" numFmtId="0" xfId="0" applyAlignment="1" applyFont="1">
      <alignment horizontal="center"/>
    </xf>
    <xf borderId="0" fillId="5" fontId="9" numFmtId="49" xfId="0" applyAlignment="1" applyFill="1" applyFont="1" applyNumberFormat="1">
      <alignment horizontal="center" shrinkToFit="0" wrapText="1"/>
    </xf>
    <xf borderId="0" fillId="5" fontId="9" numFmtId="0" xfId="0" applyAlignment="1" applyFont="1">
      <alignment horizontal="center"/>
    </xf>
    <xf borderId="0" fillId="6" fontId="9" numFmtId="49" xfId="0" applyAlignment="1" applyFill="1" applyFont="1" applyNumberFormat="1">
      <alignment horizontal="center" shrinkToFit="0" wrapText="1"/>
    </xf>
    <xf borderId="0" fillId="6" fontId="9" numFmtId="0" xfId="0" applyAlignment="1" applyFont="1">
      <alignment horizontal="center"/>
    </xf>
    <xf borderId="0" fillId="7" fontId="9" numFmtId="49" xfId="0" applyAlignment="1" applyFill="1" applyFont="1" applyNumberFormat="1">
      <alignment horizontal="center"/>
    </xf>
    <xf borderId="1" fillId="0" fontId="12" numFmtId="0" xfId="0" applyAlignment="1" applyBorder="1" applyFont="1">
      <alignment horizontal="center" readingOrder="0"/>
    </xf>
    <xf borderId="1" fillId="2" fontId="13" numFmtId="49" xfId="0" applyAlignment="1" applyBorder="1" applyFont="1" applyNumberFormat="1">
      <alignment horizontal="center"/>
    </xf>
    <xf borderId="1" fillId="2" fontId="13" numFmtId="0" xfId="0" applyAlignment="1" applyBorder="1" applyFont="1">
      <alignment horizontal="center"/>
    </xf>
    <xf borderId="1" fillId="2" fontId="13" numFmtId="0" xfId="0" applyAlignment="1" applyBorder="1" applyFont="1">
      <alignment horizontal="center" shrinkToFit="0" wrapText="0"/>
    </xf>
    <xf borderId="1" fillId="2" fontId="14" numFmtId="3" xfId="0" applyAlignment="1" applyBorder="1" applyFont="1" applyNumberFormat="1">
      <alignment horizontal="center" readingOrder="0" shrinkToFit="0" wrapText="1"/>
    </xf>
    <xf borderId="1" fillId="0" fontId="14" numFmtId="0" xfId="0" applyAlignment="1" applyBorder="1" applyFont="1">
      <alignment horizontal="center" readingOrder="0" shrinkToFit="0" vertical="bottom" wrapText="1"/>
    </xf>
    <xf borderId="1" fillId="0" fontId="15" numFmtId="0" xfId="0" applyAlignment="1" applyBorder="1" applyFont="1">
      <alignment horizontal="center" readingOrder="0" shrinkToFit="0" vertical="bottom" wrapText="1"/>
    </xf>
    <xf borderId="1" fillId="0" fontId="16" numFmtId="0" xfId="0" applyAlignment="1" applyBorder="1" applyFont="1">
      <alignment horizontal="center" readingOrder="0"/>
    </xf>
    <xf borderId="1" fillId="3" fontId="9" numFmtId="49" xfId="0" applyAlignment="1" applyBorder="1" applyFont="1" applyNumberFormat="1">
      <alignment horizontal="center" shrinkToFit="0" wrapText="1"/>
    </xf>
    <xf borderId="1" fillId="3" fontId="9" numFmtId="0" xfId="0" applyAlignment="1" applyBorder="1" applyFont="1">
      <alignment horizontal="center"/>
    </xf>
    <xf borderId="1" fillId="3" fontId="10" numFmtId="0" xfId="0" applyAlignment="1" applyBorder="1" applyFont="1">
      <alignment horizontal="center" shrinkToFit="0" wrapText="1"/>
    </xf>
    <xf borderId="1" fillId="0" fontId="10" numFmtId="0" xfId="0" applyAlignment="1" applyBorder="1" applyFont="1">
      <alignment horizontal="center" readingOrder="0" shrinkToFit="0" vertical="bottom" wrapText="1"/>
    </xf>
    <xf borderId="1" fillId="0" fontId="11" numFmtId="0" xfId="0" applyAlignment="1" applyBorder="1" applyFont="1">
      <alignment horizontal="center" readingOrder="0" shrinkToFit="0" vertical="bottom" wrapText="1"/>
    </xf>
    <xf borderId="1" fillId="0" fontId="9" numFmtId="0" xfId="0" applyAlignment="1" applyBorder="1" applyFont="1">
      <alignment horizontal="left" readingOrder="0"/>
    </xf>
    <xf borderId="1" fillId="4" fontId="9" numFmtId="49" xfId="0" applyAlignment="1" applyBorder="1" applyFont="1" applyNumberFormat="1">
      <alignment horizontal="center" shrinkToFit="0" wrapText="1"/>
    </xf>
    <xf borderId="1" fillId="4" fontId="9" numFmtId="0" xfId="0" applyAlignment="1" applyBorder="1" applyFont="1">
      <alignment horizontal="center"/>
    </xf>
    <xf borderId="1" fillId="5" fontId="9" numFmtId="49" xfId="0" applyAlignment="1" applyBorder="1" applyFont="1" applyNumberFormat="1">
      <alignment horizontal="center" shrinkToFit="0" wrapText="1"/>
    </xf>
    <xf borderId="1" fillId="5" fontId="9" numFmtId="0" xfId="0" applyAlignment="1" applyBorder="1" applyFont="1">
      <alignment horizontal="center"/>
    </xf>
    <xf borderId="1" fillId="6" fontId="9" numFmtId="49" xfId="0" applyAlignment="1" applyBorder="1" applyFont="1" applyNumberFormat="1">
      <alignment horizontal="center" shrinkToFit="0" wrapText="1"/>
    </xf>
    <xf borderId="1" fillId="6" fontId="9" numFmtId="0" xfId="0" applyAlignment="1" applyBorder="1" applyFont="1">
      <alignment horizontal="center"/>
    </xf>
    <xf borderId="1" fillId="7" fontId="9" numFmtId="49" xfId="0" applyAlignment="1" applyBorder="1" applyFont="1" applyNumberFormat="1">
      <alignment horizontal="center"/>
    </xf>
    <xf borderId="1" fillId="8" fontId="13" numFmtId="0" xfId="0" applyAlignment="1" applyBorder="1" applyFill="1" applyFont="1">
      <alignment horizontal="left"/>
    </xf>
    <xf borderId="0" fillId="9" fontId="17" numFmtId="0" xfId="0" applyAlignment="1" applyFill="1" applyFont="1">
      <alignment horizontal="center" shrinkToFit="0" vertical="bottom" wrapText="0"/>
    </xf>
    <xf borderId="0" fillId="9" fontId="13" numFmtId="0" xfId="0" applyAlignment="1" applyFont="1">
      <alignment horizontal="center" vertical="bottom"/>
    </xf>
    <xf borderId="1" fillId="8" fontId="9" numFmtId="0" xfId="0" applyAlignment="1" applyBorder="1" applyFont="1">
      <alignment horizontal="left"/>
    </xf>
    <xf borderId="1" fillId="8" fontId="9" numFmtId="0" xfId="0" applyAlignment="1" applyBorder="1" applyFont="1">
      <alignment horizontal="center" readingOrder="0"/>
    </xf>
    <xf borderId="1" fillId="7" fontId="9" numFmtId="49" xfId="0" applyAlignment="1" applyBorder="1" applyFont="1" applyNumberFormat="1">
      <alignment horizontal="center" readingOrder="0"/>
    </xf>
    <xf borderId="0" fillId="8" fontId="9" numFmtId="3" xfId="0" applyFont="1" applyNumberFormat="1"/>
    <xf borderId="1" fillId="8" fontId="18" numFmtId="3" xfId="0" applyAlignment="1" applyBorder="1" applyFont="1" applyNumberFormat="1">
      <alignment readingOrder="0"/>
    </xf>
    <xf borderId="1" fillId="8" fontId="18" numFmtId="3" xfId="0" applyAlignment="1" applyBorder="1" applyFont="1" applyNumberFormat="1">
      <alignment readingOrder="0" shrinkToFit="0" wrapText="0"/>
    </xf>
    <xf borderId="1" fillId="8" fontId="13" numFmtId="3" xfId="0" applyBorder="1" applyFont="1" applyNumberFormat="1"/>
    <xf borderId="1" fillId="8" fontId="9" numFmtId="3" xfId="0" applyBorder="1" applyFont="1" applyNumberFormat="1"/>
    <xf borderId="1" fillId="0" fontId="19" numFmtId="0" xfId="0" applyAlignment="1" applyBorder="1" applyFont="1">
      <alignment vertical="bottom"/>
    </xf>
    <xf borderId="1" fillId="10" fontId="19" numFmtId="0" xfId="0" applyAlignment="1" applyBorder="1" applyFill="1" applyFont="1">
      <alignment vertical="bottom"/>
    </xf>
    <xf borderId="1" fillId="8" fontId="20" numFmtId="3" xfId="0" applyAlignment="1" applyBorder="1" applyFont="1" applyNumberFormat="1">
      <alignment readingOrder="0"/>
    </xf>
    <xf borderId="1" fillId="8" fontId="21" numFmtId="0" xfId="0" applyAlignment="1" applyBorder="1" applyFont="1">
      <alignment horizontal="left"/>
    </xf>
    <xf borderId="1" fillId="8" fontId="19" numFmtId="0" xfId="0" applyAlignment="1" applyBorder="1" applyFont="1">
      <alignment horizontal="left"/>
    </xf>
    <xf borderId="1" fillId="0" fontId="18" numFmtId="3" xfId="0" applyAlignment="1" applyBorder="1" applyFont="1" applyNumberFormat="1">
      <alignment readingOrder="0"/>
    </xf>
    <xf borderId="1" fillId="0" fontId="22" numFmtId="3" xfId="0" applyAlignment="1" applyBorder="1" applyFont="1" applyNumberFormat="1">
      <alignment horizontal="right" readingOrder="0" vertical="bottom"/>
    </xf>
    <xf borderId="0" fillId="8" fontId="13" numFmtId="3" xfId="0" applyFont="1" applyNumberFormat="1"/>
    <xf borderId="1" fillId="10" fontId="22" numFmtId="3" xfId="0" applyAlignment="1" applyBorder="1" applyFont="1" applyNumberFormat="1">
      <alignment readingOrder="0" vertical="bottom"/>
    </xf>
    <xf borderId="1" fillId="0" fontId="23" numFmtId="3" xfId="0" applyAlignment="1" applyBorder="1" applyFont="1" applyNumberFormat="1">
      <alignment vertical="bottom"/>
    </xf>
    <xf borderId="1" fillId="8" fontId="19" numFmtId="3" xfId="0" applyAlignment="1" applyBorder="1" applyFont="1" applyNumberFormat="1">
      <alignment readingOrder="0"/>
    </xf>
    <xf borderId="1" fillId="8" fontId="19" numFmtId="3" xfId="0" applyAlignment="1" applyBorder="1" applyFont="1" applyNumberFormat="1">
      <alignment horizontal="right"/>
    </xf>
    <xf borderId="1" fillId="8" fontId="19" numFmtId="3" xfId="0" applyBorder="1" applyFont="1" applyNumberFormat="1"/>
    <xf borderId="0" fillId="8" fontId="19" numFmtId="3" xfId="0" applyAlignment="1" applyFont="1" applyNumberFormat="1">
      <alignment horizontal="right"/>
    </xf>
    <xf borderId="1" fillId="8" fontId="19" numFmtId="0" xfId="0" applyAlignment="1" applyBorder="1" applyFont="1">
      <alignment horizontal="left" readingOrder="0"/>
    </xf>
    <xf borderId="1" fillId="8" fontId="24" numFmtId="3" xfId="0" applyBorder="1" applyFont="1" applyNumberFormat="1"/>
    <xf borderId="1" fillId="8" fontId="25" numFmtId="3" xfId="0" applyAlignment="1" applyBorder="1" applyFont="1" applyNumberFormat="1">
      <alignment readingOrder="0" shrinkToFit="0" wrapText="0"/>
    </xf>
    <xf borderId="1" fillId="8" fontId="26" numFmtId="0" xfId="0" applyAlignment="1" applyBorder="1" applyFont="1">
      <alignment shrinkToFit="0" wrapText="0"/>
    </xf>
    <xf borderId="1" fillId="8" fontId="26" numFmtId="0" xfId="0" applyBorder="1" applyFont="1"/>
    <xf borderId="1" fillId="8" fontId="26" numFmtId="0" xfId="0" applyAlignment="1" applyBorder="1" applyFont="1">
      <alignment readingOrder="0"/>
    </xf>
    <xf borderId="1" fillId="8" fontId="24" numFmtId="0" xfId="0" applyAlignment="1" applyBorder="1" applyFont="1">
      <alignment readingOrder="0"/>
    </xf>
    <xf borderId="1" fillId="10" fontId="23" numFmtId="0" xfId="0" applyAlignment="1" applyBorder="1" applyFont="1">
      <alignment vertical="bottom"/>
    </xf>
    <xf borderId="1" fillId="8" fontId="27" numFmtId="0" xfId="0" applyBorder="1" applyFont="1"/>
    <xf borderId="1" fillId="8" fontId="27" numFmtId="0" xfId="0" applyAlignment="1" applyBorder="1" applyFont="1">
      <alignment readingOrder="0"/>
    </xf>
    <xf borderId="0" fillId="8" fontId="27" numFmtId="0" xfId="0" applyFont="1"/>
    <xf borderId="1" fillId="8" fontId="28" numFmtId="3" xfId="0" applyBorder="1" applyFont="1" applyNumberFormat="1"/>
    <xf borderId="1" fillId="8" fontId="9" numFmtId="0" xfId="0" applyAlignment="1" applyBorder="1" applyFont="1">
      <alignment horizontal="left" readingOrder="0"/>
    </xf>
    <xf borderId="1" fillId="8" fontId="29" numFmtId="3" xfId="0" applyBorder="1" applyFont="1" applyNumberFormat="1"/>
    <xf borderId="1" fillId="8" fontId="24" numFmtId="1" xfId="0" applyBorder="1" applyFont="1" applyNumberFormat="1"/>
    <xf borderId="1" fillId="8" fontId="30" numFmtId="1" xfId="0" applyBorder="1" applyFont="1" applyNumberFormat="1"/>
    <xf borderId="1" fillId="8" fontId="30" numFmtId="1" xfId="0" applyAlignment="1" applyBorder="1" applyFont="1" applyNumberFormat="1">
      <alignment readingOrder="0"/>
    </xf>
    <xf borderId="1" fillId="7" fontId="9" numFmtId="0" xfId="0" applyAlignment="1" applyBorder="1" applyFont="1">
      <alignment horizontal="left" readingOrder="0"/>
    </xf>
    <xf borderId="1" fillId="7" fontId="13" numFmtId="3" xfId="0" applyAlignment="1" applyBorder="1" applyFont="1" applyNumberFormat="1">
      <alignment horizontal="right"/>
    </xf>
    <xf borderId="1" fillId="7" fontId="23" numFmtId="0" xfId="0" applyAlignment="1" applyBorder="1" applyFont="1">
      <alignment vertical="bottom"/>
    </xf>
    <xf borderId="1" fillId="7" fontId="9" numFmtId="3" xfId="0" applyAlignment="1" applyBorder="1" applyFont="1" applyNumberFormat="1">
      <alignment horizontal="right"/>
    </xf>
    <xf borderId="1" fillId="7" fontId="9" numFmtId="0" xfId="0" applyAlignment="1" applyBorder="1" applyFont="1">
      <alignment horizontal="left"/>
    </xf>
    <xf borderId="1" fillId="0" fontId="19" numFmtId="0" xfId="0" applyBorder="1" applyFont="1"/>
    <xf borderId="0" fillId="0" fontId="19" numFmtId="0" xfId="0" applyFont="1"/>
    <xf borderId="1" fillId="0" fontId="9" numFmtId="0" xfId="0" applyAlignment="1" applyBorder="1" applyFont="1">
      <alignment horizontal="left"/>
    </xf>
    <xf borderId="1" fillId="0" fontId="23" numFmtId="0" xfId="0" applyBorder="1" applyFont="1"/>
    <xf borderId="1" fillId="0" fontId="23" numFmtId="0" xfId="0" applyAlignment="1" applyBorder="1" applyFont="1">
      <alignment shrinkToFit="0" wrapText="0"/>
    </xf>
    <xf borderId="1" fillId="0" fontId="23" numFmtId="1" xfId="0" applyBorder="1" applyFont="1" applyNumberFormat="1"/>
    <xf borderId="1" fillId="0" fontId="23" numFmtId="0" xfId="0" applyAlignment="1" applyBorder="1" applyFont="1">
      <alignment vertical="bottom"/>
    </xf>
    <xf borderId="1" fillId="0" fontId="18" numFmtId="0" xfId="0" applyAlignment="1" applyBorder="1" applyFont="1">
      <alignment readingOrder="0"/>
    </xf>
    <xf borderId="1" fillId="0" fontId="22" numFmtId="3" xfId="0" applyAlignment="1" applyBorder="1" applyFont="1" applyNumberFormat="1">
      <alignment readingOrder="0"/>
    </xf>
    <xf borderId="1" fillId="0" fontId="22" numFmtId="3" xfId="0" applyBorder="1" applyFont="1" applyNumberFormat="1"/>
    <xf borderId="1" fillId="0" fontId="13" numFmtId="3" xfId="0" applyAlignment="1" applyBorder="1" applyFont="1" applyNumberFormat="1">
      <alignment horizontal="right"/>
    </xf>
    <xf borderId="0" fillId="0" fontId="27" numFmtId="0" xfId="0" applyFont="1"/>
    <xf borderId="1" fillId="0" fontId="31" numFmtId="3" xfId="0" applyBorder="1" applyFont="1" applyNumberFormat="1"/>
    <xf borderId="1" fillId="0" fontId="9" numFmtId="3" xfId="0" applyAlignment="1" applyBorder="1" applyFont="1" applyNumberFormat="1">
      <alignment horizontal="right"/>
    </xf>
    <xf borderId="1" fillId="0" fontId="30" numFmtId="3" xfId="0" applyAlignment="1" applyBorder="1" applyFont="1" applyNumberFormat="1">
      <alignment readingOrder="0"/>
    </xf>
    <xf borderId="1" fillId="0" fontId="19" numFmtId="3" xfId="0" applyAlignment="1" applyBorder="1" applyFont="1" applyNumberFormat="1">
      <alignment vertical="bottom"/>
    </xf>
    <xf borderId="0" fillId="0" fontId="9" numFmtId="3" xfId="0" applyAlignment="1" applyFont="1" applyNumberFormat="1">
      <alignment horizontal="right"/>
    </xf>
    <xf borderId="1" fillId="0" fontId="19" numFmtId="0" xfId="0" applyAlignment="1" applyBorder="1" applyFont="1">
      <alignment horizontal="left"/>
    </xf>
    <xf borderId="1" fillId="0" fontId="18" numFmtId="165" xfId="0" applyAlignment="1" applyBorder="1" applyFont="1" applyNumberFormat="1">
      <alignment readingOrder="0"/>
    </xf>
    <xf borderId="1" fillId="0" fontId="22" numFmtId="3" xfId="0" applyAlignment="1" applyBorder="1" applyFont="1" applyNumberFormat="1">
      <alignment horizontal="right" readingOrder="0"/>
    </xf>
    <xf borderId="1" fillId="0" fontId="31" numFmtId="3" xfId="0" applyAlignment="1" applyBorder="1" applyFont="1" applyNumberFormat="1">
      <alignment horizontal="right"/>
    </xf>
    <xf borderId="1" fillId="0" fontId="19" numFmtId="3" xfId="0" applyAlignment="1" applyBorder="1" applyFont="1" applyNumberFormat="1">
      <alignment horizontal="right"/>
    </xf>
    <xf borderId="1" fillId="0" fontId="22" numFmtId="3" xfId="0" applyAlignment="1" applyBorder="1" applyFont="1" applyNumberFormat="1">
      <alignment horizontal="right"/>
    </xf>
    <xf borderId="1" fillId="0" fontId="19" numFmtId="3" xfId="0" applyBorder="1" applyFont="1" applyNumberFormat="1"/>
    <xf borderId="1" fillId="0" fontId="19" numFmtId="3" xfId="0" applyAlignment="1" applyBorder="1" applyFont="1" applyNumberFormat="1">
      <alignment readingOrder="0"/>
    </xf>
    <xf borderId="1" fillId="11" fontId="9" numFmtId="0" xfId="0" applyAlignment="1" applyBorder="1" applyFill="1" applyFont="1">
      <alignment horizontal="left"/>
    </xf>
    <xf borderId="1" fillId="11" fontId="13" numFmtId="3" xfId="0" applyBorder="1" applyFont="1" applyNumberFormat="1"/>
    <xf borderId="1" fillId="11" fontId="13" numFmtId="3" xfId="0" applyAlignment="1" applyBorder="1" applyFont="1" applyNumberFormat="1">
      <alignment shrinkToFit="0" wrapText="0"/>
    </xf>
    <xf borderId="1" fillId="11" fontId="13" numFmtId="3" xfId="0" applyAlignment="1" applyBorder="1" applyFont="1" applyNumberFormat="1">
      <alignment horizontal="right"/>
    </xf>
    <xf borderId="1" fillId="11" fontId="28" numFmtId="3" xfId="0" applyAlignment="1" applyBorder="1" applyFont="1" applyNumberFormat="1">
      <alignment horizontal="right" vertical="bottom"/>
    </xf>
    <xf borderId="1" fillId="11" fontId="13" numFmtId="3" xfId="0" applyAlignment="1" applyBorder="1" applyFont="1" applyNumberFormat="1">
      <alignment horizontal="right" vertical="bottom"/>
    </xf>
    <xf borderId="1" fillId="11" fontId="9" numFmtId="3" xfId="0" applyBorder="1" applyFont="1" applyNumberFormat="1"/>
    <xf borderId="1" fillId="11" fontId="9" numFmtId="3" xfId="0" applyAlignment="1" applyBorder="1" applyFont="1" applyNumberFormat="1">
      <alignment horizontal="right"/>
    </xf>
    <xf borderId="1" fillId="11" fontId="32" numFmtId="3" xfId="0" applyAlignment="1" applyBorder="1" applyFont="1" applyNumberFormat="1">
      <alignment horizontal="right"/>
    </xf>
    <xf borderId="0" fillId="11" fontId="9" numFmtId="3" xfId="0" applyAlignment="1" applyFont="1" applyNumberFormat="1">
      <alignment horizontal="right"/>
    </xf>
    <xf borderId="1" fillId="0" fontId="32" numFmtId="0" xfId="0" applyAlignment="1" applyBorder="1" applyFont="1">
      <alignment horizontal="left"/>
    </xf>
    <xf borderId="1" fillId="0" fontId="26" numFmtId="0" xfId="0" applyBorder="1" applyFont="1"/>
    <xf borderId="1" fillId="0" fontId="26" numFmtId="0" xfId="0" applyAlignment="1" applyBorder="1" applyFont="1">
      <alignment shrinkToFit="0" wrapText="0"/>
    </xf>
    <xf borderId="1" fillId="0" fontId="27" numFmtId="0" xfId="0" applyBorder="1" applyFont="1"/>
    <xf borderId="1" fillId="0" fontId="18" numFmtId="3" xfId="0" applyAlignment="1" applyBorder="1" applyFont="1" applyNumberFormat="1">
      <alignment readingOrder="0" shrinkToFit="0" wrapText="0"/>
    </xf>
    <xf borderId="1" fillId="0" fontId="19" numFmtId="0" xfId="0" applyAlignment="1" applyBorder="1" applyFont="1">
      <alignment horizontal="left" readingOrder="0"/>
    </xf>
    <xf borderId="1" fillId="0" fontId="13" numFmtId="3" xfId="0" applyAlignment="1" applyBorder="1" applyFont="1" applyNumberFormat="1">
      <alignment horizontal="right" shrinkToFit="0" wrapText="0"/>
    </xf>
    <xf borderId="1" fillId="10" fontId="28" numFmtId="3" xfId="0" applyAlignment="1" applyBorder="1" applyFont="1" applyNumberFormat="1">
      <alignment readingOrder="0" vertical="bottom"/>
    </xf>
    <xf borderId="1" fillId="0" fontId="32" numFmtId="3" xfId="0" applyAlignment="1" applyBorder="1" applyFont="1" applyNumberFormat="1">
      <alignment horizontal="right"/>
    </xf>
    <xf borderId="1" fillId="0" fontId="9" numFmtId="3" xfId="0" applyAlignment="1" applyBorder="1" applyFont="1" applyNumberFormat="1">
      <alignment vertical="bottom"/>
    </xf>
    <xf borderId="1" fillId="0" fontId="25" numFmtId="3" xfId="0" applyAlignment="1" applyBorder="1" applyFont="1" applyNumberFormat="1">
      <alignment horizontal="right" readingOrder="0"/>
    </xf>
    <xf borderId="1" fillId="9" fontId="19" numFmtId="0" xfId="0" applyAlignment="1" applyBorder="1" applyFont="1">
      <alignment horizontal="left"/>
    </xf>
    <xf borderId="1" fillId="9" fontId="33" numFmtId="3" xfId="0" applyBorder="1" applyFont="1" applyNumberFormat="1"/>
    <xf borderId="1" fillId="9" fontId="24" numFmtId="3" xfId="0" applyBorder="1" applyFont="1" applyNumberFormat="1"/>
    <xf borderId="1" fillId="9" fontId="13" numFmtId="3" xfId="0" applyBorder="1" applyFont="1" applyNumberFormat="1"/>
    <xf borderId="1" fillId="9" fontId="19" numFmtId="0" xfId="0" applyAlignment="1" applyBorder="1" applyFont="1">
      <alignment horizontal="left" readingOrder="0"/>
    </xf>
    <xf borderId="1" fillId="9" fontId="27" numFmtId="3" xfId="0" applyBorder="1" applyFont="1" applyNumberFormat="1"/>
    <xf borderId="1" fillId="9" fontId="9" numFmtId="3" xfId="0" applyBorder="1" applyFont="1" applyNumberFormat="1"/>
    <xf borderId="1" fillId="9" fontId="31" numFmtId="3" xfId="0" applyAlignment="1" applyBorder="1" applyFont="1" applyNumberFormat="1">
      <alignment horizontal="right" readingOrder="0"/>
    </xf>
    <xf borderId="1" fillId="2" fontId="9" numFmtId="3" xfId="0" applyAlignment="1" applyBorder="1" applyFont="1" applyNumberFormat="1">
      <alignment vertical="bottom"/>
    </xf>
    <xf borderId="0" fillId="9" fontId="27" numFmtId="0" xfId="0" applyFont="1"/>
    <xf borderId="1" fillId="0" fontId="23" numFmtId="3" xfId="0" applyBorder="1" applyFont="1" applyNumberFormat="1"/>
    <xf borderId="1" fillId="0" fontId="23" numFmtId="3" xfId="0" applyAlignment="1" applyBorder="1" applyFont="1" applyNumberFormat="1">
      <alignment horizontal="right"/>
    </xf>
    <xf borderId="1" fillId="0" fontId="23" numFmtId="3" xfId="0" applyAlignment="1" applyBorder="1" applyFont="1" applyNumberFormat="1">
      <alignment horizontal="right" shrinkToFit="0" wrapText="0"/>
    </xf>
    <xf borderId="1" fillId="0" fontId="18" numFmtId="3" xfId="0" applyAlignment="1" applyBorder="1" applyFont="1" applyNumberFormat="1">
      <alignment horizontal="right" readingOrder="0"/>
    </xf>
    <xf borderId="1" fillId="0" fontId="24" numFmtId="3" xfId="0" applyBorder="1" applyFont="1" applyNumberFormat="1"/>
    <xf borderId="1" fillId="0" fontId="24" numFmtId="3" xfId="0" applyAlignment="1" applyBorder="1" applyFont="1" applyNumberFormat="1">
      <alignment readingOrder="0"/>
    </xf>
    <xf borderId="1" fillId="0" fontId="27" numFmtId="3" xfId="0" applyBorder="1" applyFont="1" applyNumberFormat="1"/>
    <xf borderId="1" fillId="10" fontId="19" numFmtId="3" xfId="0" applyAlignment="1" applyBorder="1" applyFont="1" applyNumberFormat="1">
      <alignment horizontal="right"/>
    </xf>
    <xf borderId="1" fillId="0" fontId="13" numFmtId="3" xfId="0" applyBorder="1" applyFont="1" applyNumberFormat="1"/>
    <xf borderId="1" fillId="0" fontId="13" numFmtId="3" xfId="0" applyAlignment="1" applyBorder="1" applyFont="1" applyNumberFormat="1">
      <alignment shrinkToFit="0" wrapText="0"/>
    </xf>
    <xf borderId="1" fillId="0" fontId="9" numFmtId="3" xfId="0" applyBorder="1" applyFont="1" applyNumberFormat="1"/>
    <xf borderId="1" fillId="0" fontId="33" numFmtId="3" xfId="0" applyAlignment="1" applyBorder="1" applyFont="1" applyNumberFormat="1">
      <alignment readingOrder="0"/>
    </xf>
    <xf borderId="1" fillId="0" fontId="21" numFmtId="0" xfId="0" applyAlignment="1" applyBorder="1" applyFont="1">
      <alignment horizontal="left" readingOrder="0"/>
    </xf>
    <xf borderId="1" fillId="0" fontId="33" numFmtId="3" xfId="0" applyAlignment="1" applyBorder="1" applyFont="1" applyNumberFormat="1">
      <alignment readingOrder="0" shrinkToFit="0" wrapText="0"/>
    </xf>
    <xf borderId="1" fillId="0" fontId="33" numFmtId="3" xfId="0" applyBorder="1" applyFont="1" applyNumberFormat="1"/>
    <xf borderId="1" fillId="0" fontId="30" numFmtId="3" xfId="0" applyBorder="1" applyFont="1" applyNumberFormat="1"/>
    <xf borderId="1" fillId="0" fontId="29" numFmtId="3" xfId="0" applyAlignment="1" applyBorder="1" applyFont="1" applyNumberFormat="1">
      <alignment horizontal="right"/>
    </xf>
    <xf borderId="1" fillId="12" fontId="9" numFmtId="0" xfId="0" applyAlignment="1" applyBorder="1" applyFill="1" applyFont="1">
      <alignment horizontal="left"/>
    </xf>
    <xf borderId="1" fillId="12" fontId="13" numFmtId="3" xfId="0" applyBorder="1" applyFont="1" applyNumberFormat="1"/>
    <xf borderId="1" fillId="12" fontId="13" numFmtId="3" xfId="0" applyAlignment="1" applyBorder="1" applyFont="1" applyNumberFormat="1">
      <alignment shrinkToFit="0" wrapText="0"/>
    </xf>
    <xf borderId="1" fillId="12" fontId="34" numFmtId="3" xfId="0" applyBorder="1" applyFont="1" applyNumberFormat="1"/>
    <xf borderId="1" fillId="12" fontId="28" numFmtId="3" xfId="0" applyAlignment="1" applyBorder="1" applyFont="1" applyNumberFormat="1">
      <alignment horizontal="right" readingOrder="0" vertical="bottom"/>
    </xf>
    <xf borderId="1" fillId="12" fontId="9" numFmtId="3" xfId="0" applyBorder="1" applyFont="1" applyNumberFormat="1"/>
    <xf borderId="1" fillId="12" fontId="35" numFmtId="3" xfId="0" applyBorder="1" applyFont="1" applyNumberFormat="1"/>
    <xf borderId="0" fillId="12" fontId="35" numFmtId="0" xfId="0" applyFont="1"/>
    <xf borderId="1" fillId="13" fontId="9" numFmtId="0" xfId="0" applyAlignment="1" applyBorder="1" applyFill="1" applyFont="1">
      <alignment horizontal="left" readingOrder="0"/>
    </xf>
    <xf borderId="1" fillId="13" fontId="13" numFmtId="3" xfId="0" applyBorder="1" applyFont="1" applyNumberFormat="1"/>
    <xf borderId="1" fillId="13" fontId="13" numFmtId="3" xfId="0" applyAlignment="1" applyBorder="1" applyFont="1" applyNumberFormat="1">
      <alignment shrinkToFit="0" wrapText="0"/>
    </xf>
    <xf borderId="1" fillId="13" fontId="9" numFmtId="0" xfId="0" applyAlignment="1" applyBorder="1" applyFont="1">
      <alignment horizontal="left"/>
    </xf>
    <xf borderId="1" fillId="13" fontId="9" numFmtId="3" xfId="0" applyBorder="1" applyFont="1" applyNumberFormat="1"/>
    <xf borderId="0" fillId="13" fontId="9" numFmtId="3" xfId="0" applyFont="1" applyNumberFormat="1"/>
    <xf borderId="1" fillId="0" fontId="36" numFmtId="0" xfId="0" applyBorder="1" applyFont="1"/>
    <xf borderId="1" fillId="0" fontId="24" numFmtId="3" xfId="0" applyAlignment="1" applyBorder="1" applyFont="1" applyNumberFormat="1">
      <alignment shrinkToFit="0" wrapText="0"/>
    </xf>
    <xf borderId="1" fillId="0" fontId="27" numFmtId="0" xfId="0" applyAlignment="1" applyBorder="1" applyFont="1">
      <alignment readingOrder="0"/>
    </xf>
    <xf borderId="1" fillId="0" fontId="32" numFmtId="0" xfId="0" applyAlignment="1" applyBorder="1" applyFont="1">
      <alignment shrinkToFit="0" vertical="bottom" wrapText="0"/>
    </xf>
    <xf borderId="1" fillId="0" fontId="22" numFmtId="0" xfId="0" applyAlignment="1" applyBorder="1" applyFont="1">
      <alignment horizontal="right" shrinkToFit="0" vertical="bottom" wrapText="0"/>
    </xf>
    <xf borderId="1" fillId="0" fontId="37" numFmtId="0" xfId="0" applyAlignment="1" applyBorder="1" applyFont="1">
      <alignment horizontal="right" shrinkToFit="0" vertical="bottom" wrapText="0"/>
    </xf>
    <xf borderId="1" fillId="0" fontId="38" numFmtId="0" xfId="0" applyAlignment="1" applyBorder="1" applyFont="1">
      <alignment shrinkToFit="0" vertical="bottom" wrapText="0"/>
    </xf>
    <xf borderId="1" fillId="0" fontId="38" numFmtId="0" xfId="0" applyAlignment="1" applyBorder="1" applyFont="1">
      <alignment horizontal="right" shrinkToFit="0" vertical="bottom" wrapText="0"/>
    </xf>
    <xf borderId="1" fillId="0" fontId="31" numFmtId="0" xfId="0" applyAlignment="1" applyBorder="1" applyFont="1">
      <alignment readingOrder="0" shrinkToFit="0" vertical="bottom" wrapText="0"/>
    </xf>
    <xf borderId="1" fillId="0" fontId="38" numFmtId="0" xfId="0" applyAlignment="1" applyBorder="1" applyFont="1">
      <alignment horizontal="right" readingOrder="0" shrinkToFit="0" vertical="bottom" wrapText="0"/>
    </xf>
    <xf borderId="0" fillId="0" fontId="38" numFmtId="0" xfId="0" applyAlignment="1" applyFont="1">
      <alignment horizontal="right" shrinkToFit="0" vertical="bottom" wrapText="0"/>
    </xf>
    <xf borderId="1" fillId="0" fontId="37" numFmtId="0" xfId="0" applyAlignment="1" applyBorder="1" applyFont="1">
      <alignment shrinkToFit="0" vertical="bottom" wrapText="0"/>
    </xf>
    <xf borderId="1" fillId="0" fontId="29" numFmtId="0" xfId="0" applyAlignment="1" applyBorder="1" applyFont="1">
      <alignment readingOrder="0" shrinkToFit="0" vertical="bottom" wrapText="0"/>
    </xf>
    <xf borderId="1" fillId="0" fontId="38" numFmtId="0" xfId="0" applyAlignment="1" applyBorder="1" applyFont="1">
      <alignment readingOrder="0" shrinkToFit="0" vertical="bottom" wrapText="0"/>
    </xf>
    <xf borderId="0" fillId="0" fontId="38" numFmtId="0" xfId="0" applyAlignment="1" applyFont="1">
      <alignment shrinkToFit="0" vertical="bottom" wrapText="0"/>
    </xf>
    <xf borderId="0" fillId="0" fontId="39" numFmtId="0" xfId="0" applyFont="1"/>
    <xf borderId="0" fillId="0" fontId="39" numFmtId="0" xfId="0" applyAlignment="1" applyFont="1">
      <alignment shrinkToFit="0" wrapText="0"/>
    </xf>
    <xf borderId="0" fillId="0" fontId="23" numFmtId="0" xfId="0" applyAlignment="1" applyFont="1">
      <alignment vertical="bottom"/>
    </xf>
    <xf borderId="1" fillId="0" fontId="1" numFmtId="0" xfId="0" applyAlignment="1" applyBorder="1" applyFont="1">
      <alignment readingOrder="0"/>
    </xf>
    <xf borderId="1" fillId="0" fontId="2" numFmtId="0" xfId="0" applyBorder="1" applyFont="1"/>
    <xf borderId="0" fillId="0" fontId="40" numFmtId="164" xfId="0" applyAlignment="1" applyFont="1" applyNumberFormat="1">
      <alignment horizontal="right" vertical="bottom"/>
    </xf>
    <xf borderId="0" fillId="8" fontId="9" numFmtId="0" xfId="0" applyAlignment="1" applyFont="1">
      <alignment horizontal="left" readingOrder="0"/>
    </xf>
    <xf borderId="0" fillId="0" fontId="41" numFmtId="0" xfId="0" applyAlignment="1" applyFont="1">
      <alignment readingOrder="0"/>
    </xf>
    <xf borderId="0" fillId="0" fontId="23" numFmtId="0" xfId="0" applyAlignment="1" applyFont="1">
      <alignment vertical="bottom"/>
    </xf>
    <xf borderId="0" fillId="8" fontId="9" numFmtId="0" xfId="0" applyAlignment="1" applyFont="1">
      <alignment horizontal="center" readingOrder="0"/>
    </xf>
    <xf borderId="0" fillId="8" fontId="9" numFmtId="0" xfId="0" applyAlignment="1" applyFont="1">
      <alignment horizontal="left"/>
    </xf>
    <xf borderId="0" fillId="10" fontId="31" numFmtId="0" xfId="0" applyAlignment="1" applyFont="1">
      <alignment shrinkToFit="0" vertical="bottom" wrapText="0"/>
    </xf>
    <xf borderId="0" fillId="0" fontId="24" numFmtId="1" xfId="0" applyFont="1" applyNumberFormat="1"/>
    <xf borderId="0" fillId="10" fontId="38" numFmtId="0" xfId="0" applyAlignment="1" applyFont="1">
      <alignment readingOrder="0" shrinkToFit="0" vertical="bottom" wrapText="0"/>
    </xf>
    <xf borderId="0" fillId="0" fontId="42" numFmtId="0" xfId="0" applyFont="1"/>
    <xf borderId="0" fillId="0" fontId="30" numFmtId="1" xfId="0" applyAlignment="1" applyFont="1" applyNumberFormat="1">
      <alignment readingOrder="0"/>
    </xf>
    <xf borderId="0" fillId="8" fontId="31" numFmtId="3" xfId="0" applyAlignment="1" applyFont="1" applyNumberFormat="1">
      <alignment readingOrder="0" shrinkToFit="0" vertical="bottom" wrapText="0"/>
    </xf>
    <xf borderId="0" fillId="8" fontId="38" numFmtId="0" xfId="0" applyAlignment="1" applyFont="1">
      <alignment shrinkToFit="0" vertical="bottom" wrapText="0"/>
    </xf>
    <xf borderId="0" fillId="0" fontId="43" numFmtId="1" xfId="0" applyFont="1" applyNumberFormat="1"/>
    <xf borderId="0" fillId="12" fontId="31" numFmtId="0" xfId="0" applyAlignment="1" applyFont="1">
      <alignment readingOrder="0" shrinkToFit="0" vertical="bottom" wrapText="0"/>
    </xf>
    <xf borderId="0" fillId="10" fontId="38" numFmtId="0" xfId="0" applyAlignment="1" applyFont="1">
      <alignment shrinkToFit="0" vertical="bottom" wrapText="0"/>
    </xf>
    <xf borderId="0" fillId="0" fontId="2" numFmtId="1" xfId="0" applyFont="1" applyNumberFormat="1"/>
    <xf borderId="0" fillId="10" fontId="31" numFmtId="0" xfId="0" applyAlignment="1" applyFont="1">
      <alignment readingOrder="0" vertical="top"/>
    </xf>
    <xf borderId="0" fillId="0" fontId="44" numFmtId="1" xfId="0" applyFont="1" applyNumberFormat="1"/>
    <xf borderId="0" fillId="0" fontId="24" numFmtId="1" xfId="0" applyAlignment="1" applyFont="1" applyNumberFormat="1">
      <alignment readingOrder="0"/>
    </xf>
    <xf borderId="1" fillId="10" fontId="22" numFmtId="3" xfId="0" applyAlignment="1" applyBorder="1" applyFont="1" applyNumberFormat="1">
      <alignment horizontal="right" vertical="bottom"/>
    </xf>
    <xf borderId="0" fillId="0" fontId="42" numFmtId="3" xfId="0" applyAlignment="1" applyFont="1" applyNumberFormat="1">
      <alignment readingOrder="0"/>
    </xf>
    <xf borderId="0" fillId="0" fontId="30" numFmtId="1" xfId="0" applyFont="1" applyNumberFormat="1"/>
    <xf borderId="0" fillId="8" fontId="31" numFmtId="0" xfId="0" applyAlignment="1" applyFont="1">
      <alignment readingOrder="0" vertical="top"/>
    </xf>
    <xf borderId="0" fillId="8" fontId="31" numFmtId="3" xfId="0" applyAlignment="1" applyFont="1" applyNumberFormat="1">
      <alignment readingOrder="0"/>
    </xf>
    <xf borderId="0" fillId="12" fontId="31" numFmtId="0" xfId="0" applyAlignment="1" applyFont="1">
      <alignment readingOrder="0" vertical="top"/>
    </xf>
    <xf borderId="0" fillId="8" fontId="29" numFmtId="3" xfId="0" applyFont="1" applyNumberFormat="1"/>
    <xf borderId="0" fillId="0" fontId="45" numFmtId="0" xfId="0" applyAlignment="1" applyFont="1">
      <alignment readingOrder="0" shrinkToFit="0" wrapText="0"/>
    </xf>
    <xf borderId="1" fillId="0" fontId="22" numFmtId="3" xfId="0" applyAlignment="1" applyBorder="1" applyFont="1" applyNumberFormat="1">
      <alignment vertical="bottom"/>
    </xf>
    <xf borderId="0" fillId="12" fontId="38" numFmtId="0" xfId="0" applyAlignment="1" applyFont="1">
      <alignment shrinkToFit="0" vertical="bottom" wrapText="0"/>
    </xf>
    <xf borderId="0" fillId="0" fontId="46" numFmtId="3" xfId="0" applyAlignment="1" applyFont="1" applyNumberFormat="1">
      <alignment readingOrder="0"/>
    </xf>
    <xf borderId="0" fillId="0" fontId="47" numFmtId="0" xfId="0" applyFont="1"/>
    <xf borderId="0" fillId="8" fontId="13" numFmtId="3" xfId="0" applyAlignment="1" applyFont="1" applyNumberFormat="1">
      <alignment readingOrder="0"/>
    </xf>
    <xf borderId="0" fillId="10" fontId="30" numFmtId="3" xfId="0" applyFont="1" applyNumberFormat="1"/>
    <xf borderId="0" fillId="8" fontId="38" numFmtId="0" xfId="0" applyAlignment="1" applyFont="1">
      <alignment vertical="top"/>
    </xf>
    <xf borderId="0" fillId="10" fontId="38" numFmtId="0" xfId="0" applyAlignment="1" applyFont="1">
      <alignment readingOrder="0" vertical="top"/>
    </xf>
    <xf borderId="0" fillId="12" fontId="38" numFmtId="0" xfId="0" applyAlignment="1" applyFont="1">
      <alignment vertical="top"/>
    </xf>
    <xf borderId="0" fillId="0" fontId="31" numFmtId="0" xfId="0" applyAlignment="1" applyFont="1">
      <alignment shrinkToFit="0" vertical="bottom" wrapText="0"/>
    </xf>
    <xf borderId="0" fillId="0" fontId="48" numFmtId="3" xfId="0" applyFont="1" applyNumberFormat="1"/>
    <xf borderId="1" fillId="0" fontId="22" numFmtId="3" xfId="0" applyAlignment="1" applyBorder="1" applyFont="1" applyNumberFormat="1">
      <alignment readingOrder="0" vertical="bottom"/>
    </xf>
    <xf borderId="0" fillId="0" fontId="43" numFmtId="1" xfId="0" applyAlignment="1" applyFont="1" applyNumberFormat="1">
      <alignment readingOrder="0"/>
    </xf>
    <xf borderId="0" fillId="10" fontId="31" numFmtId="0" xfId="0" applyAlignment="1" applyFont="1">
      <alignment readingOrder="0" shrinkToFit="0" vertical="bottom" wrapText="0"/>
    </xf>
    <xf borderId="0" fillId="0" fontId="18" numFmtId="3" xfId="0" applyAlignment="1" applyFont="1" applyNumberFormat="1">
      <alignment readingOrder="0"/>
    </xf>
    <xf borderId="1" fillId="0" fontId="23" numFmtId="0" xfId="0" applyAlignment="1" applyBorder="1" applyFont="1">
      <alignment readingOrder="0" vertical="bottom"/>
    </xf>
    <xf borderId="0" fillId="10" fontId="38" numFmtId="0" xfId="0" applyAlignment="1" applyFont="1">
      <alignment vertical="top"/>
    </xf>
    <xf borderId="0" fillId="12" fontId="38" numFmtId="0" xfId="0" applyAlignment="1" applyFont="1">
      <alignment readingOrder="0" shrinkToFit="0" vertical="bottom" wrapText="0"/>
    </xf>
    <xf borderId="0" fillId="12" fontId="31" numFmtId="0" xfId="0" applyAlignment="1" applyFont="1">
      <alignment shrinkToFit="0" vertical="bottom" wrapText="0"/>
    </xf>
    <xf borderId="0" fillId="0" fontId="49" numFmtId="0" xfId="0" applyFont="1"/>
    <xf borderId="0" fillId="0" fontId="24" numFmtId="3" xfId="0" applyAlignment="1" applyFont="1" applyNumberFormat="1">
      <alignment readingOrder="0"/>
    </xf>
    <xf borderId="0" fillId="0" fontId="27" numFmtId="3" xfId="0" applyFont="1" applyNumberFormat="1"/>
    <xf borderId="0" fillId="8" fontId="31" numFmtId="3" xfId="0" applyAlignment="1" applyFont="1" applyNumberFormat="1">
      <alignment shrinkToFit="0" vertical="bottom" wrapText="0"/>
    </xf>
    <xf borderId="0" fillId="0" fontId="50" numFmtId="0" xfId="0" applyFont="1"/>
    <xf borderId="0" fillId="0" fontId="21" numFmtId="0" xfId="0" applyAlignment="1" applyFont="1">
      <alignment horizontal="left" readingOrder="0"/>
    </xf>
    <xf borderId="0" fillId="10" fontId="22" numFmtId="3" xfId="0" applyAlignment="1" applyFont="1" applyNumberFormat="1">
      <alignment horizontal="right"/>
    </xf>
    <xf borderId="0" fillId="0" fontId="22" numFmtId="3" xfId="0" applyAlignment="1" applyFont="1" applyNumberFormat="1">
      <alignment horizontal="right"/>
    </xf>
    <xf borderId="0" fillId="0" fontId="22" numFmtId="3" xfId="0" applyAlignment="1" applyFont="1" applyNumberFormat="1">
      <alignment horizontal="right" shrinkToFit="0" wrapText="0"/>
    </xf>
    <xf borderId="0" fillId="0" fontId="22" numFmtId="3" xfId="0" applyAlignment="1" applyFont="1" applyNumberFormat="1">
      <alignment horizontal="right" readingOrder="0"/>
    </xf>
    <xf borderId="1" fillId="0" fontId="23" numFmtId="3" xfId="0" applyAlignment="1" applyBorder="1" applyFont="1" applyNumberFormat="1">
      <alignment readingOrder="0" vertical="bottom"/>
    </xf>
    <xf borderId="0" fillId="10" fontId="38" numFmtId="0" xfId="0" applyAlignment="1" applyFont="1">
      <alignment horizontal="left" readingOrder="0"/>
    </xf>
    <xf borderId="0" fillId="0" fontId="31" numFmtId="3" xfId="0" applyFont="1" applyNumberFormat="1"/>
    <xf borderId="0" fillId="0" fontId="31" numFmtId="3" xfId="0" applyAlignment="1" applyFont="1" applyNumberFormat="1">
      <alignment horizontal="right"/>
    </xf>
    <xf borderId="0" fillId="0" fontId="31" numFmtId="3" xfId="0" applyAlignment="1" applyFont="1" applyNumberFormat="1">
      <alignment horizontal="right" readingOrder="0"/>
    </xf>
    <xf borderId="0" fillId="0" fontId="31" numFmtId="0" xfId="0" applyAlignment="1" applyFont="1">
      <alignment horizontal="left" readingOrder="0"/>
    </xf>
    <xf borderId="0" fillId="0" fontId="19" numFmtId="3" xfId="0" applyFont="1" applyNumberFormat="1"/>
    <xf borderId="0" fillId="0" fontId="19" numFmtId="3" xfId="0" applyAlignment="1" applyFont="1" applyNumberFormat="1">
      <alignment horizontal="right"/>
    </xf>
    <xf borderId="0" fillId="0" fontId="38" numFmtId="0" xfId="0" applyAlignment="1" applyFont="1">
      <alignment readingOrder="0" shrinkToFit="0" vertical="bottom" wrapText="0"/>
    </xf>
    <xf borderId="0" fillId="0" fontId="31" numFmtId="0" xfId="0" applyAlignment="1" applyFont="1">
      <alignment vertical="top"/>
    </xf>
    <xf borderId="0" fillId="0" fontId="38" numFmtId="0" xfId="0" applyAlignment="1" applyFont="1">
      <alignment vertical="top"/>
    </xf>
    <xf borderId="0" fillId="0" fontId="38" numFmtId="0" xfId="0" applyAlignment="1" applyFont="1">
      <alignment readingOrder="0" vertical="top"/>
    </xf>
    <xf borderId="0" fillId="10" fontId="2" numFmtId="0" xfId="0" applyFont="1"/>
    <xf borderId="1" fillId="0" fontId="22" numFmtId="0" xfId="0" applyAlignment="1" applyBorder="1" applyFont="1">
      <alignment vertical="bottom"/>
    </xf>
    <xf borderId="0" fillId="0" fontId="51" numFmtId="0" xfId="0" applyAlignment="1" applyFont="1">
      <alignment readingOrder="0"/>
    </xf>
    <xf borderId="0" fillId="12" fontId="31" numFmtId="0" xfId="0" applyAlignment="1" applyFont="1">
      <alignment horizontal="left" readingOrder="0"/>
    </xf>
    <xf borderId="0" fillId="0" fontId="23" numFmtId="3" xfId="0" applyAlignment="1" applyFont="1" applyNumberFormat="1">
      <alignment horizontal="right"/>
    </xf>
    <xf borderId="0" fillId="0" fontId="26" numFmtId="0" xfId="0" applyFont="1"/>
    <xf borderId="0" fillId="0" fontId="26" numFmtId="0" xfId="0" applyAlignment="1" applyFont="1">
      <alignment shrinkToFit="0" wrapText="0"/>
    </xf>
    <xf borderId="0" fillId="8" fontId="22" numFmtId="3" xfId="0" applyAlignment="1" applyFont="1" applyNumberFormat="1">
      <alignment readingOrder="0"/>
    </xf>
    <xf borderId="0" fillId="10" fontId="30" numFmtId="0" xfId="0" applyFont="1"/>
    <xf borderId="0" fillId="0" fontId="30" numFmtId="0" xfId="0" applyFont="1"/>
    <xf borderId="0" fillId="8" fontId="19" numFmtId="0" xfId="0" applyAlignment="1" applyFont="1">
      <alignment horizontal="left"/>
    </xf>
    <xf borderId="0" fillId="10" fontId="31" numFmtId="3" xfId="0" applyAlignment="1" applyFont="1" applyNumberFormat="1">
      <alignment horizontal="right" vertical="bottom"/>
    </xf>
    <xf borderId="0" fillId="10" fontId="27" numFmtId="0" xfId="0" applyFont="1"/>
    <xf borderId="0" fillId="8" fontId="22" numFmtId="3" xfId="0" applyFont="1" applyNumberFormat="1"/>
    <xf borderId="0" fillId="0" fontId="24" numFmtId="3" xfId="0" applyFont="1" applyNumberFormat="1"/>
    <xf borderId="0" fillId="0" fontId="52" numFmtId="0" xfId="0" applyFont="1"/>
    <xf borderId="0" fillId="12" fontId="30" numFmtId="0" xfId="0" applyFont="1"/>
    <xf borderId="0" fillId="0" fontId="23" numFmtId="3" xfId="0" applyAlignment="1" applyFont="1" applyNumberFormat="1">
      <alignment vertical="bottom"/>
    </xf>
    <xf borderId="0" fillId="0" fontId="23" numFmtId="3" xfId="0" applyAlignment="1" applyFont="1" applyNumberFormat="1">
      <alignment shrinkToFit="0" vertical="bottom" wrapText="0"/>
    </xf>
    <xf borderId="0" fillId="10" fontId="23" numFmtId="3" xfId="0" applyAlignment="1" applyFont="1" applyNumberFormat="1">
      <alignment vertical="bottom"/>
    </xf>
    <xf borderId="0" fillId="10" fontId="52" numFmtId="0" xfId="0" applyAlignment="1" applyFont="1">
      <alignment readingOrder="0"/>
    </xf>
    <xf borderId="0" fillId="0" fontId="19" numFmtId="3" xfId="0" applyAlignment="1" applyFont="1" applyNumberFormat="1">
      <alignment vertical="bottom"/>
    </xf>
    <xf borderId="0" fillId="10" fontId="19" numFmtId="3" xfId="0" applyAlignment="1" applyFont="1" applyNumberFormat="1">
      <alignment vertical="bottom"/>
    </xf>
    <xf borderId="0" fillId="10" fontId="31" numFmtId="3" xfId="0" applyAlignment="1" applyFont="1" applyNumberFormat="1">
      <alignment vertical="bottom"/>
    </xf>
    <xf borderId="0" fillId="0" fontId="31" numFmtId="3" xfId="0" applyAlignment="1" applyFont="1" applyNumberFormat="1">
      <alignment vertical="bottom"/>
    </xf>
    <xf borderId="0" fillId="10" fontId="19" numFmtId="3" xfId="0" applyAlignment="1" applyFont="1" applyNumberFormat="1">
      <alignment horizontal="right" vertical="bottom"/>
    </xf>
    <xf borderId="0" fillId="0" fontId="19" numFmtId="0" xfId="0" applyAlignment="1" applyFont="1">
      <alignment horizontal="right" vertical="bottom"/>
    </xf>
    <xf borderId="0" fillId="0" fontId="19" numFmtId="3" xfId="0" applyAlignment="1" applyFont="1" applyNumberFormat="1">
      <alignment horizontal="right" vertical="bottom"/>
    </xf>
    <xf borderId="0" fillId="0" fontId="45" numFmtId="0" xfId="0" applyAlignment="1" applyFont="1">
      <alignment readingOrder="0"/>
    </xf>
    <xf borderId="0" fillId="0" fontId="31" numFmtId="0" xfId="0" applyAlignment="1" applyFont="1">
      <alignment horizontal="left"/>
    </xf>
    <xf borderId="0" fillId="0" fontId="53" numFmtId="3" xfId="0" applyFont="1" applyNumberFormat="1"/>
    <xf borderId="0" fillId="0" fontId="53" numFmtId="3" xfId="0" applyAlignment="1" applyFont="1" applyNumberFormat="1">
      <alignment horizontal="right"/>
    </xf>
    <xf borderId="0" fillId="0" fontId="53" numFmtId="3" xfId="0" applyAlignment="1" applyFont="1" applyNumberFormat="1">
      <alignment horizontal="right" shrinkToFit="0" wrapText="0"/>
    </xf>
    <xf borderId="0" fillId="0" fontId="22" numFmtId="3" xfId="0" applyAlignment="1" applyFont="1" applyNumberFormat="1">
      <alignment readingOrder="0" vertical="bottom"/>
    </xf>
    <xf borderId="0" fillId="10" fontId="54" numFmtId="0" xfId="0" applyFont="1"/>
    <xf borderId="0" fillId="0" fontId="54" numFmtId="0" xfId="0" applyFont="1"/>
    <xf borderId="0" fillId="12" fontId="31" numFmtId="0" xfId="0" applyAlignment="1" applyFont="1">
      <alignment horizontal="left"/>
    </xf>
    <xf borderId="0" fillId="0" fontId="22" numFmtId="3" xfId="0" applyAlignment="1" applyFont="1" applyNumberFormat="1">
      <alignment vertical="bottom"/>
    </xf>
    <xf borderId="0" fillId="10" fontId="13" numFmtId="3" xfId="0" applyAlignment="1" applyFont="1" applyNumberFormat="1">
      <alignment horizontal="right" vertical="bottom"/>
    </xf>
    <xf borderId="0" fillId="10" fontId="9" numFmtId="3" xfId="0" applyAlignment="1" applyFont="1" applyNumberFormat="1">
      <alignment horizontal="right" vertical="bottom"/>
    </xf>
    <xf borderId="0" fillId="10" fontId="31" numFmtId="0" xfId="0" applyAlignment="1" applyFont="1">
      <alignment horizontal="left"/>
    </xf>
    <xf borderId="0" fillId="0" fontId="19" numFmtId="3" xfId="0" applyAlignment="1" applyFont="1" applyNumberFormat="1">
      <alignment readingOrder="0" vertical="bottom"/>
    </xf>
    <xf borderId="0" fillId="8" fontId="13" numFmtId="3" xfId="0" applyAlignment="1" applyFont="1" applyNumberFormat="1">
      <alignment shrinkToFit="0" wrapText="0"/>
    </xf>
    <xf borderId="0" fillId="8" fontId="23" numFmtId="3" xfId="0" applyFont="1" applyNumberFormat="1"/>
    <xf borderId="1" fillId="0" fontId="22" numFmtId="0" xfId="0" applyAlignment="1" applyBorder="1" applyFont="1">
      <alignment horizontal="right" readingOrder="0" vertical="bottom"/>
    </xf>
    <xf borderId="0" fillId="8" fontId="32" numFmtId="3" xfId="0" applyFont="1" applyNumberFormat="1"/>
    <xf borderId="0" fillId="8" fontId="19" numFmtId="3" xfId="0" applyFont="1" applyNumberFormat="1"/>
    <xf borderId="0" fillId="9" fontId="9" numFmtId="3" xfId="0" applyFont="1" applyNumberFormat="1"/>
    <xf borderId="0" fillId="8" fontId="19" numFmtId="3" xfId="0" applyAlignment="1" applyFont="1" applyNumberFormat="1">
      <alignment readingOrder="0"/>
    </xf>
    <xf borderId="0" fillId="8" fontId="31" numFmtId="3" xfId="0" applyFont="1" applyNumberFormat="1"/>
    <xf borderId="0" fillId="0" fontId="35" numFmtId="0" xfId="0" applyAlignment="1" applyFont="1">
      <alignment horizontal="center"/>
    </xf>
    <xf borderId="1" fillId="0" fontId="28" numFmtId="0" xfId="0" applyAlignment="1" applyBorder="1" applyFont="1">
      <alignment horizontal="right" vertical="bottom"/>
    </xf>
    <xf borderId="0" fillId="0" fontId="55" numFmtId="0" xfId="0" applyAlignment="1" applyFont="1">
      <alignment horizontal="center"/>
    </xf>
    <xf borderId="0" fillId="0" fontId="1" numFmtId="3" xfId="0" applyFont="1" applyNumberFormat="1"/>
    <xf borderId="0" fillId="0" fontId="2" numFmtId="0" xfId="0" applyAlignment="1" applyFont="1">
      <alignment shrinkToFit="0" wrapText="0"/>
    </xf>
    <xf borderId="0" fillId="0" fontId="19" numFmtId="0" xfId="0" applyAlignment="1" applyFont="1">
      <alignment vertical="bottom"/>
    </xf>
    <xf borderId="0" fillId="10" fontId="56" numFmtId="0" xfId="0" applyAlignment="1" applyFont="1">
      <alignment readingOrder="0"/>
    </xf>
    <xf borderId="0" fillId="10" fontId="57" numFmtId="0" xfId="0" applyAlignment="1" applyFont="1">
      <alignment readingOrder="0"/>
    </xf>
    <xf borderId="0" fillId="0" fontId="58" numFmtId="0" xfId="0" applyAlignment="1" applyFont="1">
      <alignment horizontal="left"/>
    </xf>
    <xf borderId="0" fillId="10" fontId="59" numFmtId="0" xfId="0" applyAlignment="1" applyFont="1">
      <alignment readingOrder="0"/>
    </xf>
    <xf borderId="0" fillId="10" fontId="60" numFmtId="0" xfId="0" applyAlignment="1" applyFont="1">
      <alignment readingOrder="0"/>
    </xf>
    <xf borderId="0" fillId="10" fontId="57" numFmtId="0" xfId="0" applyFont="1"/>
    <xf borderId="0" fillId="0" fontId="29" numFmtId="0" xfId="0" applyAlignment="1" applyFont="1">
      <alignment horizontal="left" shrinkToFit="0" vertical="bottom" wrapText="0"/>
    </xf>
    <xf borderId="0" fillId="0" fontId="29" numFmtId="0" xfId="0" applyAlignment="1" applyFont="1">
      <alignment horizontal="center" shrinkToFit="0" vertical="bottom" wrapText="0"/>
    </xf>
    <xf borderId="0" fillId="8" fontId="9" numFmtId="49" xfId="0" applyAlignment="1" applyFont="1" applyNumberFormat="1">
      <alignment horizontal="center"/>
    </xf>
    <xf borderId="0" fillId="0" fontId="38" numFmtId="0" xfId="0" applyAlignment="1" applyFont="1">
      <alignment horizontal="center" shrinkToFit="0" vertical="bottom" wrapText="0"/>
    </xf>
    <xf borderId="0" fillId="0" fontId="38" numFmtId="10" xfId="0" applyAlignment="1" applyFont="1" applyNumberFormat="1">
      <alignment horizontal="right" readingOrder="0" shrinkToFit="0" vertical="bottom" wrapText="0"/>
    </xf>
    <xf borderId="0" fillId="0" fontId="31" numFmtId="10" xfId="0" applyAlignment="1" applyFont="1" applyNumberFormat="1">
      <alignment horizontal="right" readingOrder="0" shrinkToFit="0" vertical="bottom" wrapText="0"/>
    </xf>
    <xf borderId="0" fillId="0" fontId="61" numFmtId="0" xfId="0" applyAlignment="1" applyFont="1">
      <alignment readingOrder="0" shrinkToFit="0" vertical="bottom" wrapText="0"/>
    </xf>
    <xf borderId="0" fillId="0" fontId="2" numFmtId="0" xfId="0" applyFont="1"/>
    <xf borderId="0" fillId="0" fontId="38" numFmtId="10" xfId="0" applyAlignment="1" applyFont="1" applyNumberFormat="1">
      <alignment horizontal="right" shrinkToFit="0" vertical="bottom" wrapText="0"/>
    </xf>
    <xf borderId="0" fillId="0" fontId="31" numFmtId="10" xfId="0" applyAlignment="1" applyFont="1" applyNumberFormat="1">
      <alignment horizontal="right" shrinkToFit="0" vertical="bottom" wrapText="0"/>
    </xf>
    <xf borderId="0" fillId="0" fontId="62" numFmtId="0" xfId="0" applyAlignment="1" applyFont="1">
      <alignment shrinkToFit="0" vertical="bottom" wrapText="0"/>
    </xf>
    <xf borderId="0" fillId="0" fontId="38" numFmtId="0" xfId="0" applyAlignment="1" applyFont="1">
      <alignment horizontal="center" vertical="bottom"/>
    </xf>
    <xf borderId="0" fillId="0" fontId="38" numFmtId="9" xfId="0" applyAlignment="1" applyFont="1" applyNumberFormat="1">
      <alignment horizontal="right" shrinkToFit="0" vertical="bottom" wrapText="0"/>
    </xf>
    <xf borderId="0" fillId="0" fontId="19" numFmtId="164" xfId="0" applyAlignment="1" applyFont="1" applyNumberFormat="1">
      <alignment horizontal="right" shrinkToFit="0" vertical="bottom" wrapText="0"/>
    </xf>
    <xf borderId="0" fillId="0" fontId="27" numFmtId="0" xfId="0" applyAlignment="1" applyFont="1">
      <alignment horizontal="center" readingOrder="0"/>
    </xf>
    <xf borderId="0" fillId="0" fontId="52" numFmtId="10" xfId="0" applyAlignment="1" applyFont="1" applyNumberFormat="1">
      <alignment readingOrder="0"/>
    </xf>
    <xf borderId="0" fillId="0" fontId="2" numFmtId="10" xfId="0" applyAlignment="1" applyFont="1" applyNumberFormat="1">
      <alignment readingOrder="0"/>
    </xf>
    <xf borderId="0" fillId="0" fontId="63" numFmtId="0" xfId="0" applyAlignment="1" applyFont="1">
      <alignment readingOrder="0"/>
    </xf>
    <xf borderId="0" fillId="0" fontId="42" numFmtId="166" xfId="0" applyFont="1" applyNumberFormat="1"/>
    <xf borderId="0" fillId="0" fontId="63" numFmtId="166" xfId="0" applyFont="1" applyNumberFormat="1"/>
    <xf borderId="0" fillId="0" fontId="63" numFmtId="0" xfId="0" applyAlignment="1" applyFont="1">
      <alignment horizontal="center" readingOrder="0"/>
    </xf>
    <xf borderId="0" fillId="0" fontId="64" numFmtId="167" xfId="0" applyAlignment="1" applyFont="1" applyNumberFormat="1">
      <alignment horizontal="center" readingOrder="0"/>
    </xf>
    <xf borderId="0" fillId="0" fontId="31" numFmtId="0" xfId="0" applyAlignment="1" applyFont="1">
      <alignment horizontal="left" readingOrder="0" shrinkToFit="0" vertical="bottom" wrapText="0"/>
    </xf>
    <xf borderId="0" fillId="0" fontId="42" numFmtId="3" xfId="0" applyFont="1" applyNumberFormat="1"/>
    <xf borderId="0" fillId="0" fontId="32" numFmtId="0" xfId="0" applyAlignment="1" applyFont="1">
      <alignment horizontal="center" readingOrder="0" vertical="bottom"/>
    </xf>
    <xf borderId="0" fillId="0" fontId="63" numFmtId="3" xfId="0" applyFont="1" applyNumberFormat="1"/>
    <xf borderId="0" fillId="0" fontId="38" numFmtId="0" xfId="0" applyAlignment="1" applyFont="1">
      <alignment horizontal="left" vertical="bottom"/>
    </xf>
    <xf borderId="0" fillId="0" fontId="2" numFmtId="9" xfId="0" applyFont="1" applyNumberFormat="1"/>
    <xf borderId="0" fillId="0" fontId="16" numFmtId="0" xfId="0" applyAlignment="1" applyFont="1">
      <alignment horizontal="center" readingOrder="0"/>
    </xf>
    <xf borderId="2" fillId="8" fontId="9" numFmtId="0" xfId="0" applyAlignment="1" applyBorder="1" applyFont="1">
      <alignment horizontal="left"/>
    </xf>
    <xf borderId="1" fillId="0" fontId="1" numFmtId="49" xfId="0" applyAlignment="1" applyBorder="1" applyFont="1" applyNumberFormat="1">
      <alignment horizontal="center"/>
    </xf>
    <xf borderId="1" fillId="10" fontId="9" numFmtId="0" xfId="0" applyAlignment="1" applyBorder="1" applyFont="1">
      <alignment horizontal="left" readingOrder="0"/>
    </xf>
    <xf borderId="1" fillId="10" fontId="9" numFmtId="3" xfId="0" applyAlignment="1" applyBorder="1" applyFont="1" applyNumberFormat="1">
      <alignment horizontal="right" readingOrder="0"/>
    </xf>
    <xf borderId="1" fillId="0" fontId="2" numFmtId="3" xfId="0" applyBorder="1" applyFont="1" applyNumberFormat="1"/>
    <xf borderId="1" fillId="10" fontId="9" numFmtId="0" xfId="0" applyAlignment="1" applyBorder="1" applyFont="1">
      <alignment horizontal="left"/>
    </xf>
    <xf borderId="1" fillId="10" fontId="9" numFmtId="3" xfId="0" applyAlignment="1" applyBorder="1" applyFont="1" applyNumberFormat="1">
      <alignment horizontal="right"/>
    </xf>
    <xf borderId="1" fillId="0" fontId="1" numFmtId="3" xfId="0" applyBorder="1" applyFont="1" applyNumberFormat="1"/>
    <xf borderId="1" fillId="10" fontId="19" numFmtId="0" xfId="0" applyAlignment="1" applyBorder="1" applyFont="1">
      <alignment horizontal="left" readingOrder="0"/>
    </xf>
    <xf borderId="3" fillId="0" fontId="19" numFmtId="0" xfId="0" applyAlignment="1" applyBorder="1" applyFont="1">
      <alignment horizontal="left"/>
    </xf>
    <xf borderId="0" fillId="0" fontId="2" numFmtId="3" xfId="0" applyFont="1" applyNumberFormat="1"/>
    <xf borderId="0" fillId="0" fontId="9" numFmtId="0" xfId="0" applyAlignment="1" applyFont="1">
      <alignment horizontal="center" vertical="bottom"/>
    </xf>
    <xf borderId="0" fillId="0" fontId="9" numFmtId="0" xfId="0" applyAlignment="1" applyFont="1">
      <alignment horizontal="center" readingOrder="0" vertical="bottom"/>
    </xf>
    <xf borderId="1" fillId="0" fontId="1" numFmtId="0" xfId="0" applyAlignment="1" applyBorder="1" applyFont="1">
      <alignment horizontal="center" readingOrder="0"/>
    </xf>
    <xf borderId="1" fillId="0" fontId="9" numFmtId="0" xfId="0" applyAlignment="1" applyBorder="1" applyFont="1">
      <alignment horizontal="center" vertical="bottom"/>
    </xf>
    <xf borderId="1" fillId="0" fontId="9" numFmtId="0" xfId="0" applyAlignment="1" applyBorder="1" applyFont="1">
      <alignment horizontal="center" readingOrder="0" vertical="bottom"/>
    </xf>
    <xf borderId="1" fillId="0" fontId="2" numFmtId="1" xfId="0" applyBorder="1" applyFont="1" applyNumberFormat="1"/>
    <xf borderId="1" fillId="0" fontId="1" numFmtId="0" xfId="0" applyAlignment="1" applyBorder="1" applyFont="1">
      <alignment horizontal="right"/>
    </xf>
    <xf borderId="0" fillId="0" fontId="29" numFmtId="0" xfId="0" applyAlignment="1" applyFont="1">
      <alignment vertical="bottom"/>
    </xf>
    <xf borderId="0" fillId="0" fontId="32" numFmtId="9" xfId="0" applyAlignment="1" applyFont="1" applyNumberFormat="1">
      <alignment horizontal="right" vertical="bottom"/>
    </xf>
    <xf borderId="0" fillId="0" fontId="32" numFmtId="0" xfId="0" applyAlignment="1" applyFont="1">
      <alignment horizontal="right" readingOrder="0" vertical="bottom"/>
    </xf>
    <xf borderId="0" fillId="0" fontId="32" numFmtId="9" xfId="0" applyAlignment="1" applyFont="1" applyNumberFormat="1">
      <alignment vertical="bottom"/>
    </xf>
    <xf borderId="0" fillId="0" fontId="32" numFmtId="0" xfId="0" applyAlignment="1" applyFont="1">
      <alignment horizontal="right" vertical="bottom"/>
    </xf>
    <xf borderId="0" fillId="0" fontId="29" numFmtId="166" xfId="0" applyAlignment="1" applyFont="1" applyNumberFormat="1">
      <alignment horizontal="right" readingOrder="0" vertical="bottom"/>
    </xf>
    <xf borderId="0" fillId="0" fontId="29" numFmtId="168" xfId="0" applyAlignment="1" applyFont="1" applyNumberFormat="1">
      <alignment horizontal="right" readingOrder="0" vertical="bottom"/>
    </xf>
    <xf borderId="0" fillId="0" fontId="65" numFmtId="164" xfId="0" applyAlignment="1" applyFont="1" applyNumberFormat="1">
      <alignment shrinkToFit="0" vertical="bottom" wrapText="0"/>
    </xf>
    <xf borderId="0" fillId="0" fontId="35" numFmtId="0" xfId="0" applyFont="1"/>
    <xf borderId="0" fillId="0" fontId="29" numFmtId="0" xfId="0" applyAlignment="1" applyFont="1">
      <alignment horizontal="center" readingOrder="0" vertical="center"/>
    </xf>
    <xf borderId="0" fillId="0" fontId="29" numFmtId="0" xfId="0" applyAlignment="1" applyFont="1">
      <alignment shrinkToFit="0" textRotation="45" vertical="center" wrapText="1"/>
    </xf>
    <xf borderId="0" fillId="0" fontId="29" numFmtId="0" xfId="0" applyAlignment="1" applyFont="1">
      <alignment shrinkToFit="0" vertical="center" wrapText="1"/>
    </xf>
    <xf borderId="0" fillId="0" fontId="66" numFmtId="0" xfId="0" applyAlignment="1" applyFont="1">
      <alignment shrinkToFit="0" vertical="center" wrapText="1"/>
    </xf>
    <xf borderId="0" fillId="0" fontId="66" numFmtId="0" xfId="0" applyAlignment="1" applyFont="1">
      <alignment readingOrder="0" shrinkToFit="0" vertical="center" wrapText="1"/>
    </xf>
    <xf borderId="0" fillId="0" fontId="67" numFmtId="0" xfId="0" applyAlignment="1" applyFont="1">
      <alignment shrinkToFit="0" vertical="center" wrapText="1"/>
    </xf>
    <xf borderId="0" fillId="8" fontId="38" numFmtId="0" xfId="0" applyAlignment="1" applyFont="1">
      <alignment horizontal="center" readingOrder="0" shrinkToFit="0" vertical="bottom" wrapText="0"/>
    </xf>
    <xf borderId="0" fillId="8" fontId="38" numFmtId="0" xfId="0" applyAlignment="1" applyFont="1">
      <alignment horizontal="center" shrinkToFit="0" vertical="bottom" wrapText="0"/>
    </xf>
    <xf borderId="0" fillId="8" fontId="38" numFmtId="0" xfId="0" applyAlignment="1" applyFont="1">
      <alignment horizontal="center" shrinkToFit="0" wrapText="0"/>
    </xf>
    <xf borderId="0" fillId="8" fontId="27" numFmtId="3" xfId="0" applyFont="1" applyNumberFormat="1"/>
    <xf borderId="0" fillId="8" fontId="27" numFmtId="164" xfId="0" applyFont="1" applyNumberFormat="1"/>
    <xf borderId="0" fillId="8" fontId="68" numFmtId="164" xfId="0" applyFont="1" applyNumberFormat="1"/>
    <xf borderId="0" fillId="0" fontId="38" numFmtId="169" xfId="0" applyAlignment="1" applyFont="1" applyNumberFormat="1">
      <alignment shrinkToFit="0" vertical="bottom" wrapText="0"/>
    </xf>
    <xf borderId="0" fillId="0" fontId="38" numFmtId="164" xfId="0" applyAlignment="1" applyFont="1" applyNumberFormat="1">
      <alignment readingOrder="0" shrinkToFit="0" vertical="bottom" wrapText="0"/>
    </xf>
    <xf borderId="0" fillId="8" fontId="38" numFmtId="0" xfId="0" applyAlignment="1" applyFont="1">
      <alignment readingOrder="0" shrinkToFit="0" vertical="bottom" wrapText="0"/>
    </xf>
    <xf borderId="0" fillId="8" fontId="27" numFmtId="0" xfId="0" applyAlignment="1" applyFont="1">
      <alignment horizontal="center"/>
    </xf>
    <xf borderId="0" fillId="8" fontId="27" numFmtId="0" xfId="0" applyAlignment="1" applyFont="1">
      <alignment horizontal="center" readingOrder="0"/>
    </xf>
    <xf borderId="0" fillId="8" fontId="27" numFmtId="164" xfId="0" applyAlignment="1" applyFont="1" applyNumberFormat="1">
      <alignment readingOrder="0"/>
    </xf>
    <xf borderId="0" fillId="0" fontId="69" numFmtId="0" xfId="0" applyAlignment="1" applyFont="1">
      <alignment readingOrder="0"/>
    </xf>
    <xf borderId="0" fillId="8" fontId="52" numFmtId="0" xfId="0" applyAlignment="1" applyFont="1">
      <alignment horizontal="center" readingOrder="0"/>
    </xf>
    <xf borderId="0" fillId="0" fontId="70" numFmtId="0" xfId="0" applyFont="1"/>
    <xf borderId="0" fillId="0" fontId="38" numFmtId="0" xfId="0" applyAlignment="1" applyFont="1">
      <alignment vertical="bottom"/>
    </xf>
    <xf borderId="0" fillId="0" fontId="71" numFmtId="0" xfId="0" applyAlignment="1" applyFont="1">
      <alignment shrinkToFit="0" vertical="bottom" wrapText="0"/>
    </xf>
    <xf borderId="0" fillId="0" fontId="27" numFmtId="0" xfId="0" applyAlignment="1" applyFont="1">
      <alignment readingOrder="0"/>
    </xf>
    <xf borderId="0" fillId="0" fontId="72" numFmtId="169" xfId="0" applyAlignment="1" applyFont="1" applyNumberFormat="1">
      <alignment shrinkToFit="0" vertical="bottom" wrapText="0"/>
    </xf>
    <xf borderId="0" fillId="8" fontId="38" numFmtId="0" xfId="0" applyAlignment="1" applyFont="1">
      <alignment readingOrder="0" vertical="top"/>
    </xf>
    <xf borderId="0" fillId="8" fontId="38" numFmtId="0" xfId="0" applyAlignment="1" applyFont="1">
      <alignment horizontal="center" readingOrder="0" shrinkToFit="0" wrapText="0"/>
    </xf>
    <xf borderId="0" fillId="8" fontId="27" numFmtId="3" xfId="0" applyAlignment="1" applyFont="1" applyNumberFormat="1">
      <alignment readingOrder="0"/>
    </xf>
    <xf borderId="0" fillId="0" fontId="73" numFmtId="0" xfId="0" applyAlignment="1" applyFont="1">
      <alignment vertical="bottom"/>
    </xf>
    <xf borderId="0" fillId="0" fontId="74" numFmtId="0" xfId="0" applyAlignment="1" applyFont="1">
      <alignment readingOrder="0" shrinkToFit="0" vertical="bottom" wrapText="0"/>
    </xf>
    <xf borderId="0" fillId="0" fontId="75" numFmtId="164" xfId="0" applyAlignment="1" applyFont="1" applyNumberFormat="1">
      <alignment readingOrder="0" shrinkToFit="0" vertical="bottom" wrapText="0"/>
    </xf>
    <xf borderId="0" fillId="8" fontId="37" numFmtId="0" xfId="0" applyAlignment="1" applyFont="1">
      <alignment shrinkToFit="0" vertical="bottom" wrapText="0"/>
    </xf>
    <xf borderId="0" fillId="8" fontId="37" numFmtId="0" xfId="0" applyAlignment="1" applyFont="1">
      <alignment horizontal="center" shrinkToFit="0" vertical="bottom" wrapText="0"/>
    </xf>
    <xf borderId="0" fillId="8" fontId="37" numFmtId="0" xfId="0" applyAlignment="1" applyFont="1">
      <alignment horizontal="center" shrinkToFit="0" wrapText="0"/>
    </xf>
    <xf borderId="0" fillId="8" fontId="26" numFmtId="3" xfId="0" applyFont="1" applyNumberFormat="1"/>
    <xf borderId="0" fillId="0" fontId="76" numFmtId="164" xfId="0" applyAlignment="1" applyFont="1" applyNumberFormat="1">
      <alignment readingOrder="0" shrinkToFit="0" vertical="bottom" wrapText="0"/>
    </xf>
    <xf borderId="0" fillId="8" fontId="2" numFmtId="3" xfId="0" applyAlignment="1" applyFont="1" applyNumberFormat="1">
      <alignment readingOrder="0"/>
    </xf>
    <xf borderId="0" fillId="8" fontId="52" numFmtId="3" xfId="0" applyFont="1" applyNumberFormat="1"/>
    <xf borderId="0" fillId="8" fontId="52" numFmtId="3" xfId="0" applyAlignment="1" applyFont="1" applyNumberFormat="1">
      <alignment readingOrder="0"/>
    </xf>
    <xf borderId="0" fillId="0" fontId="77" numFmtId="0" xfId="0" applyAlignment="1" applyFont="1">
      <alignment shrinkToFit="0" vertical="bottom" wrapText="0"/>
    </xf>
    <xf borderId="0" fillId="0" fontId="38" numFmtId="169" xfId="0" applyAlignment="1" applyFont="1" applyNumberFormat="1">
      <alignment readingOrder="0" shrinkToFit="0" vertical="bottom" wrapText="0"/>
    </xf>
    <xf borderId="0" fillId="0" fontId="78" numFmtId="0" xfId="0" applyAlignment="1" applyFont="1">
      <alignment readingOrder="0"/>
    </xf>
    <xf borderId="0" fillId="8" fontId="52" numFmtId="0" xfId="0" applyFont="1"/>
    <xf borderId="0" fillId="8" fontId="2" numFmtId="0" xfId="0" applyFont="1"/>
    <xf borderId="0" fillId="8" fontId="52" numFmtId="0" xfId="0" applyAlignment="1" applyFont="1">
      <alignment readingOrder="0"/>
    </xf>
    <xf borderId="0" fillId="8" fontId="52" numFmtId="0" xfId="0" applyAlignment="1" applyFont="1">
      <alignment horizontal="center"/>
    </xf>
    <xf borderId="0" fillId="8" fontId="2" numFmtId="0" xfId="0" applyAlignment="1" applyFont="1">
      <alignment readingOrder="0"/>
    </xf>
    <xf borderId="0" fillId="8" fontId="2" numFmtId="0" xfId="0" applyAlignment="1" applyFont="1">
      <alignment horizontal="center" readingOrder="0"/>
    </xf>
    <xf borderId="0" fillId="8" fontId="1" numFmtId="164" xfId="0" applyAlignment="1" applyFont="1" applyNumberFormat="1">
      <alignment readingOrder="0"/>
    </xf>
    <xf borderId="0" fillId="0" fontId="79" numFmtId="0" xfId="0" applyAlignment="1" applyFont="1">
      <alignment readingOrder="0"/>
    </xf>
    <xf borderId="0" fillId="0" fontId="2" numFmtId="3" xfId="0" applyAlignment="1" applyFont="1" applyNumberFormat="1">
      <alignment readingOrder="0"/>
    </xf>
    <xf borderId="0" fillId="0" fontId="1" numFmtId="3" xfId="0" applyAlignment="1" applyFont="1" applyNumberFormat="1">
      <alignment readingOrder="0"/>
    </xf>
    <xf borderId="0" fillId="0" fontId="29" numFmtId="0" xfId="0" applyAlignment="1" applyFont="1">
      <alignment readingOrder="0" shrinkToFit="0" vertical="bottom" wrapText="0"/>
    </xf>
    <xf borderId="0" fillId="0" fontId="29" numFmtId="0" xfId="0" applyAlignment="1" applyFont="1">
      <alignment shrinkToFit="0" vertical="bottom" wrapText="0"/>
    </xf>
    <xf borderId="0" fillId="0" fontId="80" numFmtId="0" xfId="0" applyAlignment="1" applyFont="1">
      <alignment horizontal="center" readingOrder="0" shrinkToFit="0" vertical="center" wrapText="1"/>
    </xf>
    <xf borderId="0" fillId="0" fontId="21" numFmtId="0" xfId="0" applyAlignment="1" applyFont="1">
      <alignment readingOrder="0" shrinkToFit="0" vertical="center" wrapText="0"/>
    </xf>
    <xf borderId="0" fillId="0" fontId="29" numFmtId="0" xfId="0" applyAlignment="1" applyFont="1">
      <alignment readingOrder="0" shrinkToFit="0" vertical="center" wrapText="0"/>
    </xf>
    <xf borderId="0" fillId="0" fontId="80" numFmtId="0" xfId="0" applyAlignment="1" applyFont="1">
      <alignment horizontal="center" shrinkToFit="0" vertical="center" wrapText="1"/>
    </xf>
    <xf borderId="0" fillId="10" fontId="80" numFmtId="0" xfId="0" applyAlignment="1" applyFont="1">
      <alignment horizontal="center" shrinkToFit="0" vertical="center" wrapText="1"/>
    </xf>
    <xf borderId="0" fillId="10" fontId="80" numFmtId="0" xfId="0" applyAlignment="1" applyFont="1">
      <alignment horizontal="center" readingOrder="0" shrinkToFit="0" vertical="center" wrapText="1"/>
    </xf>
    <xf borderId="0" fillId="0" fontId="81" numFmtId="0" xfId="0" applyAlignment="1" applyFont="1">
      <alignment vertical="center"/>
    </xf>
    <xf borderId="0" fillId="0" fontId="81" numFmtId="0" xfId="0" applyFont="1"/>
    <xf borderId="0" fillId="0" fontId="19" numFmtId="0" xfId="0" applyAlignment="1" applyFont="1">
      <alignment horizontal="right" readingOrder="0" shrinkToFit="0" vertical="bottom" wrapText="0"/>
    </xf>
    <xf borderId="0" fillId="0" fontId="19" numFmtId="1" xfId="0" applyAlignment="1" applyFont="1" applyNumberFormat="1">
      <alignment horizontal="right" shrinkToFit="0" vertical="bottom" wrapText="0"/>
    </xf>
    <xf borderId="0" fillId="10" fontId="38" numFmtId="1" xfId="0" applyAlignment="1" applyFont="1" applyNumberFormat="1">
      <alignment horizontal="right" shrinkToFit="0" vertical="bottom" wrapText="0"/>
    </xf>
    <xf borderId="0" fillId="0" fontId="38" numFmtId="0" xfId="0" applyAlignment="1" applyFont="1">
      <alignment horizontal="right" readingOrder="0" shrinkToFit="0" vertical="bottom" wrapText="0"/>
    </xf>
    <xf borderId="0" fillId="0" fontId="38" numFmtId="0" xfId="0" applyAlignment="1" applyFont="1">
      <alignment horizontal="right" shrinkToFit="0" wrapText="0"/>
    </xf>
    <xf borderId="0" fillId="0" fontId="19" numFmtId="0" xfId="0" applyAlignment="1" applyFont="1">
      <alignment horizontal="right" shrinkToFit="0" vertical="bottom" wrapText="0"/>
    </xf>
    <xf borderId="0" fillId="0" fontId="19" numFmtId="0" xfId="0" applyAlignment="1" applyFont="1">
      <alignment horizontal="center" shrinkToFit="0" vertical="bottom" wrapText="0"/>
    </xf>
    <xf borderId="0" fillId="0" fontId="19" numFmtId="0" xfId="0" applyAlignment="1" applyFont="1">
      <alignment shrinkToFit="0" vertical="bottom" wrapText="0"/>
    </xf>
    <xf borderId="0" fillId="0" fontId="82" numFmtId="0" xfId="0" applyAlignment="1" applyFont="1">
      <alignment shrinkToFit="0" vertical="bottom" wrapText="0"/>
    </xf>
    <xf borderId="0" fillId="0" fontId="29" numFmtId="0" xfId="0" applyAlignment="1" applyFont="1">
      <alignment horizontal="right" shrinkToFit="0" vertical="bottom" wrapText="0"/>
    </xf>
    <xf borderId="0" fillId="0" fontId="29" numFmtId="1" xfId="0" applyAlignment="1" applyFont="1" applyNumberFormat="1">
      <alignment horizontal="right" shrinkToFit="0" vertical="bottom" wrapText="0"/>
    </xf>
    <xf borderId="0" fillId="10" fontId="29" numFmtId="0" xfId="0" applyAlignment="1" applyFont="1">
      <alignment shrinkToFit="0" vertical="bottom" wrapText="0"/>
    </xf>
    <xf borderId="0" fillId="10" fontId="38" numFmtId="0" xfId="0" applyAlignment="1" applyFont="1">
      <alignment horizontal="right" shrinkToFit="0" vertical="bottom" wrapText="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9" numFmtId="0" xfId="0" applyAlignment="1" applyFont="1">
      <alignment horizontal="right" shrinkToFit="0" vertical="bottom" wrapText="0"/>
    </xf>
    <xf borderId="0" fillId="0" fontId="80" numFmtId="0" xfId="0" applyAlignment="1" applyFont="1">
      <alignment horizontal="center" readingOrder="0"/>
    </xf>
    <xf borderId="0" fillId="0" fontId="2" numFmtId="0" xfId="0" applyAlignment="1" applyFont="1">
      <alignment horizontal="center" readingOrder="0" shrinkToFit="0" wrapText="1"/>
    </xf>
    <xf borderId="0" fillId="0" fontId="83" numFmtId="0" xfId="0" applyAlignment="1" applyFont="1">
      <alignment horizontal="center" readingOrder="0" shrinkToFit="0" wrapText="1"/>
    </xf>
    <xf borderId="1" fillId="0" fontId="66" numFmtId="0" xfId="0" applyAlignment="1" applyBorder="1" applyFont="1">
      <alignment horizontal="center" readingOrder="0" vertical="center"/>
    </xf>
    <xf borderId="1" fillId="2" fontId="84" numFmtId="3" xfId="0" applyAlignment="1" applyBorder="1" applyFont="1" applyNumberFormat="1">
      <alignment horizontal="center" readingOrder="0" shrinkToFit="0" vertical="center" wrapText="1"/>
    </xf>
    <xf borderId="1" fillId="2" fontId="85" numFmtId="3" xfId="0" applyAlignment="1" applyBorder="1" applyFont="1" applyNumberFormat="1">
      <alignment horizontal="center" readingOrder="0" shrinkToFit="0" vertical="center" wrapText="1"/>
    </xf>
    <xf borderId="1" fillId="0" fontId="84" numFmtId="0" xfId="0" applyAlignment="1" applyBorder="1" applyFont="1">
      <alignment horizontal="center" readingOrder="0" shrinkToFit="0" vertical="center" wrapText="1"/>
    </xf>
    <xf borderId="1" fillId="0" fontId="86" numFmtId="0" xfId="0" applyAlignment="1" applyBorder="1" applyFont="1">
      <alignment horizontal="center" readingOrder="0" shrinkToFit="0" vertical="center" wrapText="1"/>
    </xf>
    <xf borderId="1" fillId="9" fontId="29" numFmtId="0" xfId="0" applyAlignment="1" applyBorder="1" applyFont="1">
      <alignment horizontal="center" readingOrder="0" shrinkToFit="0" vertical="bottom" wrapText="0"/>
    </xf>
    <xf borderId="0" fillId="9" fontId="9" numFmtId="0" xfId="0" applyAlignment="1" applyFont="1">
      <alignment horizontal="center" readingOrder="0" vertical="bottom"/>
    </xf>
    <xf borderId="1" fillId="10" fontId="1" numFmtId="0" xfId="0" applyAlignment="1" applyBorder="1" applyFont="1">
      <alignment horizontal="center" readingOrder="0"/>
    </xf>
    <xf borderId="1" fillId="10" fontId="31" numFmtId="3" xfId="0" applyAlignment="1" applyBorder="1" applyFont="1" applyNumberFormat="1">
      <alignment readingOrder="0" vertical="bottom"/>
    </xf>
    <xf borderId="1" fillId="7" fontId="19" numFmtId="0" xfId="0" applyAlignment="1" applyBorder="1" applyFont="1">
      <alignment vertical="bottom"/>
    </xf>
    <xf borderId="1" fillId="7" fontId="2" numFmtId="0" xfId="0" applyBorder="1" applyFont="1"/>
    <xf borderId="1" fillId="7" fontId="1" numFmtId="3" xfId="0" applyBorder="1" applyFont="1" applyNumberFormat="1"/>
    <xf borderId="1" fillId="0" fontId="2" numFmtId="9" xfId="0" applyAlignment="1" applyBorder="1" applyFont="1" applyNumberFormat="1">
      <alignment horizontal="center"/>
    </xf>
    <xf borderId="1" fillId="0" fontId="2" numFmtId="166" xfId="0" applyAlignment="1" applyBorder="1" applyFont="1" applyNumberFormat="1">
      <alignment horizontal="center"/>
    </xf>
    <xf borderId="1" fillId="11" fontId="32" numFmtId="3" xfId="0" applyAlignment="1" applyBorder="1" applyFont="1" applyNumberFormat="1">
      <alignment horizontal="right" vertical="bottom"/>
    </xf>
    <xf borderId="1" fillId="11" fontId="1" numFmtId="166" xfId="0" applyAlignment="1" applyBorder="1" applyFont="1" applyNumberFormat="1">
      <alignment horizontal="center"/>
    </xf>
    <xf borderId="1" fillId="11" fontId="1" numFmtId="3" xfId="0" applyBorder="1" applyFont="1" applyNumberFormat="1"/>
    <xf borderId="0" fillId="0" fontId="83" numFmtId="0" xfId="0" applyAlignment="1" applyFont="1">
      <alignment readingOrder="0"/>
    </xf>
    <xf borderId="1" fillId="10" fontId="32" numFmtId="3" xfId="0" applyAlignment="1" applyBorder="1" applyFont="1" applyNumberFormat="1">
      <alignment readingOrder="0" vertical="bottom"/>
    </xf>
    <xf borderId="1" fillId="0" fontId="1" numFmtId="9" xfId="0" applyAlignment="1" applyBorder="1" applyFont="1" applyNumberFormat="1">
      <alignment horizontal="center"/>
    </xf>
    <xf borderId="1" fillId="0" fontId="1" numFmtId="0" xfId="0" applyBorder="1" applyFont="1"/>
    <xf borderId="1" fillId="9" fontId="19" numFmtId="3" xfId="0" applyBorder="1" applyFont="1" applyNumberFormat="1"/>
    <xf borderId="1" fillId="9" fontId="32" numFmtId="3" xfId="0" applyAlignment="1" applyBorder="1" applyFont="1" applyNumberFormat="1">
      <alignment readingOrder="0" vertical="bottom"/>
    </xf>
    <xf borderId="1" fillId="9" fontId="2" numFmtId="9" xfId="0" applyAlignment="1" applyBorder="1" applyFont="1" applyNumberFormat="1">
      <alignment horizontal="center"/>
    </xf>
    <xf borderId="1" fillId="9" fontId="2" numFmtId="0" xfId="0" applyBorder="1" applyFont="1"/>
    <xf borderId="1" fillId="9" fontId="2" numFmtId="3" xfId="0" applyBorder="1" applyFont="1" applyNumberFormat="1"/>
    <xf borderId="1" fillId="12" fontId="32" numFmtId="3" xfId="0" applyAlignment="1" applyBorder="1" applyFont="1" applyNumberFormat="1">
      <alignment horizontal="right" readingOrder="0" vertical="bottom"/>
    </xf>
    <xf borderId="1" fillId="12" fontId="1" numFmtId="9" xfId="0" applyAlignment="1" applyBorder="1" applyFont="1" applyNumberFormat="1">
      <alignment horizontal="center"/>
    </xf>
    <xf borderId="1" fillId="13" fontId="19" numFmtId="3" xfId="0" applyBorder="1" applyFont="1" applyNumberFormat="1"/>
    <xf borderId="1" fillId="13" fontId="2" numFmtId="0" xfId="0" applyBorder="1" applyFont="1"/>
    <xf borderId="1" fillId="13" fontId="1" numFmtId="3" xfId="0" applyBorder="1" applyFont="1" applyNumberFormat="1"/>
    <xf borderId="1" fillId="12" fontId="1" numFmtId="0" xfId="0" applyAlignment="1" applyBorder="1" applyFont="1">
      <alignment horizontal="center" readingOrder="0"/>
    </xf>
    <xf borderId="1" fillId="0" fontId="87" numFmtId="0" xfId="0" applyBorder="1" applyFont="1"/>
    <xf borderId="1" fillId="0" fontId="42" numFmtId="3" xfId="0" applyBorder="1" applyFont="1" applyNumberFormat="1"/>
    <xf borderId="0" fillId="0" fontId="1" numFmtId="0" xfId="0" applyAlignment="1" applyFont="1">
      <alignment horizontal="right" readingOrder="0"/>
    </xf>
    <xf borderId="0" fillId="0" fontId="1" numFmtId="9" xfId="0" applyAlignment="1" applyFont="1" applyNumberFormat="1">
      <alignment horizontal="center"/>
    </xf>
    <xf borderId="0" fillId="0" fontId="1" numFmtId="0" xfId="0" applyFont="1"/>
    <xf borderId="3" fillId="0" fontId="1" numFmtId="0" xfId="0" applyAlignment="1" applyBorder="1" applyFont="1">
      <alignment readingOrder="0"/>
    </xf>
    <xf borderId="4" fillId="0" fontId="88" numFmtId="0" xfId="0" applyBorder="1" applyFont="1"/>
    <xf borderId="1" fillId="0" fontId="1" numFmtId="3" xfId="0" applyAlignment="1" applyBorder="1" applyFont="1" applyNumberFormat="1">
      <alignment readingOrder="0"/>
    </xf>
    <xf borderId="5" fillId="0" fontId="88" numFmtId="0" xfId="0" applyBorder="1" applyFont="1"/>
    <xf borderId="3" fillId="0" fontId="2" numFmtId="0" xfId="0" applyAlignment="1" applyBorder="1" applyFont="1">
      <alignment readingOrder="0"/>
    </xf>
    <xf borderId="1" fillId="0" fontId="1" numFmtId="164" xfId="0" applyBorder="1" applyFont="1" applyNumberFormat="1"/>
    <xf borderId="1" fillId="0" fontId="2" numFmtId="0" xfId="0" applyAlignment="1" applyBorder="1" applyFont="1">
      <alignment readingOrder="0"/>
    </xf>
    <xf borderId="6" fillId="0" fontId="2" numFmtId="0" xfId="0" applyBorder="1" applyFont="1"/>
    <xf borderId="7" fillId="0" fontId="88" numFmtId="0" xfId="0" applyBorder="1" applyFont="1"/>
    <xf borderId="2" fillId="0" fontId="88" numFmtId="0" xfId="0" applyBorder="1" applyFont="1"/>
    <xf borderId="1" fillId="0" fontId="89" numFmtId="164" xfId="0" applyBorder="1" applyFont="1" applyNumberFormat="1"/>
    <xf borderId="0" fillId="0" fontId="2" numFmtId="169" xfId="0" applyFont="1" applyNumberFormat="1"/>
    <xf borderId="0" fillId="0" fontId="90" numFmtId="0" xfId="0" applyAlignment="1" applyFont="1">
      <alignment horizontal="center" readingOrder="0"/>
    </xf>
    <xf borderId="4" fillId="0" fontId="1" numFmtId="0" xfId="0" applyAlignment="1" applyBorder="1" applyFont="1">
      <alignment readingOrder="0"/>
    </xf>
    <xf borderId="1" fillId="0" fontId="1" numFmtId="170" xfId="0" applyBorder="1" applyFont="1" applyNumberFormat="1"/>
    <xf borderId="1" fillId="0" fontId="2" numFmtId="170" xfId="0" applyAlignment="1" applyBorder="1" applyFont="1" applyNumberFormat="1">
      <alignment readingOrder="0"/>
    </xf>
    <xf borderId="7" fillId="0" fontId="2" numFmtId="0" xfId="0" applyBorder="1" applyFont="1"/>
    <xf borderId="2" fillId="0" fontId="2" numFmtId="0" xfId="0" applyBorder="1" applyFont="1"/>
    <xf borderId="0" fillId="0" fontId="2" numFmtId="0" xfId="0" applyAlignment="1" applyFont="1">
      <alignment horizontal="center" readingOrder="0"/>
    </xf>
    <xf borderId="0" fillId="0" fontId="38" numFmtId="0" xfId="0" applyAlignment="1" applyFont="1">
      <alignment horizontal="center" readingOrder="0" shrinkToFit="0" vertical="bottom" wrapText="0"/>
    </xf>
    <xf borderId="0" fillId="0" fontId="91" numFmtId="0" xfId="0" applyAlignment="1" applyFont="1">
      <alignment horizontal="center" vertical="bottom"/>
    </xf>
    <xf borderId="0" fillId="0" fontId="91" numFmtId="0" xfId="0" applyAlignment="1" applyFont="1">
      <alignment vertical="bottom"/>
    </xf>
    <xf borderId="0" fillId="0" fontId="91" numFmtId="0" xfId="0" applyFont="1"/>
    <xf borderId="0" fillId="0" fontId="92" numFmtId="0" xfId="0" applyFont="1"/>
    <xf borderId="0" fillId="0" fontId="91" numFmtId="3" xfId="0" applyAlignment="1" applyFont="1" applyNumberFormat="1">
      <alignment horizontal="right" vertical="bottom"/>
    </xf>
    <xf borderId="0" fillId="0" fontId="91" numFmtId="0" xfId="0" applyAlignment="1" applyFont="1">
      <alignment shrinkToFit="0" vertical="bottom" wrapText="0"/>
    </xf>
    <xf borderId="0" fillId="0" fontId="93" numFmtId="3" xfId="0" applyAlignment="1" applyFont="1" applyNumberFormat="1">
      <alignment horizontal="right" vertical="bottom"/>
    </xf>
    <xf borderId="0" fillId="0" fontId="91" numFmtId="3" xfId="0" applyAlignment="1" applyFont="1" applyNumberFormat="1">
      <alignment vertical="bottom"/>
    </xf>
    <xf borderId="0" fillId="0" fontId="91" numFmtId="164" xfId="0" applyAlignment="1" applyFont="1" applyNumberFormat="1">
      <alignment shrinkToFit="0" vertical="bottom" wrapText="0"/>
    </xf>
    <xf borderId="0" fillId="0" fontId="94" numFmtId="0" xfId="0" applyAlignment="1" applyFont="1">
      <alignment vertical="bottom"/>
    </xf>
    <xf borderId="0" fillId="0" fontId="95" numFmtId="0" xfId="0" applyAlignment="1" applyFont="1">
      <alignment horizontal="center" vertical="bottom"/>
    </xf>
    <xf borderId="0" fillId="0" fontId="95" numFmtId="0" xfId="0" applyAlignment="1" applyFont="1">
      <alignment vertical="bottom"/>
    </xf>
    <xf borderId="0" fillId="0" fontId="95" numFmtId="3" xfId="0" applyFont="1" applyNumberFormat="1"/>
  </cellXfs>
  <cellStyles count="1">
    <cellStyle xfId="0" name="Normal" builtinId="0"/>
  </cellStyles>
  <dxfs count="1">
    <dxf>
      <font>
        <color theme="0"/>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A86E8"/>
                </a:solidFill>
                <a:latin typeface="+mn-lt"/>
              </a:defRPr>
            </a:pPr>
            <a:r>
              <a:rPr b="1">
                <a:solidFill>
                  <a:srgbClr val="4A86E8"/>
                </a:solidFill>
                <a:latin typeface="+mn-lt"/>
              </a:rPr>
              <a:t>RESERVES ( Projected Cash Balances on December 31st of Each Year)</a:t>
            </a:r>
          </a:p>
        </c:rich>
      </c:tx>
      <c:layout>
        <c:manualLayout>
          <c:xMode val="edge"/>
          <c:yMode val="edge"/>
          <c:x val="0.025877628162103056"/>
          <c:y val="0.03476469687329246"/>
        </c:manualLayout>
      </c:layout>
      <c:overlay val="0"/>
    </c:title>
    <c:plotArea>
      <c:layout>
        <c:manualLayout>
          <c:xMode val="edge"/>
          <c:yMode val="edge"/>
          <c:x val="0.11276147441104796"/>
          <c:y val="0.12241735537190082"/>
          <c:w val="0.8450370633631193"/>
          <c:h val="0.8481404958677686"/>
        </c:manualLayout>
      </c:layout>
      <c:barChart>
        <c:barDir val="col"/>
        <c:ser>
          <c:idx val="0"/>
          <c:order val="0"/>
          <c:spPr>
            <a:solidFill>
              <a:schemeClr val="accent1"/>
            </a:solidFill>
            <a:ln cmpd="sng">
              <a:solidFill>
                <a:srgbClr val="000000"/>
              </a:solidFill>
            </a:ln>
          </c:spPr>
          <c:dPt>
            <c:idx val="0"/>
            <c:spPr>
              <a:solidFill>
                <a:srgbClr val="5B9BD5"/>
              </a:solidFill>
              <a:ln cmpd="sng">
                <a:solidFill>
                  <a:srgbClr val="000000"/>
                </a:solidFill>
              </a:ln>
            </c:spPr>
          </c:dPt>
          <c:cat>
            <c:strRef>
              <c:f>Reserves!$B$1:$AG$1</c:f>
            </c:strRef>
          </c:cat>
          <c:val>
            <c:numRef>
              <c:f>Reserves!$B$2:$AG$2</c:f>
              <c:numCache/>
            </c:numRef>
          </c:val>
        </c:ser>
        <c:ser>
          <c:idx val="1"/>
          <c:order val="1"/>
          <c:cat>
            <c:strRef>
              <c:f>Reserves!$B$1:$AG$1</c:f>
            </c:strRef>
          </c:cat>
          <c:val>
            <c:numRef>
              <c:f>Reserves!$B$4:$AG$4</c:f>
              <c:numCache/>
            </c:numRef>
          </c:val>
        </c:ser>
        <c:axId val="264701235"/>
        <c:axId val="646547695"/>
      </c:barChart>
      <c:catAx>
        <c:axId val="2647012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6547695"/>
      </c:catAx>
      <c:valAx>
        <c:axId val="646547695"/>
        <c:scaling>
          <c:orientation val="minMax"/>
          <c:max val="200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cross"/>
        <c:minorTickMark val="none"/>
        <c:tickLblPos val="nextTo"/>
        <c:spPr>
          <a:ln/>
        </c:spPr>
        <c:txPr>
          <a:bodyPr/>
          <a:lstStyle/>
          <a:p>
            <a:pPr lvl="0">
              <a:defRPr b="0" sz="1600">
                <a:solidFill>
                  <a:srgbClr val="000000"/>
                </a:solidFill>
                <a:latin typeface="+mn-lt"/>
              </a:defRPr>
            </a:pPr>
          </a:p>
        </c:txPr>
        <c:crossAx val="26470123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12</xdr:row>
      <xdr:rowOff>133350</xdr:rowOff>
    </xdr:from>
    <xdr:ext cx="11601450" cy="5934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30</xdr:row>
      <xdr:rowOff>0</xdr:rowOff>
    </xdr:from>
    <xdr:ext cx="7305675" cy="5562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ljYrMYq7eMOjE7oW4GFQFoXFx4TsDwipctsXP-5lR68/edit?usp=sharin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homebuddy.com/costs/roofing/cost-of-metal-roof-vs-shingles?Source=Sad&amp;mb=2681&amp;utm_source=Sad&amp;utm_campaign=23252167347_188513140253&amp;utm_term=new%20roof%20cost%202026_e&amp;utm_medium=2681&amp;utm_content=783797253811-g&amp;offer_id=2904&amp;ad_id=Cj0KCQjwlLDQBhDjARIsAPlIefFmQr-q-M9xcyHobo6IJPSK381XCNe0G4kCBi7duZYDP2utt1PT3AUaAqqwEALw_wcB&amp;gad_source=1&amp;gad_campaignid=23252167347&amp;gbraid=0AAAAADdiad_XrdcidX2bkpt0i9wlbfn6d&amp;gclid=Cj0KCQjwlLDQBhDjARIsAPlIefFmQr-q-M9xcyHobo6IJPSK381XCNe0G4kCBi7duZYDP2utt1PT3AUaAqqwEALw_wcB" TargetMode="External"/><Relationship Id="rId3" Type="http://schemas.openxmlformats.org/officeDocument/2006/relationships/hyperlink" Target="https://www.homewyse.com/services/cost_to_install_seam_metal_roof.html" TargetMode="External"/><Relationship Id="rId4" Type="http://schemas.openxmlformats.org/officeDocument/2006/relationships/hyperlink" Target="https://foxhavenroof.com/metal-roof-vs-shingles-cost-complete-2026-price-comparison/" TargetMode="External"/><Relationship Id="rId5" Type="http://schemas.openxmlformats.org/officeDocument/2006/relationships/hyperlink" Target="https://www.google.com/search?q=cost+comparison+of+metal+roofs+versus+shingles&amp;sca_esv=c4a9854c715d4f5d&amp;sxsrf=ANbL-n4KH-FVvsuTYnT2-GJdlg3TJLijfQ%3A1779229093585&amp;ei=peEMaufAI53LkPIPreHwwQk&amp;ved=0ahUKEwinp-PwsMaUAxWdJUQIHa0wPJgQ4dUDCBI&amp;uact=5&amp;oq=cost+comparison+of+metal+roofs+versus+shingles&amp;gs_lp=Egxnd3Mtd2l6LXNlcnAiLmNvc3QgY29tcGFyaXNvbiBvZiBtZXRhbCByb29mcyB2ZXJzdXMgc2hpbmdsZXMyCBAAGIAEGKIEMgUQABjvBUjGKlD2CFjvI3ABeACQAQCYAeYBoAGlDKoBBjEuMTAuMbgBA8gBAPgBAZgCDKACpQzCAgoQABhHGNYEGLADwgIGEAAYHhgNwgILEAAYgAQYigUYhgPCAggQABiJBRiiBMICChAhGAoYoAEYwwSYAwCIBgGQBgiSBwQxLjExoAfONrIHBDAuMTG4B-4LwgcJMi03LjQuMC4xyAeMAYAIAQ&amp;sclient=gws-wiz-serp"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fred.stlouisfed.org/series/PCU236223236223" TargetMode="External"/><Relationship Id="rId3" Type="http://schemas.openxmlformats.org/officeDocument/2006/relationships/hyperlink" Target="https://ladailypost.com/gibson-inflation-squeezes-utilities-too/" TargetMode="External"/><Relationship Id="rId4" Type="http://schemas.openxmlformats.org/officeDocument/2006/relationships/hyperlink" Target="https://fred.stlouisfed.org/series/PCU2381MR2381MR" TargetMode="External"/><Relationship Id="rId5" Type="http://schemas.openxmlformats.org/officeDocument/2006/relationships/hyperlink" Target="https://www.usinflationcalculator.com/inflation/current-inflation-rates/" TargetMode="External"/><Relationship Id="rId6" Type="http://schemas.openxmlformats.org/officeDocument/2006/relationships/hyperlink" Target="https://www.bls.gov/data/inflation_calculator.htm" TargetMode="External"/><Relationship Id="rId7" Type="http://schemas.openxmlformats.org/officeDocument/2006/relationships/drawing" Target="../drawings/drawing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angi.com/articles/how-much-should-it-cost-replace-flashing-around-chimney.htm" TargetMode="External"/><Relationship Id="rId42" Type="http://schemas.openxmlformats.org/officeDocument/2006/relationships/hyperlink" Target="https://www.homewyse.com/services/cost_to_install_asphalt_shingle_roof.html" TargetMode="External"/><Relationship Id="rId41" Type="http://schemas.openxmlformats.org/officeDocument/2006/relationships/hyperlink" Target="https://www.iko.com/blog/what-is-roof-flashing-how-to-install-it/" TargetMode="External"/><Relationship Id="rId44" Type="http://schemas.openxmlformats.org/officeDocument/2006/relationships/hyperlink" Target="https://smartasset.com/investing/inflation-calculator" TargetMode="External"/><Relationship Id="rId43" Type="http://schemas.openxmlformats.org/officeDocument/2006/relationships/hyperlink" Target="https://www.inchcalculator.com/roof-replacement-cost/" TargetMode="External"/><Relationship Id="rId46" Type="http://schemas.openxmlformats.org/officeDocument/2006/relationships/hyperlink" Target="https://www.taylormaderoofingllc.com/life-expectancy-of-fiberglass-shingles/" TargetMode="External"/><Relationship Id="rId45" Type="http://schemas.openxmlformats.org/officeDocument/2006/relationships/hyperlink" Target="https://www.calculator.net/future-value-calculator.html?cyearsv=15&amp;cstartingprinciplev=237%2C000&amp;cinterestratev=3&amp;ccontributeamountv=60%2C000&amp;ciadditionat1=end&amp;printit=0&amp;x=Calculate" TargetMode="External"/><Relationship Id="rId1" Type="http://schemas.openxmlformats.org/officeDocument/2006/relationships/comments" Target="../comments5.xml"/><Relationship Id="rId2" Type="http://schemas.openxmlformats.org/officeDocument/2006/relationships/hyperlink" Target="https://edzarenski.com/category/inflation-indexing/" TargetMode="External"/><Relationship Id="rId3" Type="http://schemas.openxmlformats.org/officeDocument/2006/relationships/hyperlink" Target="https://smartasset.com/investing/inflation-calculator" TargetMode="External"/><Relationship Id="rId4" Type="http://schemas.openxmlformats.org/officeDocument/2006/relationships/hyperlink" Target="https://www.homewyse.com/services/cost_to_apply_slurry_seal.html" TargetMode="External"/><Relationship Id="rId9" Type="http://schemas.openxmlformats.org/officeDocument/2006/relationships/hyperlink" Target="https://www.homewyse.com/services/cost_to_install_asphaltic_concrete_driveway.html" TargetMode="External"/><Relationship Id="rId48" Type="http://schemas.openxmlformats.org/officeDocument/2006/relationships/hyperlink" Target="https://roofingcalculator.com/" TargetMode="External"/><Relationship Id="rId47" Type="http://schemas.openxmlformats.org/officeDocument/2006/relationships/hyperlink" Target="https://www.homewyse.com/services/cost_to_install_seam_metal_roof.html" TargetMode="External"/><Relationship Id="rId49" Type="http://schemas.openxmlformats.org/officeDocument/2006/relationships/hyperlink" Target="https://aaaconcreteraising.com/how-often-should-you-replace-your-sidewalk/" TargetMode="External"/><Relationship Id="rId5" Type="http://schemas.openxmlformats.org/officeDocument/2006/relationships/hyperlink" Target="https://www.bobvila.com/articles/best-asphalt-driveway-crack-filler/" TargetMode="External"/><Relationship Id="rId6" Type="http://schemas.openxmlformats.org/officeDocument/2006/relationships/hyperlink" Target="https://texpaveexperts.com/blog/how-much-does-an-asphalt-overlay-cost/" TargetMode="External"/><Relationship Id="rId7" Type="http://schemas.openxmlformats.org/officeDocument/2006/relationships/hyperlink" Target="https://www.michiganpaving.com/blog/asphalt-milling-and-overlay-cost/" TargetMode="External"/><Relationship Id="rId8" Type="http://schemas.openxmlformats.org/officeDocument/2006/relationships/hyperlink" Target="https://texpaveexperts.com/blog/how-much-does-an-asphalt-overlay-cost/" TargetMode="External"/><Relationship Id="rId31" Type="http://schemas.openxmlformats.org/officeDocument/2006/relationships/hyperlink" Target="https://home.howstuffworks.com/home-improvement/home-diy/painting/estimating-exterior-paint.htm" TargetMode="External"/><Relationship Id="rId30" Type="http://schemas.openxmlformats.org/officeDocument/2006/relationships/hyperlink" Target="https://www.behr.com/consumer/how-to/exterior/how-much-exterior-paint-to-buy" TargetMode="External"/><Relationship Id="rId33" Type="http://schemas.openxmlformats.org/officeDocument/2006/relationships/hyperlink" Target="https://www.homeadvisor.com/cost/outdoor-living/parking-lot-striping/" TargetMode="External"/><Relationship Id="rId32" Type="http://schemas.openxmlformats.org/officeDocument/2006/relationships/hyperlink" Target="https://alphapavingtexas.com/how-long-does-parking-lot-paint-take-to-dry/" TargetMode="External"/><Relationship Id="rId35" Type="http://schemas.openxmlformats.org/officeDocument/2006/relationships/hyperlink" Target="https://eaquinn.com/causes-retaining-wall-collapse/" TargetMode="External"/><Relationship Id="rId34" Type="http://schemas.openxmlformats.org/officeDocument/2006/relationships/hyperlink" Target="https://www.homewyse.com/services/cost_to_replaster_pool.html" TargetMode="External"/><Relationship Id="rId37" Type="http://schemas.openxmlformats.org/officeDocument/2006/relationships/hyperlink" Target="https://homeguide.com/costs/retaining-wall-cost" TargetMode="External"/><Relationship Id="rId36" Type="http://schemas.openxmlformats.org/officeDocument/2006/relationships/hyperlink" Target="https://homeguide.com/costs/retaining-wall-cost" TargetMode="External"/><Relationship Id="rId39" Type="http://schemas.openxmlformats.org/officeDocument/2006/relationships/hyperlink" Target="https://www.angi.com/articles/roof-flashing-types.htm" TargetMode="External"/><Relationship Id="rId38" Type="http://schemas.openxmlformats.org/officeDocument/2006/relationships/hyperlink" Target="https://litespeedconstruction.com/how-much-does-it-cost-to-replace-wall-flashings/" TargetMode="External"/><Relationship Id="rId62" Type="http://schemas.openxmlformats.org/officeDocument/2006/relationships/hyperlink" Target="https://www.lapeyrestair.com/blog/concrete-filled-metal-pan-stair-treads/?srsltid=AfmBOopSDMZ6p0DUb_L8CMqtQtduL17MnaNp_bx2_wZnRJMBI7PjY2Dp" TargetMode="External"/><Relationship Id="rId61" Type="http://schemas.openxmlformats.org/officeDocument/2006/relationships/hyperlink" Target="https://www.homewyse.com/services/cost_to_frame_window_opening.html" TargetMode="External"/><Relationship Id="rId20" Type="http://schemas.openxmlformats.org/officeDocument/2006/relationships/hyperlink" Target="https://www.homewyse.com/services/cost_to_install_membrane_roofing_system.html" TargetMode="External"/><Relationship Id="rId64" Type="http://schemas.openxmlformats.org/officeDocument/2006/relationships/hyperlink" Target="https://www.acisupply.com/proddetail.php?prod=AV12395TB" TargetMode="External"/><Relationship Id="rId63" Type="http://schemas.openxmlformats.org/officeDocument/2006/relationships/hyperlink" Target="https://commercialconcreteproducts.com/stair-tread/" TargetMode="External"/><Relationship Id="rId22" Type="http://schemas.openxmlformats.org/officeDocument/2006/relationships/hyperlink" Target="https://www.homewyse.com/services/cost_to_install_rain_gutter_cover.html" TargetMode="External"/><Relationship Id="rId66" Type="http://schemas.openxmlformats.org/officeDocument/2006/relationships/hyperlink" Target="https://www.sheetgo.com/blog/google-sheets-formulas/offset-formula-google-sheets/" TargetMode="External"/><Relationship Id="rId21" Type="http://schemas.openxmlformats.org/officeDocument/2006/relationships/hyperlink" Target="https://www.thisoldhouse.com/gutters/22454418/gutter-guard-installation-cost" TargetMode="External"/><Relationship Id="rId65" Type="http://schemas.openxmlformats.org/officeDocument/2006/relationships/hyperlink" Target="https://www.angi.com/articles/how-much-does-it-cost-install-concrete-steps.htm" TargetMode="External"/><Relationship Id="rId24" Type="http://schemas.openxmlformats.org/officeDocument/2006/relationships/hyperlink" Target="https://www.barrybest.com/blog/seamless-gutters/when-will-you-need-to-replace-your-gutters/" TargetMode="External"/><Relationship Id="rId68" Type="http://schemas.openxmlformats.org/officeDocument/2006/relationships/vmlDrawing" Target="../drawings/vmlDrawing5.vml"/><Relationship Id="rId23" Type="http://schemas.openxmlformats.org/officeDocument/2006/relationships/hyperlink" Target="https://www.costimates.com/calculators/seamless-gutter-cost-calculator/" TargetMode="External"/><Relationship Id="rId67" Type="http://schemas.openxmlformats.org/officeDocument/2006/relationships/drawing" Target="../drawings/drawing6.xml"/><Relationship Id="rId60" Type="http://schemas.openxmlformats.org/officeDocument/2006/relationships/hyperlink" Target="https://www.homewyse.com/services/cost_to_install_replacement_windows.html" TargetMode="External"/><Relationship Id="rId26" Type="http://schemas.openxmlformats.org/officeDocument/2006/relationships/hyperlink" Target="https://www.homewyse.com/services/cost_to_paint_house_exterior.html" TargetMode="External"/><Relationship Id="rId25" Type="http://schemas.openxmlformats.org/officeDocument/2006/relationships/hyperlink" Target="https://www.homewyse.com/services/cost_to_install_metal_gutters.html" TargetMode="External"/><Relationship Id="rId28" Type="http://schemas.openxmlformats.org/officeDocument/2006/relationships/hyperlink" Target="https://www.homewyse.com/services/cost_to_paint_two_story_house.html" TargetMode="External"/><Relationship Id="rId27" Type="http://schemas.openxmlformats.org/officeDocument/2006/relationships/hyperlink" Target="https://www.paintzen.com/blog/how-long-should-an-exterior-paint-job-last" TargetMode="External"/><Relationship Id="rId29" Type="http://schemas.openxmlformats.org/officeDocument/2006/relationships/hyperlink" Target="https://www.westernwalls.com/house-painting-cost-calculator/" TargetMode="External"/><Relationship Id="rId51" Type="http://schemas.openxmlformats.org/officeDocument/2006/relationships/hyperlink" Target="https://www.paintzen.com/blog/how-long-should-an-exterior-paint-job-last" TargetMode="External"/><Relationship Id="rId50" Type="http://schemas.openxmlformats.org/officeDocument/2006/relationships/hyperlink" Target="https://www.remodelingexpense.com/costs/cost-of-concrete-sidewalk/" TargetMode="External"/><Relationship Id="rId53" Type="http://schemas.openxmlformats.org/officeDocument/2006/relationships/hyperlink" Target="https://www.homeserve.com/en-us/blog/cost-guide/xeriscape/" TargetMode="External"/><Relationship Id="rId52" Type="http://schemas.openxmlformats.org/officeDocument/2006/relationships/hyperlink" Target="https://www.homewyse.com/services/cost_to_paint_house_exterior.html" TargetMode="External"/><Relationship Id="rId11" Type="http://schemas.openxmlformats.org/officeDocument/2006/relationships/hyperlink" Target="https://www.homewyse.com/services/cost_to_paint_house_exterior.html" TargetMode="External"/><Relationship Id="rId55" Type="http://schemas.openxmlformats.org/officeDocument/2006/relationships/hyperlink" Target="https://www.salisburyut.com/the-importance-of-regular-maintenance-for-your-water-main/" TargetMode="External"/><Relationship Id="rId10" Type="http://schemas.openxmlformats.org/officeDocument/2006/relationships/hyperlink" Target="https://www.homewyse.com/services/cost_to_paint_house_exterior.html" TargetMode="External"/><Relationship Id="rId54" Type="http://schemas.openxmlformats.org/officeDocument/2006/relationships/hyperlink" Target="https://mainstreamhomeservices.com/faq/how-much-will-a-plumbing-inspection-cost/" TargetMode="External"/><Relationship Id="rId13" Type="http://schemas.openxmlformats.org/officeDocument/2006/relationships/hyperlink" Target="https://www.homewyse.com/services/cost_to_install_shingle_roof.html" TargetMode="External"/><Relationship Id="rId57" Type="http://schemas.openxmlformats.org/officeDocument/2006/relationships/hyperlink" Target="https://plumbers.promatcher.com/cost/los-alamos-nm-plumbers-costs-prices.aspx" TargetMode="External"/><Relationship Id="rId12" Type="http://schemas.openxmlformats.org/officeDocument/2006/relationships/hyperlink" Target="https://www.angi.com/articles/how-much-should-it-cost-replace-flashing-around-chimney.htm" TargetMode="External"/><Relationship Id="rId56" Type="http://schemas.openxmlformats.org/officeDocument/2006/relationships/hyperlink" Target="https://www.balkanplumbing.com/sewer-scope-inspection-cost/" TargetMode="External"/><Relationship Id="rId15" Type="http://schemas.openxmlformats.org/officeDocument/2006/relationships/hyperlink" Target="https://www.homewyse.com/maintenance_costs/cost_to_repair_board_siding.html" TargetMode="External"/><Relationship Id="rId59" Type="http://schemas.openxmlformats.org/officeDocument/2006/relationships/hyperlink" Target="https://gerriormasonry.com/chimney-chase-cover-replacement-cost/" TargetMode="External"/><Relationship Id="rId14" Type="http://schemas.openxmlformats.org/officeDocument/2006/relationships/hyperlink" Target="https://www.angi.com/articles/what-is-chimney-flashing.htm" TargetMode="External"/><Relationship Id="rId58" Type="http://schemas.openxmlformats.org/officeDocument/2006/relationships/hyperlink" Target="https://www.rockfordchimneysupply.com/products/stainless-steel-chase-covers?_pos=2&amp;_sid=3bdf65c28&amp;_ss=r" TargetMode="External"/><Relationship Id="rId17" Type="http://schemas.openxmlformats.org/officeDocument/2006/relationships/hyperlink" Target="https://www.roofcalc.org/flat-roof-calculator/" TargetMode="External"/><Relationship Id="rId16" Type="http://schemas.openxmlformats.org/officeDocument/2006/relationships/hyperlink" Target="https://homeguide.com/costs/chimney-repair-cost" TargetMode="External"/><Relationship Id="rId19" Type="http://schemas.openxmlformats.org/officeDocument/2006/relationships/hyperlink" Target="https://www.roofcalc.org/pvc-roofing/" TargetMode="External"/><Relationship Id="rId18" Type="http://schemas.openxmlformats.org/officeDocument/2006/relationships/hyperlink" Target="https://roofslope.com/average-flat-roof-membrane-life-span/"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sciencedirect.com/science/article/pii/S2212420923002686" TargetMode="External"/><Relationship Id="rId2" Type="http://schemas.openxmlformats.org/officeDocument/2006/relationships/hyperlink" Target="https://sealmaster.net/faq/much-cost-fix-pothole/" TargetMode="External"/><Relationship Id="rId3" Type="http://schemas.openxmlformats.org/officeDocument/2006/relationships/hyperlink" Target="https://www.angi.com/articles/how-much-should-it-cost-replace-flashing-around-chimney.htm" TargetMode="External"/><Relationship Id="rId4" Type="http://schemas.openxmlformats.org/officeDocument/2006/relationships/hyperlink" Target="https://www.fixr.com/costs/flat-roof-repair" TargetMode="External"/><Relationship Id="rId5" Type="http://schemas.openxmlformats.org/officeDocument/2006/relationships/hyperlink" Target="https://www.homewyse.com/maintenance_costs/cost_to_repair_electric_panel.html" TargetMode="External"/><Relationship Id="rId6"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0.1" defaultRowHeight="15.0"/>
  <cols>
    <col customWidth="1" min="1" max="1" width="25.5"/>
  </cols>
  <sheetData>
    <row r="1">
      <c r="A1" s="1" t="s">
        <v>0</v>
      </c>
      <c r="B1" s="1">
        <v>2025.0</v>
      </c>
      <c r="C1" s="1">
        <v>2026.0</v>
      </c>
      <c r="D1" s="1">
        <v>2027.0</v>
      </c>
      <c r="E1" s="1">
        <v>2028.0</v>
      </c>
      <c r="F1" s="1">
        <v>2029.0</v>
      </c>
      <c r="G1" s="2" t="s">
        <v>1</v>
      </c>
      <c r="H1" s="2" t="s">
        <v>2</v>
      </c>
      <c r="I1" s="2" t="s">
        <v>3</v>
      </c>
      <c r="J1" s="2" t="s">
        <v>4</v>
      </c>
      <c r="K1" s="2" t="s">
        <v>5</v>
      </c>
      <c r="L1" s="2" t="s">
        <v>6</v>
      </c>
      <c r="M1" s="2" t="s">
        <v>7</v>
      </c>
      <c r="N1" s="2" t="s">
        <v>8</v>
      </c>
      <c r="O1" s="2" t="s">
        <v>9</v>
      </c>
      <c r="P1" s="2" t="s">
        <v>10</v>
      </c>
      <c r="Q1" s="2" t="s">
        <v>11</v>
      </c>
      <c r="R1" s="2" t="s">
        <v>12</v>
      </c>
      <c r="S1" s="2" t="s">
        <v>13</v>
      </c>
      <c r="T1" s="2" t="s">
        <v>14</v>
      </c>
      <c r="U1" s="2" t="s">
        <v>15</v>
      </c>
      <c r="V1" s="2" t="s">
        <v>16</v>
      </c>
      <c r="W1" s="2" t="s">
        <v>17</v>
      </c>
      <c r="X1" s="2" t="s">
        <v>18</v>
      </c>
      <c r="Y1" s="2" t="s">
        <v>19</v>
      </c>
      <c r="Z1" s="2" t="s">
        <v>20</v>
      </c>
      <c r="AA1" s="2" t="s">
        <v>21</v>
      </c>
      <c r="AB1" s="2" t="s">
        <v>22</v>
      </c>
      <c r="AC1" s="2" t="s">
        <v>23</v>
      </c>
      <c r="AD1" s="2" t="s">
        <v>24</v>
      </c>
      <c r="AE1" s="2" t="s">
        <v>25</v>
      </c>
      <c r="AF1" s="3" t="s">
        <v>26</v>
      </c>
      <c r="AG1" s="3" t="s">
        <v>27</v>
      </c>
    </row>
    <row r="2">
      <c r="A2" s="4" t="s">
        <v>28</v>
      </c>
      <c r="B2" s="5">
        <f>'30 Year'!M47</f>
        <v>528488.7395</v>
      </c>
      <c r="C2" s="5">
        <f>'30 Year'!AC47</f>
        <v>268775.7167</v>
      </c>
      <c r="D2" s="5">
        <f>'30 Year'!AS47</f>
        <v>228405.764</v>
      </c>
      <c r="E2" s="5">
        <f>'30 Year'!BG47</f>
        <v>350309.58</v>
      </c>
      <c r="F2" s="5">
        <f>'30 Year'!BU47</f>
        <v>527869.512</v>
      </c>
      <c r="G2" s="5">
        <f>'30 Year'!BX47</f>
        <v>686202.6263</v>
      </c>
      <c r="H2" s="5">
        <f>'30 Year'!BY47</f>
        <v>951900.2504</v>
      </c>
      <c r="I2" s="5">
        <f>'30 Year'!BZ47</f>
        <v>1077903.777</v>
      </c>
      <c r="J2" s="5">
        <f>'30 Year'!CA47</f>
        <v>1309219.908</v>
      </c>
      <c r="K2" s="5">
        <f>'30 Year'!CB47</f>
        <v>1522556.006</v>
      </c>
      <c r="L2" s="5">
        <f>'30 Year'!CC47</f>
        <v>1163888.586</v>
      </c>
      <c r="M2" s="5">
        <f>'30 Year'!CD47</f>
        <v>927245.8261</v>
      </c>
      <c r="N2" s="5">
        <f>'30 Year'!CE47</f>
        <v>762843.2171</v>
      </c>
      <c r="O2" s="5">
        <f>'30 Year'!CF47</f>
        <v>1022809.821</v>
      </c>
      <c r="P2" s="5">
        <f>'30 Year'!CG47</f>
        <v>1069807.778</v>
      </c>
      <c r="Q2" s="5">
        <f>'30 Year'!CH47</f>
        <v>1253985.58</v>
      </c>
      <c r="R2" s="5">
        <f>'30 Year'!CI47</f>
        <v>1061499.091</v>
      </c>
      <c r="S2" s="5">
        <f>'30 Year'!CJ47</f>
        <v>998876.1338</v>
      </c>
      <c r="T2" s="5">
        <f>'30 Year'!CK47</f>
        <v>923438.915</v>
      </c>
      <c r="U2" s="5">
        <f>'30 Year'!CL47</f>
        <v>1172283.556</v>
      </c>
      <c r="V2" s="5">
        <f>'30 Year'!CM47</f>
        <v>1202002.304</v>
      </c>
      <c r="W2" s="5">
        <f>'30 Year'!CN47</f>
        <v>1356622.156</v>
      </c>
      <c r="X2" s="5">
        <f>'30 Year'!CO47</f>
        <v>1483106.81</v>
      </c>
      <c r="Y2" s="5">
        <f>'30 Year'!CP47</f>
        <v>1627168.028</v>
      </c>
      <c r="Z2" s="5">
        <f>'30 Year'!CQ47</f>
        <v>1775619.376</v>
      </c>
      <c r="AA2" s="5">
        <f>'30 Year'!CR47</f>
        <v>1624556.216</v>
      </c>
      <c r="AB2" s="5">
        <f>'30 Year'!CS47</f>
        <v>1259182.933</v>
      </c>
      <c r="AC2" s="5">
        <f>'30 Year'!CT47</f>
        <v>1033401.88</v>
      </c>
      <c r="AD2" s="5">
        <f>'30 Year'!CU47</f>
        <v>1275812.249</v>
      </c>
      <c r="AE2" s="5">
        <f>'30 Year'!CV47</f>
        <v>1485400.49</v>
      </c>
      <c r="AF2" s="5">
        <f>'30 Year'!CW47</f>
        <v>1661161.033</v>
      </c>
      <c r="AG2" s="5">
        <f>'30 Year'!CX47</f>
        <v>1884857.228</v>
      </c>
    </row>
    <row r="3">
      <c r="A3" s="6" t="s">
        <v>29</v>
      </c>
      <c r="C3" s="7">
        <v>450000.0</v>
      </c>
      <c r="D3" s="8">
        <f>C3*(1+Inflation!$J$13)</f>
        <v>465444.829</v>
      </c>
      <c r="E3" s="8">
        <f>D3*(1+Inflation!$J$13)</f>
        <v>481419.753</v>
      </c>
      <c r="F3" s="8">
        <f>E3*(1+Inflation!$J$13)</f>
        <v>497942.9657</v>
      </c>
      <c r="G3" s="9">
        <f>F3*(1+Inflation!$J$13)</f>
        <v>515033.2856</v>
      </c>
      <c r="H3" s="9">
        <f>G3*(1+Inflation!$J$13)</f>
        <v>532710.1768</v>
      </c>
      <c r="I3" s="9">
        <f>H3*(1+Inflation!$J$13)</f>
        <v>550993.7714</v>
      </c>
      <c r="J3" s="9">
        <f>I3*(1+Inflation!$J$13)</f>
        <v>569904.8927</v>
      </c>
      <c r="K3" s="9">
        <f>J3*(1+Inflation!$J$13)</f>
        <v>589465.0785</v>
      </c>
      <c r="L3" s="9">
        <f>K3*(1+Inflation!$J$13)</f>
        <v>609696.6059</v>
      </c>
      <c r="M3" s="9">
        <f>L3*(1+Inflation!$J$13)</f>
        <v>630622.5166</v>
      </c>
      <c r="N3" s="9">
        <f>M3*(1+Inflation!$J$13)</f>
        <v>652266.6431</v>
      </c>
      <c r="O3" s="9">
        <f>N3*(1+Inflation!$J$13)</f>
        <v>674653.6358</v>
      </c>
      <c r="P3" s="9">
        <f>O3*(1+Inflation!$J$13)</f>
        <v>697808.9915</v>
      </c>
      <c r="Q3" s="9">
        <f>P3*(1+Inflation!$J$13)</f>
        <v>721759.0816</v>
      </c>
      <c r="R3" s="9">
        <f>Q3*(1+Inflation!$J$13)</f>
        <v>746531.1829</v>
      </c>
      <c r="S3" s="9">
        <f>R3*(1+Inflation!$J$13)</f>
        <v>772153.5083</v>
      </c>
      <c r="T3" s="9">
        <f>S3*(1+Inflation!$J$13)</f>
        <v>798655.2392</v>
      </c>
      <c r="U3" s="9">
        <f>T3*(1+Inflation!$J$13)</f>
        <v>826066.5582</v>
      </c>
      <c r="V3" s="9">
        <f>U3*(1+Inflation!$J$13)</f>
        <v>854418.6843</v>
      </c>
      <c r="W3" s="9">
        <f>V3*(1+Inflation!$J$13)</f>
        <v>883743.9075</v>
      </c>
      <c r="X3" s="9">
        <f>W3*(1+Inflation!$J$13)</f>
        <v>914075.6265</v>
      </c>
      <c r="Y3" s="9">
        <f>X3*(1+Inflation!$J$13)</f>
        <v>945448.3859</v>
      </c>
      <c r="Z3" s="9">
        <f>Y3*(1+Inflation!$J$13)</f>
        <v>977897.9162</v>
      </c>
      <c r="AA3" s="9">
        <f>Z3*(1+Inflation!$J$13)</f>
        <v>1011461.174</v>
      </c>
      <c r="AB3" s="9">
        <f>AA3*(1+Inflation!$J$13)</f>
        <v>1046176.385</v>
      </c>
      <c r="AC3" s="9">
        <f>AB3*(1+Inflation!$J$13)</f>
        <v>1082083.086</v>
      </c>
      <c r="AD3" s="9">
        <f>AC3*(1+Inflation!$J$13)</f>
        <v>1119222.171</v>
      </c>
      <c r="AE3" s="9">
        <f>AD3*(1+Inflation!$J$13)</f>
        <v>1157635.937</v>
      </c>
      <c r="AF3" s="9">
        <f>AE3*(1+Inflation!$J$13)</f>
        <v>1197368.135</v>
      </c>
      <c r="AG3" s="9">
        <f>AF3*(1+Inflation!$J$13)</f>
        <v>1238464.016</v>
      </c>
    </row>
    <row r="4">
      <c r="A4" s="10" t="s">
        <v>30</v>
      </c>
      <c r="B4" s="5">
        <f>sum('30 Year'!B48:B49)</f>
        <v>800</v>
      </c>
      <c r="C4" s="5">
        <f>SUM('30 Year'!R48:R49)</f>
        <v>425</v>
      </c>
      <c r="D4" s="5">
        <f>SUM('30 Year'!AH48:AH49)</f>
        <v>425</v>
      </c>
      <c r="E4" s="5">
        <f>SUM('30 Year'!AV48:AV49)</f>
        <v>475</v>
      </c>
      <c r="F4" s="5">
        <f>SUM('30 Year'!BJ48:BJ49)</f>
        <v>425</v>
      </c>
      <c r="G4" s="5">
        <f>SUM('30 Year'!BX48:BX49)</f>
        <v>425</v>
      </c>
      <c r="H4" s="5">
        <f>SUM('30 Year'!BY48:BY49)</f>
        <v>500</v>
      </c>
      <c r="I4" s="5">
        <f>SUM('30 Year'!BZ48:BZ49)</f>
        <v>500</v>
      </c>
      <c r="J4" s="5">
        <f>SUM('30 Year'!CA48:CA49)</f>
        <v>500</v>
      </c>
      <c r="K4" s="5">
        <f>SUM('30 Year'!CB48:CB49)</f>
        <v>500</v>
      </c>
      <c r="L4" s="5">
        <f>SUM('30 Year'!CC48:CC49)</f>
        <v>500</v>
      </c>
      <c r="M4" s="5">
        <f>SUM('30 Year'!CD48:CD49)</f>
        <v>575</v>
      </c>
      <c r="N4" s="5">
        <f>SUM('30 Year'!CE48:CE49)</f>
        <v>575</v>
      </c>
      <c r="O4" s="5">
        <f>SUM('30 Year'!CF48:CF49)</f>
        <v>575</v>
      </c>
      <c r="P4" s="5">
        <f>SUM('30 Year'!CG48:CG49)</f>
        <v>575</v>
      </c>
      <c r="Q4" s="5">
        <f>SUM('30 Year'!CH48:CH49)</f>
        <v>675</v>
      </c>
      <c r="R4" s="5">
        <f>SUM('30 Year'!CI48:CI49)</f>
        <v>675</v>
      </c>
      <c r="S4" s="5">
        <f>SUM('30 Year'!CJ48:CJ49)</f>
        <v>675</v>
      </c>
      <c r="T4" s="5">
        <f>SUM('30 Year'!CK48:CK49)</f>
        <v>675</v>
      </c>
      <c r="U4" s="5">
        <f>SUM('30 Year'!CL48:CL49)</f>
        <v>650</v>
      </c>
      <c r="V4" s="5">
        <f>SUM('30 Year'!CM48:CM49)</f>
        <v>650</v>
      </c>
      <c r="W4" s="5">
        <f>SUM('30 Year'!CN48:CN49)</f>
        <v>650</v>
      </c>
      <c r="X4" s="5">
        <f>SUM('30 Year'!CO48:CO49)</f>
        <v>650</v>
      </c>
      <c r="Y4" s="5">
        <f>SUM('30 Year'!CP48:CP49)</f>
        <v>650</v>
      </c>
      <c r="Z4" s="5">
        <f>SUM('30 Year'!CQ48:CQ49)</f>
        <v>700</v>
      </c>
      <c r="AA4" s="5">
        <f>SUM('30 Year'!CR48:CR49)</f>
        <v>700</v>
      </c>
      <c r="AB4" s="5">
        <f>SUM('30 Year'!CS48:CS49)</f>
        <v>700</v>
      </c>
      <c r="AC4" s="5">
        <f>SUM('30 Year'!CT48:CT49)</f>
        <v>800</v>
      </c>
      <c r="AD4" s="5">
        <f>SUM('30 Year'!CU48:CU49)</f>
        <v>800</v>
      </c>
      <c r="AE4" s="5">
        <f>SUM('30 Year'!CV48:CV49)</f>
        <v>800</v>
      </c>
      <c r="AF4" s="5">
        <f>SUM('30 Year'!CW48:CW49)</f>
        <v>800</v>
      </c>
      <c r="AG4" s="5">
        <f>SUM('30 Year'!CX48:CX49)</f>
        <v>850</v>
      </c>
    </row>
    <row r="5">
      <c r="B5" s="11" t="s">
        <v>31</v>
      </c>
    </row>
    <row r="6">
      <c r="A6" s="10" t="s">
        <v>32</v>
      </c>
      <c r="J6" s="12"/>
    </row>
    <row r="7">
      <c r="A7" s="13" t="s">
        <v>33</v>
      </c>
    </row>
    <row r="8">
      <c r="A8" s="10" t="s">
        <v>34</v>
      </c>
    </row>
    <row r="9">
      <c r="A9" s="10" t="s">
        <v>35</v>
      </c>
    </row>
    <row r="11">
      <c r="C11" s="10" t="s">
        <v>36</v>
      </c>
    </row>
    <row r="46">
      <c r="A46" s="10" t="s">
        <v>37</v>
      </c>
      <c r="G46" s="14" t="s">
        <v>38</v>
      </c>
    </row>
    <row r="49">
      <c r="A49" s="10" t="s">
        <v>39</v>
      </c>
      <c r="B49" s="12"/>
    </row>
    <row r="51">
      <c r="A51" s="13" t="s">
        <v>40</v>
      </c>
    </row>
    <row r="52">
      <c r="A52" s="15" t="s">
        <v>41</v>
      </c>
    </row>
    <row r="53">
      <c r="A53" s="15" t="s">
        <v>42</v>
      </c>
    </row>
    <row r="54">
      <c r="A54" s="15" t="s">
        <v>43</v>
      </c>
    </row>
  </sheetData>
  <hyperlinks>
    <hyperlink r:id="rId2" ref="G46"/>
  </hyperlinks>
  <printOptions gridLines="1" horizontalCentered="1"/>
  <pageMargins bottom="0.75" footer="0.0" header="0.0" left="0.7" right="0.7" top="0.75"/>
  <pageSetup fitToHeight="0" cellComments="atEnd" orientation="landscape" pageOrder="overThenDown"/>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9.0" topLeftCell="A10" activePane="bottomLeft" state="frozen"/>
      <selection activeCell="B11" sqref="B11" pane="bottomLeft"/>
    </sheetView>
  </sheetViews>
  <sheetFormatPr customHeight="1" defaultColWidth="10.1" defaultRowHeight="15.0"/>
  <cols>
    <col customWidth="1" hidden="1" min="1" max="1" width="28.0"/>
    <col customWidth="1" hidden="1" min="2" max="7" width="6.7"/>
    <col customWidth="1" hidden="1" min="8" max="10" width="7.0"/>
    <col customWidth="1" hidden="1" min="11" max="11" width="7.5"/>
    <col customWidth="1" hidden="1" min="12" max="12" width="7.4"/>
    <col customWidth="1" min="13" max="13" width="6.7"/>
    <col customWidth="1" min="14" max="14" width="8.6"/>
    <col customWidth="1" min="15" max="15" width="9.0"/>
    <col customWidth="1" min="16" max="16" width="9.1"/>
    <col customWidth="1" min="17" max="17" width="35.1"/>
    <col customWidth="1" min="18" max="29" width="6.7"/>
    <col customWidth="1" min="30" max="30" width="9.0"/>
    <col customWidth="1" min="31" max="31" width="8.5"/>
    <col customWidth="1" min="32" max="32" width="8.1"/>
    <col customWidth="1" min="33" max="33" width="32.9"/>
    <col customWidth="1" min="34" max="45" width="6.7"/>
    <col customWidth="1" min="46" max="46" width="7.8"/>
    <col customWidth="1" min="47" max="47" width="33.0"/>
    <col customWidth="1" min="48" max="55" width="6.7"/>
    <col customWidth="1" min="56" max="59" width="7.6"/>
    <col customWidth="1" min="60" max="60" width="8.0"/>
    <col customWidth="1" min="61" max="61" width="32.6"/>
    <col customWidth="1" min="62" max="73" width="6.7"/>
    <col customWidth="1" min="74" max="74" width="8.3"/>
    <col customWidth="1" min="75" max="75" width="33.7"/>
    <col customWidth="1" min="76" max="100" width="8.1"/>
    <col customWidth="1" min="101" max="101" width="8.2"/>
    <col customWidth="1" min="102" max="102" width="8.7"/>
    <col customWidth="1" min="103" max="120" width="6.7"/>
  </cols>
  <sheetData>
    <row r="1" ht="18.75" customHeight="1">
      <c r="A1" s="16" t="s">
        <v>44</v>
      </c>
      <c r="B1" s="17">
        <v>1.0</v>
      </c>
      <c r="C1" s="17">
        <v>2.0</v>
      </c>
      <c r="D1" s="18">
        <v>3.0</v>
      </c>
      <c r="E1" s="17">
        <v>4.0</v>
      </c>
      <c r="F1" s="17">
        <v>5.0</v>
      </c>
      <c r="G1" s="17">
        <v>6.0</v>
      </c>
      <c r="H1" s="17">
        <v>7.0</v>
      </c>
      <c r="I1" s="17">
        <v>8.0</v>
      </c>
      <c r="J1" s="17">
        <v>9.0</v>
      </c>
      <c r="K1" s="17">
        <v>10.0</v>
      </c>
      <c r="L1" s="17">
        <v>11.0</v>
      </c>
      <c r="M1" s="17">
        <v>12.0</v>
      </c>
      <c r="N1" s="19"/>
      <c r="O1" s="20"/>
      <c r="P1" s="21"/>
      <c r="Q1" s="22" t="s">
        <v>44</v>
      </c>
      <c r="R1" s="23" t="s">
        <v>45</v>
      </c>
      <c r="S1" s="24">
        <v>2.0</v>
      </c>
      <c r="T1" s="24">
        <v>3.0</v>
      </c>
      <c r="U1" s="24">
        <v>4.0</v>
      </c>
      <c r="V1" s="24">
        <v>5.0</v>
      </c>
      <c r="W1" s="24">
        <v>6.0</v>
      </c>
      <c r="X1" s="24">
        <v>7.0</v>
      </c>
      <c r="Y1" s="24">
        <v>8.0</v>
      </c>
      <c r="Z1" s="24">
        <v>9.0</v>
      </c>
      <c r="AA1" s="24">
        <v>10.0</v>
      </c>
      <c r="AB1" s="24">
        <v>11.0</v>
      </c>
      <c r="AC1" s="24">
        <v>12.0</v>
      </c>
      <c r="AD1" s="25"/>
      <c r="AE1" s="26"/>
      <c r="AF1" s="26"/>
      <c r="AG1" s="16" t="s">
        <v>44</v>
      </c>
      <c r="AH1" s="27"/>
      <c r="AI1" s="28"/>
      <c r="AJ1" s="28"/>
      <c r="AK1" s="28"/>
      <c r="AL1" s="28"/>
      <c r="AM1" s="28"/>
      <c r="AN1" s="28"/>
      <c r="AO1" s="28"/>
      <c r="AP1" s="28"/>
      <c r="AQ1" s="28"/>
      <c r="AR1" s="28"/>
      <c r="AS1" s="28"/>
      <c r="AT1" s="27"/>
      <c r="AU1" s="16" t="s">
        <v>44</v>
      </c>
      <c r="AV1" s="29"/>
      <c r="AW1" s="30"/>
      <c r="AX1" s="30"/>
      <c r="AY1" s="30"/>
      <c r="AZ1" s="30"/>
      <c r="BA1" s="30"/>
      <c r="BB1" s="30"/>
      <c r="BC1" s="30"/>
      <c r="BD1" s="30"/>
      <c r="BE1" s="30"/>
      <c r="BF1" s="30"/>
      <c r="BG1" s="30"/>
      <c r="BH1" s="29"/>
      <c r="BI1" s="16" t="s">
        <v>44</v>
      </c>
      <c r="BJ1" s="31"/>
      <c r="BK1" s="32"/>
      <c r="BL1" s="32"/>
      <c r="BM1" s="32"/>
      <c r="BN1" s="32"/>
      <c r="BO1" s="32"/>
      <c r="BP1" s="32"/>
      <c r="BQ1" s="32"/>
      <c r="BR1" s="32"/>
      <c r="BS1" s="32"/>
      <c r="BT1" s="32"/>
      <c r="BU1" s="32"/>
      <c r="BV1" s="31"/>
      <c r="BW1" s="16" t="s">
        <v>44</v>
      </c>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row>
    <row r="2" ht="54.75" customHeight="1">
      <c r="A2" s="34" t="s">
        <v>46</v>
      </c>
      <c r="B2" s="35" t="s">
        <v>47</v>
      </c>
      <c r="C2" s="36" t="s">
        <v>48</v>
      </c>
      <c r="D2" s="37" t="s">
        <v>49</v>
      </c>
      <c r="E2" s="36" t="s">
        <v>50</v>
      </c>
      <c r="F2" s="36" t="s">
        <v>51</v>
      </c>
      <c r="G2" s="36" t="s">
        <v>52</v>
      </c>
      <c r="H2" s="36" t="s">
        <v>53</v>
      </c>
      <c r="I2" s="36" t="s">
        <v>54</v>
      </c>
      <c r="J2" s="36" t="s">
        <v>55</v>
      </c>
      <c r="K2" s="36" t="s">
        <v>56</v>
      </c>
      <c r="L2" s="36" t="s">
        <v>57</v>
      </c>
      <c r="M2" s="36" t="s">
        <v>58</v>
      </c>
      <c r="N2" s="38" t="s">
        <v>59</v>
      </c>
      <c r="O2" s="39" t="s">
        <v>60</v>
      </c>
      <c r="P2" s="40" t="s">
        <v>61</v>
      </c>
      <c r="Q2" s="41" t="s">
        <v>62</v>
      </c>
      <c r="R2" s="42" t="s">
        <v>47</v>
      </c>
      <c r="S2" s="43" t="s">
        <v>48</v>
      </c>
      <c r="T2" s="43" t="s">
        <v>49</v>
      </c>
      <c r="U2" s="43" t="s">
        <v>50</v>
      </c>
      <c r="V2" s="43" t="s">
        <v>51</v>
      </c>
      <c r="W2" s="43" t="s">
        <v>52</v>
      </c>
      <c r="X2" s="43" t="s">
        <v>53</v>
      </c>
      <c r="Y2" s="43" t="s">
        <v>54</v>
      </c>
      <c r="Z2" s="43" t="s">
        <v>55</v>
      </c>
      <c r="AA2" s="43" t="s">
        <v>56</v>
      </c>
      <c r="AB2" s="43" t="s">
        <v>57</v>
      </c>
      <c r="AC2" s="43" t="s">
        <v>58</v>
      </c>
      <c r="AD2" s="44" t="s">
        <v>59</v>
      </c>
      <c r="AE2" s="45" t="s">
        <v>60</v>
      </c>
      <c r="AF2" s="46" t="s">
        <v>61</v>
      </c>
      <c r="AG2" s="47" t="s">
        <v>63</v>
      </c>
      <c r="AH2" s="48" t="s">
        <v>47</v>
      </c>
      <c r="AI2" s="49" t="s">
        <v>48</v>
      </c>
      <c r="AJ2" s="49" t="s">
        <v>49</v>
      </c>
      <c r="AK2" s="49" t="s">
        <v>50</v>
      </c>
      <c r="AL2" s="49" t="s">
        <v>51</v>
      </c>
      <c r="AM2" s="49" t="s">
        <v>52</v>
      </c>
      <c r="AN2" s="49" t="s">
        <v>53</v>
      </c>
      <c r="AO2" s="49" t="s">
        <v>54</v>
      </c>
      <c r="AP2" s="49" t="s">
        <v>55</v>
      </c>
      <c r="AQ2" s="49" t="s">
        <v>56</v>
      </c>
      <c r="AR2" s="49" t="s">
        <v>57</v>
      </c>
      <c r="AS2" s="49" t="s">
        <v>58</v>
      </c>
      <c r="AT2" s="48" t="s">
        <v>64</v>
      </c>
      <c r="AU2" s="47" t="s">
        <v>65</v>
      </c>
      <c r="AV2" s="50" t="s">
        <v>47</v>
      </c>
      <c r="AW2" s="51" t="s">
        <v>48</v>
      </c>
      <c r="AX2" s="51" t="s">
        <v>49</v>
      </c>
      <c r="AY2" s="51" t="s">
        <v>50</v>
      </c>
      <c r="AZ2" s="51" t="s">
        <v>51</v>
      </c>
      <c r="BA2" s="51" t="s">
        <v>52</v>
      </c>
      <c r="BB2" s="51" t="s">
        <v>53</v>
      </c>
      <c r="BC2" s="51" t="s">
        <v>54</v>
      </c>
      <c r="BD2" s="51" t="s">
        <v>55</v>
      </c>
      <c r="BE2" s="51" t="s">
        <v>56</v>
      </c>
      <c r="BF2" s="51" t="s">
        <v>57</v>
      </c>
      <c r="BG2" s="51" t="s">
        <v>58</v>
      </c>
      <c r="BH2" s="50" t="s">
        <v>66</v>
      </c>
      <c r="BI2" s="47" t="s">
        <v>67</v>
      </c>
      <c r="BJ2" s="52" t="s">
        <v>47</v>
      </c>
      <c r="BK2" s="53" t="s">
        <v>48</v>
      </c>
      <c r="BL2" s="53" t="s">
        <v>49</v>
      </c>
      <c r="BM2" s="53" t="s">
        <v>50</v>
      </c>
      <c r="BN2" s="53" t="s">
        <v>51</v>
      </c>
      <c r="BO2" s="53" t="s">
        <v>52</v>
      </c>
      <c r="BP2" s="53" t="s">
        <v>53</v>
      </c>
      <c r="BQ2" s="53" t="s">
        <v>54</v>
      </c>
      <c r="BR2" s="53" t="s">
        <v>55</v>
      </c>
      <c r="BS2" s="53" t="s">
        <v>56</v>
      </c>
      <c r="BT2" s="53" t="s">
        <v>57</v>
      </c>
      <c r="BU2" s="53" t="s">
        <v>58</v>
      </c>
      <c r="BV2" s="52" t="s">
        <v>68</v>
      </c>
      <c r="BW2" s="47" t="s">
        <v>69</v>
      </c>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33"/>
      <c r="CX2" s="33"/>
      <c r="CY2" s="33"/>
      <c r="CZ2" s="33"/>
      <c r="DA2" s="33"/>
      <c r="DB2" s="33"/>
      <c r="DC2" s="33"/>
      <c r="DD2" s="33"/>
      <c r="DE2" s="33"/>
      <c r="DF2" s="33"/>
      <c r="DG2" s="33"/>
      <c r="DH2" s="33"/>
      <c r="DI2" s="33"/>
      <c r="DJ2" s="33"/>
      <c r="DK2" s="33"/>
      <c r="DL2" s="33"/>
      <c r="DM2" s="33"/>
      <c r="DN2" s="33"/>
      <c r="DO2" s="33"/>
      <c r="DP2" s="33"/>
    </row>
    <row r="3" ht="18.75" customHeight="1">
      <c r="A3" s="55"/>
      <c r="B3" s="56">
        <v>2025.0</v>
      </c>
      <c r="C3" s="56">
        <v>2025.0</v>
      </c>
      <c r="D3" s="56">
        <v>2025.0</v>
      </c>
      <c r="E3" s="56">
        <v>2025.0</v>
      </c>
      <c r="F3" s="56">
        <v>2025.0</v>
      </c>
      <c r="G3" s="56">
        <v>2025.0</v>
      </c>
      <c r="H3" s="56">
        <v>2025.0</v>
      </c>
      <c r="I3" s="56">
        <v>2025.0</v>
      </c>
      <c r="J3" s="56">
        <v>2025.0</v>
      </c>
      <c r="K3" s="56">
        <v>2025.0</v>
      </c>
      <c r="L3" s="56">
        <v>2025.0</v>
      </c>
      <c r="M3" s="56">
        <v>2025.0</v>
      </c>
      <c r="N3" s="56">
        <v>2025.0</v>
      </c>
      <c r="O3" s="57">
        <v>2025.0</v>
      </c>
      <c r="P3" s="57">
        <v>2025.0</v>
      </c>
      <c r="Q3" s="58"/>
      <c r="R3" s="42">
        <v>2026.0</v>
      </c>
      <c r="S3" s="42">
        <v>2026.0</v>
      </c>
      <c r="T3" s="42">
        <v>2026.0</v>
      </c>
      <c r="U3" s="42">
        <v>2026.0</v>
      </c>
      <c r="V3" s="42">
        <v>2026.0</v>
      </c>
      <c r="W3" s="42">
        <v>2026.0</v>
      </c>
      <c r="X3" s="42">
        <v>2026.0</v>
      </c>
      <c r="Y3" s="42">
        <v>2026.0</v>
      </c>
      <c r="Z3" s="42">
        <v>2026.0</v>
      </c>
      <c r="AA3" s="42">
        <v>2026.0</v>
      </c>
      <c r="AB3" s="42">
        <v>2026.0</v>
      </c>
      <c r="AC3" s="42">
        <v>2026.0</v>
      </c>
      <c r="AD3" s="42">
        <v>2026.0</v>
      </c>
      <c r="AE3" s="59">
        <v>2026.0</v>
      </c>
      <c r="AF3" s="58"/>
      <c r="AG3" s="58"/>
      <c r="AH3" s="48" t="s">
        <v>70</v>
      </c>
      <c r="AI3" s="48" t="s">
        <v>70</v>
      </c>
      <c r="AJ3" s="48" t="s">
        <v>70</v>
      </c>
      <c r="AK3" s="48" t="s">
        <v>70</v>
      </c>
      <c r="AL3" s="48" t="s">
        <v>70</v>
      </c>
      <c r="AM3" s="48" t="s">
        <v>70</v>
      </c>
      <c r="AN3" s="48" t="s">
        <v>70</v>
      </c>
      <c r="AO3" s="48" t="s">
        <v>70</v>
      </c>
      <c r="AP3" s="48" t="s">
        <v>70</v>
      </c>
      <c r="AQ3" s="48" t="s">
        <v>70</v>
      </c>
      <c r="AR3" s="48" t="s">
        <v>70</v>
      </c>
      <c r="AS3" s="48" t="s">
        <v>70</v>
      </c>
      <c r="AT3" s="48" t="s">
        <v>70</v>
      </c>
      <c r="AU3" s="58"/>
      <c r="AV3" s="50" t="s">
        <v>71</v>
      </c>
      <c r="AW3" s="50" t="s">
        <v>71</v>
      </c>
      <c r="AX3" s="50" t="s">
        <v>71</v>
      </c>
      <c r="AY3" s="50" t="s">
        <v>71</v>
      </c>
      <c r="AZ3" s="50" t="s">
        <v>71</v>
      </c>
      <c r="BA3" s="50" t="s">
        <v>71</v>
      </c>
      <c r="BB3" s="50" t="s">
        <v>71</v>
      </c>
      <c r="BC3" s="50" t="s">
        <v>71</v>
      </c>
      <c r="BD3" s="50" t="s">
        <v>71</v>
      </c>
      <c r="BE3" s="50" t="s">
        <v>71</v>
      </c>
      <c r="BF3" s="50" t="s">
        <v>71</v>
      </c>
      <c r="BG3" s="50" t="s">
        <v>71</v>
      </c>
      <c r="BH3" s="50" t="s">
        <v>71</v>
      </c>
      <c r="BI3" s="58"/>
      <c r="BJ3" s="52" t="s">
        <v>72</v>
      </c>
      <c r="BK3" s="52" t="s">
        <v>72</v>
      </c>
      <c r="BL3" s="52" t="s">
        <v>72</v>
      </c>
      <c r="BM3" s="52" t="s">
        <v>72</v>
      </c>
      <c r="BN3" s="52" t="s">
        <v>72</v>
      </c>
      <c r="BO3" s="52" t="s">
        <v>72</v>
      </c>
      <c r="BP3" s="52" t="s">
        <v>72</v>
      </c>
      <c r="BQ3" s="52" t="s">
        <v>72</v>
      </c>
      <c r="BR3" s="52" t="s">
        <v>72</v>
      </c>
      <c r="BS3" s="52" t="s">
        <v>72</v>
      </c>
      <c r="BT3" s="52" t="s">
        <v>72</v>
      </c>
      <c r="BU3" s="52" t="s">
        <v>72</v>
      </c>
      <c r="BV3" s="52" t="s">
        <v>72</v>
      </c>
      <c r="BW3" s="58"/>
      <c r="BX3" s="54" t="s">
        <v>1</v>
      </c>
      <c r="BY3" s="54" t="s">
        <v>2</v>
      </c>
      <c r="BZ3" s="54" t="s">
        <v>3</v>
      </c>
      <c r="CA3" s="54" t="s">
        <v>4</v>
      </c>
      <c r="CB3" s="54" t="s">
        <v>5</v>
      </c>
      <c r="CC3" s="54" t="s">
        <v>6</v>
      </c>
      <c r="CD3" s="54" t="s">
        <v>7</v>
      </c>
      <c r="CE3" s="54" t="s">
        <v>8</v>
      </c>
      <c r="CF3" s="54" t="s">
        <v>9</v>
      </c>
      <c r="CG3" s="54" t="s">
        <v>10</v>
      </c>
      <c r="CH3" s="54" t="s">
        <v>11</v>
      </c>
      <c r="CI3" s="54" t="s">
        <v>12</v>
      </c>
      <c r="CJ3" s="54" t="s">
        <v>13</v>
      </c>
      <c r="CK3" s="54" t="s">
        <v>14</v>
      </c>
      <c r="CL3" s="54" t="s">
        <v>15</v>
      </c>
      <c r="CM3" s="54" t="s">
        <v>16</v>
      </c>
      <c r="CN3" s="54" t="s">
        <v>17</v>
      </c>
      <c r="CO3" s="54" t="s">
        <v>18</v>
      </c>
      <c r="CP3" s="54" t="s">
        <v>19</v>
      </c>
      <c r="CQ3" s="54" t="s">
        <v>20</v>
      </c>
      <c r="CR3" s="54" t="s">
        <v>21</v>
      </c>
      <c r="CS3" s="54" t="s">
        <v>22</v>
      </c>
      <c r="CT3" s="54" t="s">
        <v>23</v>
      </c>
      <c r="CU3" s="54" t="s">
        <v>24</v>
      </c>
      <c r="CV3" s="54" t="s">
        <v>25</v>
      </c>
      <c r="CW3" s="60" t="s">
        <v>26</v>
      </c>
      <c r="CX3" s="60" t="s">
        <v>27</v>
      </c>
      <c r="CY3" s="61"/>
      <c r="CZ3" s="61"/>
      <c r="DA3" s="61"/>
      <c r="DB3" s="61"/>
      <c r="DC3" s="61"/>
      <c r="DD3" s="61"/>
      <c r="DE3" s="61"/>
      <c r="DF3" s="61"/>
      <c r="DG3" s="61"/>
      <c r="DH3" s="61"/>
      <c r="DI3" s="61"/>
      <c r="DJ3" s="61"/>
      <c r="DK3" s="61"/>
      <c r="DL3" s="61"/>
      <c r="DM3" s="61"/>
      <c r="DN3" s="61"/>
      <c r="DO3" s="61"/>
      <c r="DP3" s="61"/>
    </row>
    <row r="4" ht="18.75" customHeight="1">
      <c r="A4" s="58" t="s">
        <v>73</v>
      </c>
      <c r="B4" s="62">
        <v>122944.0</v>
      </c>
      <c r="C4" s="62">
        <v>297940.0</v>
      </c>
      <c r="D4" s="63">
        <v>116875.0</v>
      </c>
      <c r="E4" s="63">
        <v>92821.0</v>
      </c>
      <c r="F4" s="63">
        <v>99109.0</v>
      </c>
      <c r="G4" s="63">
        <v>158512.0</v>
      </c>
      <c r="H4" s="63">
        <v>202997.0</v>
      </c>
      <c r="I4" s="63">
        <v>65081.0</v>
      </c>
      <c r="J4" s="63">
        <v>36737.0</v>
      </c>
      <c r="K4" s="64">
        <f>sum(J4+J16-J46-J5+J6+J48)</f>
        <v>75293</v>
      </c>
      <c r="L4" s="62">
        <v>39900.0</v>
      </c>
      <c r="M4" s="62">
        <v>86497.0</v>
      </c>
      <c r="N4" s="65"/>
      <c r="O4" s="66"/>
      <c r="P4" s="67"/>
      <c r="Q4" s="58" t="s">
        <v>73</v>
      </c>
      <c r="R4" s="68">
        <v>77854.91</v>
      </c>
      <c r="S4" s="68">
        <v>124896.59</v>
      </c>
      <c r="T4" s="68">
        <v>152070.0</v>
      </c>
      <c r="U4" s="65">
        <f>sum(T4+T16-T46-T5+T6)</f>
        <v>161117.5583</v>
      </c>
      <c r="V4" s="68">
        <v>113551.0</v>
      </c>
      <c r="W4" s="65">
        <f t="shared" ref="W4:AC4" si="1">sum(V4+V16-V46-V5+V6)</f>
        <v>117195.8083</v>
      </c>
      <c r="X4" s="65">
        <f t="shared" si="1"/>
        <v>89614.61667</v>
      </c>
      <c r="Y4" s="65">
        <f t="shared" si="1"/>
        <v>68275.78214</v>
      </c>
      <c r="Z4" s="65">
        <f t="shared" si="1"/>
        <v>89345.03033</v>
      </c>
      <c r="AA4" s="65">
        <f t="shared" si="1"/>
        <v>85909.49279</v>
      </c>
      <c r="AB4" s="65">
        <f t="shared" si="1"/>
        <v>79319.85</v>
      </c>
      <c r="AC4" s="65">
        <f t="shared" si="1"/>
        <v>47177.15833</v>
      </c>
      <c r="AD4" s="65"/>
      <c r="AE4" s="58"/>
      <c r="AF4" s="58"/>
      <c r="AG4" s="58" t="s">
        <v>73</v>
      </c>
      <c r="AH4" s="65">
        <f>sum(AC4+AC16-AC46-AC5+AC6)</f>
        <v>58224.71667</v>
      </c>
      <c r="AI4" s="65">
        <f t="shared" ref="AI4:AS4" si="2">sum(AH4+AH16-AH46-AH5+AH6)</f>
        <v>69625.34579</v>
      </c>
      <c r="AJ4" s="65">
        <f t="shared" si="2"/>
        <v>81946.02492</v>
      </c>
      <c r="AK4" s="65">
        <f t="shared" si="2"/>
        <v>92283.92696</v>
      </c>
      <c r="AL4" s="65">
        <f t="shared" si="2"/>
        <v>81780.09423</v>
      </c>
      <c r="AM4" s="65">
        <f t="shared" si="2"/>
        <v>63988.1085</v>
      </c>
      <c r="AN4" s="65">
        <f t="shared" si="2"/>
        <v>22255.72924</v>
      </c>
      <c r="AO4" s="65">
        <f t="shared" si="2"/>
        <v>39333.94953</v>
      </c>
      <c r="AP4" s="65">
        <f t="shared" si="2"/>
        <v>48412.16983</v>
      </c>
      <c r="AQ4" s="65">
        <f t="shared" si="2"/>
        <v>65763.73387</v>
      </c>
      <c r="AR4" s="65">
        <f t="shared" si="2"/>
        <v>73115.29791</v>
      </c>
      <c r="AS4" s="65">
        <f t="shared" si="2"/>
        <v>80466.86195</v>
      </c>
      <c r="AT4" s="65"/>
      <c r="AU4" s="58" t="s">
        <v>73</v>
      </c>
      <c r="AV4" s="65">
        <f>sum(AS4+AS16-AS46-AS5+AS6)</f>
        <v>82854.76399</v>
      </c>
      <c r="AW4" s="65">
        <f t="shared" ref="AW4:BG4" si="3">sum(AV4+AV16-AV46-AV5+AV6)</f>
        <v>99428.73621</v>
      </c>
      <c r="AX4" s="65">
        <f t="shared" si="3"/>
        <v>116920.7597</v>
      </c>
      <c r="AY4" s="65">
        <f t="shared" si="3"/>
        <v>132380.4366</v>
      </c>
      <c r="AZ4" s="65">
        <f t="shared" si="3"/>
        <v>139302.8368</v>
      </c>
      <c r="BA4" s="65">
        <f t="shared" si="3"/>
        <v>87831.74508</v>
      </c>
      <c r="BB4" s="65">
        <f t="shared" si="3"/>
        <v>108437.3105</v>
      </c>
      <c r="BC4" s="65">
        <f t="shared" si="3"/>
        <v>129042.8759</v>
      </c>
      <c r="BD4" s="65">
        <f t="shared" si="3"/>
        <v>149020.3455</v>
      </c>
      <c r="BE4" s="65">
        <f t="shared" si="3"/>
        <v>161489.8008</v>
      </c>
      <c r="BF4" s="65">
        <f t="shared" si="3"/>
        <v>174256.2269</v>
      </c>
      <c r="BG4" s="65">
        <f t="shared" si="3"/>
        <v>192197.6531</v>
      </c>
      <c r="BH4" s="65"/>
      <c r="BI4" s="58" t="s">
        <v>73</v>
      </c>
      <c r="BJ4" s="65">
        <f>sum(BG4+BG16-BG46-BG5+BG6)</f>
        <v>209758.58</v>
      </c>
      <c r="BK4" s="65">
        <f t="shared" ref="BK4:BU4" si="4">sum(BJ4+BJ16-BJ46-BJ5+BJ6)</f>
        <v>217640.6464</v>
      </c>
      <c r="BL4" s="65">
        <f t="shared" si="4"/>
        <v>226438.7152</v>
      </c>
      <c r="BM4" s="65">
        <f t="shared" si="4"/>
        <v>233153.6289</v>
      </c>
      <c r="BN4" s="65">
        <f t="shared" si="4"/>
        <v>231301.3642</v>
      </c>
      <c r="BO4" s="65">
        <f t="shared" si="4"/>
        <v>243580.6375</v>
      </c>
      <c r="BP4" s="65">
        <f t="shared" si="4"/>
        <v>255859.9107</v>
      </c>
      <c r="BQ4" s="65">
        <f t="shared" si="4"/>
        <v>268139.184</v>
      </c>
      <c r="BR4" s="65">
        <f t="shared" si="4"/>
        <v>279767.8317</v>
      </c>
      <c r="BS4" s="65">
        <f t="shared" si="4"/>
        <v>294447.2019</v>
      </c>
      <c r="BT4" s="65">
        <f t="shared" si="4"/>
        <v>303770.447</v>
      </c>
      <c r="BU4" s="65">
        <f t="shared" si="4"/>
        <v>318449.8171</v>
      </c>
      <c r="BV4" s="65"/>
      <c r="BW4" s="69" t="s">
        <v>73</v>
      </c>
      <c r="BX4" s="65">
        <f>sum(BU4+BU16-BU46-BU5+BU6)</f>
        <v>327318.512</v>
      </c>
      <c r="BY4" s="65">
        <f t="shared" ref="BY4:CX4" si="5">sum(BX4+BX16-BX46-BX5+BX6)</f>
        <v>555651.6263</v>
      </c>
      <c r="BZ4" s="65">
        <f t="shared" si="5"/>
        <v>761349.2504</v>
      </c>
      <c r="CA4" s="65">
        <f t="shared" si="5"/>
        <v>827352.7774</v>
      </c>
      <c r="CB4" s="65">
        <f t="shared" si="5"/>
        <v>998668.9076</v>
      </c>
      <c r="CC4" s="65">
        <f t="shared" si="5"/>
        <v>1152005.006</v>
      </c>
      <c r="CD4" s="65">
        <f t="shared" si="5"/>
        <v>733337.5861</v>
      </c>
      <c r="CE4" s="65">
        <f t="shared" si="5"/>
        <v>536694.8261</v>
      </c>
      <c r="CF4" s="65">
        <f t="shared" si="5"/>
        <v>312292.2171</v>
      </c>
      <c r="CG4" s="65">
        <f t="shared" si="5"/>
        <v>512258.8211</v>
      </c>
      <c r="CH4" s="65">
        <f t="shared" si="5"/>
        <v>499256.7778</v>
      </c>
      <c r="CI4" s="65">
        <f t="shared" si="5"/>
        <v>623434.5799</v>
      </c>
      <c r="CJ4" s="65">
        <f t="shared" si="5"/>
        <v>370948.091</v>
      </c>
      <c r="CK4" s="65">
        <f t="shared" si="5"/>
        <v>248325.1338</v>
      </c>
      <c r="CL4" s="65">
        <f t="shared" si="5"/>
        <v>112887.915</v>
      </c>
      <c r="CM4" s="65">
        <f t="shared" si="5"/>
        <v>301732.5557</v>
      </c>
      <c r="CN4" s="65">
        <f t="shared" si="5"/>
        <v>271451.3042</v>
      </c>
      <c r="CO4" s="65">
        <f t="shared" si="5"/>
        <v>366071.1565</v>
      </c>
      <c r="CP4" s="65">
        <f t="shared" si="5"/>
        <v>432555.8099</v>
      </c>
      <c r="CQ4" s="65">
        <f t="shared" si="5"/>
        <v>516617.028</v>
      </c>
      <c r="CR4" s="65">
        <f t="shared" si="5"/>
        <v>605068.3759</v>
      </c>
      <c r="CS4" s="65">
        <f t="shared" si="5"/>
        <v>394005.2157</v>
      </c>
      <c r="CT4" s="65">
        <f t="shared" si="5"/>
        <v>-31368.06707</v>
      </c>
      <c r="CU4" s="65">
        <f t="shared" si="5"/>
        <v>-317149.1204</v>
      </c>
      <c r="CV4" s="65">
        <f t="shared" si="5"/>
        <v>-134738.7509</v>
      </c>
      <c r="CW4" s="65">
        <f t="shared" si="5"/>
        <v>14849.4899</v>
      </c>
      <c r="CX4" s="65">
        <f t="shared" si="5"/>
        <v>130610.0332</v>
      </c>
      <c r="CY4" s="61"/>
      <c r="CZ4" s="61"/>
      <c r="DA4" s="61"/>
      <c r="DB4" s="61"/>
      <c r="DC4" s="61"/>
      <c r="DD4" s="61"/>
      <c r="DE4" s="61"/>
      <c r="DF4" s="61"/>
      <c r="DG4" s="61"/>
      <c r="DH4" s="61"/>
      <c r="DI4" s="61"/>
      <c r="DJ4" s="61"/>
      <c r="DK4" s="61"/>
      <c r="DL4" s="61"/>
      <c r="DM4" s="61"/>
      <c r="DN4" s="61"/>
      <c r="DO4" s="61"/>
      <c r="DP4" s="61"/>
    </row>
    <row r="5" ht="19.5" customHeight="1">
      <c r="A5" s="70" t="s">
        <v>74</v>
      </c>
      <c r="B5" s="71">
        <v>5000.0</v>
      </c>
      <c r="C5" s="71">
        <v>256000.0</v>
      </c>
      <c r="D5" s="71">
        <v>55000.0</v>
      </c>
      <c r="E5" s="71">
        <v>56000.0</v>
      </c>
      <c r="F5" s="71">
        <v>5000.0</v>
      </c>
      <c r="G5" s="71">
        <v>5000.0</v>
      </c>
      <c r="H5" s="71">
        <v>5000.0</v>
      </c>
      <c r="I5" s="71">
        <v>5000.0</v>
      </c>
      <c r="J5" s="71">
        <v>5000.0</v>
      </c>
      <c r="K5" s="72">
        <v>5000.0</v>
      </c>
      <c r="L5" s="72">
        <v>5000.0</v>
      </c>
      <c r="M5" s="62">
        <v>5000.0</v>
      </c>
      <c r="N5" s="73">
        <f>SUM(B5:M5)</f>
        <v>412000</v>
      </c>
      <c r="O5" s="74">
        <v>170000.0</v>
      </c>
      <c r="P5" s="75">
        <f>N5-O5</f>
        <v>242000</v>
      </c>
      <c r="Q5" s="70" t="s">
        <v>75</v>
      </c>
      <c r="R5" s="68">
        <v>5000.0</v>
      </c>
      <c r="S5" s="68">
        <v>5000.0</v>
      </c>
      <c r="T5" s="76">
        <v>5000.0</v>
      </c>
      <c r="U5" s="76">
        <v>5000.0</v>
      </c>
      <c r="V5" s="76">
        <v>5000.0</v>
      </c>
      <c r="W5" s="76">
        <v>5000.0</v>
      </c>
      <c r="X5" s="76">
        <v>5000.0</v>
      </c>
      <c r="Y5" s="76">
        <v>5000.0</v>
      </c>
      <c r="Z5" s="76">
        <v>5000.0</v>
      </c>
      <c r="AA5" s="76">
        <v>5000.0</v>
      </c>
      <c r="AB5" s="76">
        <v>5000.0</v>
      </c>
      <c r="AC5" s="76">
        <v>5000.0</v>
      </c>
      <c r="AD5" s="77"/>
      <c r="AE5" s="70"/>
      <c r="AF5" s="70"/>
      <c r="AG5" s="70" t="s">
        <v>75</v>
      </c>
      <c r="AH5" s="78">
        <v>5000.0</v>
      </c>
      <c r="AI5" s="78">
        <v>5000.0</v>
      </c>
      <c r="AJ5" s="78">
        <v>5000.0</v>
      </c>
      <c r="AK5" s="78">
        <v>5000.0</v>
      </c>
      <c r="AL5" s="78">
        <v>5000.0</v>
      </c>
      <c r="AM5" s="78">
        <v>5000.0</v>
      </c>
      <c r="AN5" s="78">
        <v>5000.0</v>
      </c>
      <c r="AO5" s="78">
        <v>5000.0</v>
      </c>
      <c r="AP5" s="78">
        <v>5000.0</v>
      </c>
      <c r="AQ5" s="76">
        <v>10000.0</v>
      </c>
      <c r="AR5" s="76">
        <v>15000.0</v>
      </c>
      <c r="AS5" s="76">
        <v>15000.0</v>
      </c>
      <c r="AT5" s="77"/>
      <c r="AU5" s="70" t="s">
        <v>75</v>
      </c>
      <c r="AV5" s="78">
        <v>5000.0</v>
      </c>
      <c r="AW5" s="78">
        <v>5000.0</v>
      </c>
      <c r="AX5" s="78">
        <v>5000.0</v>
      </c>
      <c r="AY5" s="78">
        <v>5000.0</v>
      </c>
      <c r="AZ5" s="78">
        <v>5000.0</v>
      </c>
      <c r="BA5" s="78">
        <v>5000.0</v>
      </c>
      <c r="BB5" s="78">
        <v>5000.0</v>
      </c>
      <c r="BC5" s="78">
        <v>5000.0</v>
      </c>
      <c r="BD5" s="76">
        <v>10000.0</v>
      </c>
      <c r="BE5" s="76">
        <v>10000.0</v>
      </c>
      <c r="BF5" s="76">
        <v>10000.0</v>
      </c>
      <c r="BG5" s="78">
        <v>5000.0</v>
      </c>
      <c r="BH5" s="77"/>
      <c r="BI5" s="70" t="s">
        <v>75</v>
      </c>
      <c r="BJ5" s="78">
        <v>5000.0</v>
      </c>
      <c r="BK5" s="78">
        <v>5000.0</v>
      </c>
      <c r="BL5" s="78">
        <v>5000.0</v>
      </c>
      <c r="BM5" s="78">
        <v>5000.0</v>
      </c>
      <c r="BN5" s="78">
        <v>5000.0</v>
      </c>
      <c r="BO5" s="78">
        <v>5000.0</v>
      </c>
      <c r="BP5" s="78">
        <v>5000.0</v>
      </c>
      <c r="BQ5" s="78">
        <v>5000.0</v>
      </c>
      <c r="BR5" s="78">
        <v>5000.0</v>
      </c>
      <c r="BS5" s="78">
        <v>5000.0</v>
      </c>
      <c r="BT5" s="78">
        <v>5000.0</v>
      </c>
      <c r="BU5" s="78">
        <v>5000.0</v>
      </c>
      <c r="BV5" s="77"/>
      <c r="BW5" s="70" t="s">
        <v>75</v>
      </c>
      <c r="BX5" s="78">
        <v>60000.0</v>
      </c>
      <c r="BY5" s="78">
        <v>60000.0</v>
      </c>
      <c r="BZ5" s="78">
        <v>60000.0</v>
      </c>
      <c r="CA5" s="78">
        <v>60000.0</v>
      </c>
      <c r="CB5" s="78">
        <v>60000.0</v>
      </c>
      <c r="CC5" s="78">
        <v>60000.0</v>
      </c>
      <c r="CD5" s="78">
        <v>60000.0</v>
      </c>
      <c r="CE5" s="78">
        <v>60000.0</v>
      </c>
      <c r="CF5" s="78">
        <v>60000.0</v>
      </c>
      <c r="CG5" s="78">
        <v>60000.0</v>
      </c>
      <c r="CH5" s="78">
        <v>60000.0</v>
      </c>
      <c r="CI5" s="78">
        <v>60000.0</v>
      </c>
      <c r="CJ5" s="78">
        <v>60000.0</v>
      </c>
      <c r="CK5" s="78">
        <v>60000.0</v>
      </c>
      <c r="CL5" s="78">
        <v>60000.0</v>
      </c>
      <c r="CM5" s="78">
        <v>60000.0</v>
      </c>
      <c r="CN5" s="78">
        <v>60000.0</v>
      </c>
      <c r="CO5" s="78">
        <v>60000.0</v>
      </c>
      <c r="CP5" s="78">
        <v>60000.0</v>
      </c>
      <c r="CQ5" s="78">
        <v>60000.0</v>
      </c>
      <c r="CR5" s="78">
        <v>60000.0</v>
      </c>
      <c r="CS5" s="78">
        <v>60000.0</v>
      </c>
      <c r="CT5" s="78">
        <v>60000.0</v>
      </c>
      <c r="CU5" s="78">
        <v>60000.0</v>
      </c>
      <c r="CV5" s="78">
        <v>60000.0</v>
      </c>
      <c r="CW5" s="78">
        <v>60000.0</v>
      </c>
      <c r="CX5" s="78">
        <v>60000.0</v>
      </c>
      <c r="CY5" s="79"/>
      <c r="CZ5" s="79"/>
      <c r="DA5" s="79"/>
      <c r="DB5" s="79"/>
      <c r="DC5" s="79"/>
      <c r="DD5" s="79"/>
      <c r="DE5" s="79"/>
      <c r="DF5" s="79"/>
      <c r="DG5" s="79"/>
      <c r="DH5" s="79"/>
      <c r="DI5" s="79"/>
      <c r="DJ5" s="79"/>
      <c r="DK5" s="79"/>
      <c r="DL5" s="79"/>
      <c r="DM5" s="79"/>
      <c r="DN5" s="79"/>
      <c r="DO5" s="79"/>
      <c r="DP5" s="79"/>
    </row>
    <row r="6" ht="16.5" customHeight="1">
      <c r="A6" s="80" t="s">
        <v>76</v>
      </c>
      <c r="B6" s="81"/>
      <c r="C6" s="82"/>
      <c r="D6" s="83"/>
      <c r="E6" s="84"/>
      <c r="F6" s="85"/>
      <c r="G6" s="86"/>
      <c r="H6" s="86"/>
      <c r="I6" s="86"/>
      <c r="J6" s="86"/>
      <c r="K6" s="86">
        <v>200000.0</v>
      </c>
      <c r="L6" s="85"/>
      <c r="M6" s="85">
        <v>50000.0</v>
      </c>
      <c r="N6" s="84"/>
      <c r="O6" s="87"/>
      <c r="P6" s="87"/>
      <c r="Q6" s="70" t="s">
        <v>77</v>
      </c>
      <c r="R6" s="88"/>
      <c r="S6" s="88"/>
      <c r="T6" s="88"/>
      <c r="U6" s="88"/>
      <c r="V6" s="89"/>
      <c r="W6" s="89">
        <v>150000.0</v>
      </c>
      <c r="X6" s="89">
        <v>80000.0</v>
      </c>
      <c r="Y6" s="89">
        <v>80000.0</v>
      </c>
      <c r="Z6" s="89">
        <v>80000.0</v>
      </c>
      <c r="AA6" s="89">
        <v>90000.0</v>
      </c>
      <c r="AB6" s="88"/>
      <c r="AC6" s="88"/>
      <c r="AD6" s="88"/>
      <c r="AE6" s="70"/>
      <c r="AF6" s="70"/>
      <c r="AG6" s="70" t="s">
        <v>77</v>
      </c>
      <c r="AH6" s="88"/>
      <c r="AI6" s="88"/>
      <c r="AJ6" s="88"/>
      <c r="AK6" s="88"/>
      <c r="AL6" s="88"/>
      <c r="AM6" s="89">
        <v>100000.0</v>
      </c>
      <c r="AN6" s="89">
        <v>50000.0</v>
      </c>
      <c r="AO6" s="88"/>
      <c r="AP6" s="88"/>
      <c r="AQ6" s="88"/>
      <c r="AR6" s="88"/>
      <c r="AS6" s="88"/>
      <c r="AT6" s="88"/>
      <c r="AU6" s="70" t="s">
        <v>77</v>
      </c>
      <c r="AV6" s="88"/>
      <c r="AW6" s="88"/>
      <c r="AX6" s="88"/>
      <c r="AY6" s="88"/>
      <c r="AZ6" s="89">
        <v>80000.0</v>
      </c>
      <c r="BA6" s="88"/>
      <c r="BB6" s="88"/>
      <c r="BC6" s="88"/>
      <c r="BD6" s="88"/>
      <c r="BE6" s="88"/>
      <c r="BF6" s="88"/>
      <c r="BG6" s="88"/>
      <c r="BH6" s="88"/>
      <c r="BI6" s="70" t="s">
        <v>77</v>
      </c>
      <c r="BJ6" s="88"/>
      <c r="BK6" s="88"/>
      <c r="BL6" s="88"/>
      <c r="BM6" s="88"/>
      <c r="BN6" s="88"/>
      <c r="BO6" s="88"/>
      <c r="BP6" s="88"/>
      <c r="BQ6" s="88"/>
      <c r="BR6" s="88"/>
      <c r="BS6" s="88"/>
      <c r="BT6" s="88"/>
      <c r="BU6" s="88"/>
      <c r="BV6" s="88"/>
      <c r="BW6" s="70" t="s">
        <v>77</v>
      </c>
      <c r="BX6" s="88">
        <v>130000.0</v>
      </c>
      <c r="BY6" s="88"/>
      <c r="BZ6" s="88"/>
      <c r="CA6" s="88"/>
      <c r="CB6" s="88"/>
      <c r="CC6" s="88"/>
      <c r="CD6" s="89">
        <v>100000.0</v>
      </c>
      <c r="CE6" s="88"/>
      <c r="CF6" s="88"/>
      <c r="CG6" s="88"/>
      <c r="CH6" s="88"/>
      <c r="CI6" s="88"/>
      <c r="CJ6" s="88"/>
      <c r="CK6" s="88"/>
      <c r="CL6" s="88"/>
      <c r="CM6" s="88"/>
      <c r="CN6" s="88"/>
      <c r="CO6" s="88"/>
      <c r="CP6" s="88"/>
      <c r="CQ6" s="88"/>
      <c r="CR6" s="88"/>
      <c r="CS6" s="88"/>
      <c r="CT6" s="88"/>
      <c r="CU6" s="88"/>
      <c r="CV6" s="88"/>
      <c r="CW6" s="88"/>
      <c r="CX6" s="88"/>
      <c r="CY6" s="90"/>
      <c r="CZ6" s="90"/>
      <c r="DA6" s="90"/>
      <c r="DB6" s="90"/>
      <c r="DC6" s="90"/>
      <c r="DD6" s="90"/>
      <c r="DE6" s="90"/>
      <c r="DF6" s="90"/>
      <c r="DG6" s="90"/>
      <c r="DH6" s="90"/>
      <c r="DI6" s="90"/>
      <c r="DJ6" s="90"/>
      <c r="DK6" s="90"/>
      <c r="DL6" s="90"/>
      <c r="DM6" s="90"/>
      <c r="DN6" s="90"/>
      <c r="DO6" s="90"/>
      <c r="DP6" s="90"/>
    </row>
    <row r="7" ht="19.5" customHeight="1">
      <c r="A7" s="58" t="s">
        <v>78</v>
      </c>
      <c r="B7" s="62">
        <v>227639.0</v>
      </c>
      <c r="C7" s="62">
        <v>232649.0</v>
      </c>
      <c r="D7" s="63">
        <v>488667.0</v>
      </c>
      <c r="E7" s="91">
        <f t="shared" ref="E7:G7" si="6">sum(D7+D5-D6)</f>
        <v>543667</v>
      </c>
      <c r="F7" s="91">
        <f t="shared" si="6"/>
        <v>599667</v>
      </c>
      <c r="G7" s="91">
        <f t="shared" si="6"/>
        <v>604667</v>
      </c>
      <c r="H7" s="63">
        <v>635609.0</v>
      </c>
      <c r="I7" s="63">
        <v>516305.0</v>
      </c>
      <c r="J7" s="63">
        <v>521158.0</v>
      </c>
      <c r="K7" s="91">
        <f>sum(J7+J5-J6)</f>
        <v>526158</v>
      </c>
      <c r="L7" s="62">
        <v>533568.0</v>
      </c>
      <c r="M7" s="62">
        <v>399381.0</v>
      </c>
      <c r="N7" s="64"/>
      <c r="O7" s="87"/>
      <c r="P7" s="87"/>
      <c r="Q7" s="92" t="s">
        <v>79</v>
      </c>
      <c r="R7" s="68">
        <v>405061.0</v>
      </c>
      <c r="S7" s="68">
        <v>410716.0</v>
      </c>
      <c r="T7" s="68">
        <v>416309.0</v>
      </c>
      <c r="U7" s="65">
        <f>sum(T7+T5-T6)</f>
        <v>421309</v>
      </c>
      <c r="V7" s="68">
        <v>522040.0</v>
      </c>
      <c r="W7" s="65">
        <f t="shared" ref="W7:AC7" si="7">sum(V7+V5-V6)</f>
        <v>527040</v>
      </c>
      <c r="X7" s="65">
        <f t="shared" si="7"/>
        <v>382040</v>
      </c>
      <c r="Y7" s="65">
        <f t="shared" si="7"/>
        <v>307040</v>
      </c>
      <c r="Z7" s="65">
        <f t="shared" si="7"/>
        <v>232040</v>
      </c>
      <c r="AA7" s="65">
        <f t="shared" si="7"/>
        <v>157040</v>
      </c>
      <c r="AB7" s="93">
        <f t="shared" si="7"/>
        <v>72040</v>
      </c>
      <c r="AC7" s="93">
        <f t="shared" si="7"/>
        <v>77040</v>
      </c>
      <c r="AD7" s="65"/>
      <c r="AE7" s="58"/>
      <c r="AF7" s="58"/>
      <c r="AG7" s="58" t="s">
        <v>78</v>
      </c>
      <c r="AH7" s="65">
        <f>sum(AC7+AC5-AC6)</f>
        <v>82040</v>
      </c>
      <c r="AI7" s="65">
        <f>sum(AH7+AH5-AH6)</f>
        <v>87040</v>
      </c>
      <c r="AJ7" s="65">
        <f>sum(AI7+AI5+AI8-AI6)</f>
        <v>220551</v>
      </c>
      <c r="AK7" s="65">
        <f t="shared" ref="AK7:AS7" si="8">sum(AJ7+AJ5-AJ6)</f>
        <v>225551</v>
      </c>
      <c r="AL7" s="65">
        <f t="shared" si="8"/>
        <v>230551</v>
      </c>
      <c r="AM7" s="65">
        <f t="shared" si="8"/>
        <v>235551</v>
      </c>
      <c r="AN7" s="65">
        <f t="shared" si="8"/>
        <v>140551</v>
      </c>
      <c r="AO7" s="65">
        <f t="shared" si="8"/>
        <v>95551</v>
      </c>
      <c r="AP7" s="65">
        <f t="shared" si="8"/>
        <v>100551</v>
      </c>
      <c r="AQ7" s="65">
        <f t="shared" si="8"/>
        <v>105551</v>
      </c>
      <c r="AR7" s="65">
        <f t="shared" si="8"/>
        <v>115551</v>
      </c>
      <c r="AS7" s="65">
        <f t="shared" si="8"/>
        <v>130551</v>
      </c>
      <c r="AT7" s="65"/>
      <c r="AU7" s="58" t="s">
        <v>78</v>
      </c>
      <c r="AV7" s="65">
        <f>sum(AS7+AS5-AS6)</f>
        <v>145551</v>
      </c>
      <c r="AW7" s="65">
        <f t="shared" ref="AW7:BG7" si="9">sum(AV7+AV5-AV6)</f>
        <v>150551</v>
      </c>
      <c r="AX7" s="65">
        <f t="shared" si="9"/>
        <v>155551</v>
      </c>
      <c r="AY7" s="65">
        <f t="shared" si="9"/>
        <v>160551</v>
      </c>
      <c r="AZ7" s="65">
        <f t="shared" si="9"/>
        <v>165551</v>
      </c>
      <c r="BA7" s="65">
        <f t="shared" si="9"/>
        <v>90551</v>
      </c>
      <c r="BB7" s="65">
        <f t="shared" si="9"/>
        <v>95551</v>
      </c>
      <c r="BC7" s="65">
        <f t="shared" si="9"/>
        <v>100551</v>
      </c>
      <c r="BD7" s="65">
        <f t="shared" si="9"/>
        <v>105551</v>
      </c>
      <c r="BE7" s="65">
        <f t="shared" si="9"/>
        <v>115551</v>
      </c>
      <c r="BF7" s="65">
        <f t="shared" si="9"/>
        <v>125551</v>
      </c>
      <c r="BG7" s="65">
        <f t="shared" si="9"/>
        <v>135551</v>
      </c>
      <c r="BH7" s="65"/>
      <c r="BI7" s="58" t="s">
        <v>78</v>
      </c>
      <c r="BJ7" s="65">
        <f>sum(BG7+BG5-BG6)</f>
        <v>140551</v>
      </c>
      <c r="BK7" s="65">
        <f t="shared" ref="BK7:BU7" si="10">sum(BJ7+BJ5-BJ6)</f>
        <v>145551</v>
      </c>
      <c r="BL7" s="65">
        <f t="shared" si="10"/>
        <v>150551</v>
      </c>
      <c r="BM7" s="65">
        <f t="shared" si="10"/>
        <v>155551</v>
      </c>
      <c r="BN7" s="65">
        <f t="shared" si="10"/>
        <v>160551</v>
      </c>
      <c r="BO7" s="65">
        <f t="shared" si="10"/>
        <v>165551</v>
      </c>
      <c r="BP7" s="65">
        <f t="shared" si="10"/>
        <v>170551</v>
      </c>
      <c r="BQ7" s="65">
        <f t="shared" si="10"/>
        <v>175551</v>
      </c>
      <c r="BR7" s="65">
        <f t="shared" si="10"/>
        <v>180551</v>
      </c>
      <c r="BS7" s="65">
        <f t="shared" si="10"/>
        <v>185551</v>
      </c>
      <c r="BT7" s="65">
        <f t="shared" si="10"/>
        <v>190551</v>
      </c>
      <c r="BU7" s="65">
        <f t="shared" si="10"/>
        <v>195551</v>
      </c>
      <c r="BV7" s="65"/>
      <c r="BW7" s="58" t="s">
        <v>78</v>
      </c>
      <c r="BX7" s="65">
        <f>sum(BU7+BU5-BU6)</f>
        <v>200551</v>
      </c>
      <c r="BY7" s="65">
        <f t="shared" ref="BY7:CX7" si="11">sum(BX7+BX5-BX6)</f>
        <v>130551</v>
      </c>
      <c r="BZ7" s="65">
        <f t="shared" si="11"/>
        <v>190551</v>
      </c>
      <c r="CA7" s="65">
        <f t="shared" si="11"/>
        <v>250551</v>
      </c>
      <c r="CB7" s="65">
        <f t="shared" si="11"/>
        <v>310551</v>
      </c>
      <c r="CC7" s="65">
        <f t="shared" si="11"/>
        <v>370551</v>
      </c>
      <c r="CD7" s="65">
        <f t="shared" si="11"/>
        <v>430551</v>
      </c>
      <c r="CE7" s="65">
        <f t="shared" si="11"/>
        <v>390551</v>
      </c>
      <c r="CF7" s="65">
        <f t="shared" si="11"/>
        <v>450551</v>
      </c>
      <c r="CG7" s="65">
        <f t="shared" si="11"/>
        <v>510551</v>
      </c>
      <c r="CH7" s="65">
        <f t="shared" si="11"/>
        <v>570551</v>
      </c>
      <c r="CI7" s="65">
        <f t="shared" si="11"/>
        <v>630551</v>
      </c>
      <c r="CJ7" s="65">
        <f t="shared" si="11"/>
        <v>690551</v>
      </c>
      <c r="CK7" s="65">
        <f t="shared" si="11"/>
        <v>750551</v>
      </c>
      <c r="CL7" s="65">
        <f t="shared" si="11"/>
        <v>810551</v>
      </c>
      <c r="CM7" s="65">
        <f t="shared" si="11"/>
        <v>870551</v>
      </c>
      <c r="CN7" s="65">
        <f t="shared" si="11"/>
        <v>930551</v>
      </c>
      <c r="CO7" s="65">
        <f t="shared" si="11"/>
        <v>990551</v>
      </c>
      <c r="CP7" s="65">
        <f t="shared" si="11"/>
        <v>1050551</v>
      </c>
      <c r="CQ7" s="65">
        <f t="shared" si="11"/>
        <v>1110551</v>
      </c>
      <c r="CR7" s="65">
        <f t="shared" si="11"/>
        <v>1170551</v>
      </c>
      <c r="CS7" s="65">
        <f t="shared" si="11"/>
        <v>1230551</v>
      </c>
      <c r="CT7" s="65">
        <f t="shared" si="11"/>
        <v>1290551</v>
      </c>
      <c r="CU7" s="65">
        <f t="shared" si="11"/>
        <v>1350551</v>
      </c>
      <c r="CV7" s="65">
        <f t="shared" si="11"/>
        <v>1410551</v>
      </c>
      <c r="CW7" s="65">
        <f t="shared" si="11"/>
        <v>1470551</v>
      </c>
      <c r="CX7" s="65">
        <f t="shared" si="11"/>
        <v>1530551</v>
      </c>
      <c r="CY7" s="61"/>
      <c r="CZ7" s="61"/>
      <c r="DA7" s="61"/>
      <c r="DB7" s="61"/>
      <c r="DC7" s="61"/>
      <c r="DD7" s="61"/>
      <c r="DE7" s="61"/>
      <c r="DF7" s="61"/>
      <c r="DG7" s="61"/>
      <c r="DH7" s="61"/>
      <c r="DI7" s="61"/>
      <c r="DJ7" s="61"/>
      <c r="DK7" s="61"/>
      <c r="DL7" s="61"/>
      <c r="DM7" s="61"/>
      <c r="DN7" s="61"/>
      <c r="DO7" s="61"/>
      <c r="DP7" s="61"/>
    </row>
    <row r="8" ht="18.0" customHeight="1">
      <c r="A8" s="92" t="s">
        <v>80</v>
      </c>
      <c r="B8" s="62">
        <v>13231.0</v>
      </c>
      <c r="C8" s="62">
        <v>13231.0</v>
      </c>
      <c r="D8" s="62">
        <v>13231.0</v>
      </c>
      <c r="E8" s="62">
        <v>13231.0</v>
      </c>
      <c r="F8" s="94">
        <f>E8+((E8*Inflation!$E$11)/12)</f>
        <v>13255.80813</v>
      </c>
      <c r="G8" s="94">
        <f>F8+((F8*Inflation!$E$11)/12)</f>
        <v>13280.66277</v>
      </c>
      <c r="H8" s="62">
        <v>125000.0</v>
      </c>
      <c r="I8" s="62">
        <f t="shared" ref="I8:M8" si="12">H8</f>
        <v>125000</v>
      </c>
      <c r="J8" s="71">
        <f t="shared" si="12"/>
        <v>125000</v>
      </c>
      <c r="K8" s="62">
        <f t="shared" si="12"/>
        <v>125000</v>
      </c>
      <c r="L8" s="62">
        <f t="shared" si="12"/>
        <v>125000</v>
      </c>
      <c r="M8" s="62">
        <f t="shared" si="12"/>
        <v>125000</v>
      </c>
      <c r="N8" s="84"/>
      <c r="O8" s="74"/>
      <c r="P8" s="87"/>
      <c r="Q8" s="92" t="s">
        <v>81</v>
      </c>
      <c r="R8" s="95">
        <f>M8</f>
        <v>125000</v>
      </c>
      <c r="S8" s="95">
        <f t="shared" ref="S8:T8" si="13">R8</f>
        <v>125000</v>
      </c>
      <c r="T8" s="95">
        <f t="shared" si="13"/>
        <v>125000</v>
      </c>
      <c r="U8" s="68">
        <v>128511.0</v>
      </c>
      <c r="V8" s="68">
        <v>128511.0</v>
      </c>
      <c r="W8" s="96">
        <f t="shared" ref="W8:AC8" si="14">V8</f>
        <v>128511</v>
      </c>
      <c r="X8" s="96">
        <f t="shared" si="14"/>
        <v>128511</v>
      </c>
      <c r="Y8" s="96">
        <f t="shared" si="14"/>
        <v>128511</v>
      </c>
      <c r="Z8" s="96">
        <f t="shared" si="14"/>
        <v>128511</v>
      </c>
      <c r="AA8" s="96">
        <f t="shared" si="14"/>
        <v>128511</v>
      </c>
      <c r="AB8" s="96">
        <f t="shared" si="14"/>
        <v>128511</v>
      </c>
      <c r="AC8" s="96">
        <f t="shared" si="14"/>
        <v>128511</v>
      </c>
      <c r="AD8" s="88"/>
      <c r="AE8" s="58"/>
      <c r="AF8" s="58"/>
      <c r="AG8" s="58" t="s">
        <v>82</v>
      </c>
      <c r="AH8" s="96">
        <f>AC8</f>
        <v>128511</v>
      </c>
      <c r="AI8" s="96">
        <f>AH8</f>
        <v>128511</v>
      </c>
      <c r="AJ8" s="96">
        <v>0.0</v>
      </c>
      <c r="AK8" s="96">
        <v>0.0</v>
      </c>
      <c r="AL8" s="96">
        <v>0.0</v>
      </c>
      <c r="AM8" s="96">
        <v>0.0</v>
      </c>
      <c r="AN8" s="96">
        <v>0.0</v>
      </c>
      <c r="AO8" s="96">
        <v>0.0</v>
      </c>
      <c r="AP8" s="96">
        <v>0.0</v>
      </c>
      <c r="AQ8" s="96">
        <v>0.0</v>
      </c>
      <c r="AR8" s="96">
        <v>0.0</v>
      </c>
      <c r="AS8" s="96">
        <v>0.0</v>
      </c>
      <c r="AT8" s="88"/>
      <c r="AU8" s="58" t="s">
        <v>82</v>
      </c>
      <c r="AV8" s="95">
        <f>AS8</f>
        <v>0</v>
      </c>
      <c r="AW8" s="95">
        <f>AV8</f>
        <v>0</v>
      </c>
      <c r="AX8" s="95">
        <f>AW8+((AW8*Inflation!$E$11)/12)</f>
        <v>0</v>
      </c>
      <c r="AY8" s="95">
        <f t="shared" ref="AY8:BG8" si="15">AX8</f>
        <v>0</v>
      </c>
      <c r="AZ8" s="95">
        <f t="shared" si="15"/>
        <v>0</v>
      </c>
      <c r="BA8" s="95">
        <f t="shared" si="15"/>
        <v>0</v>
      </c>
      <c r="BB8" s="95">
        <f t="shared" si="15"/>
        <v>0</v>
      </c>
      <c r="BC8" s="95">
        <f t="shared" si="15"/>
        <v>0</v>
      </c>
      <c r="BD8" s="95">
        <f t="shared" si="15"/>
        <v>0</v>
      </c>
      <c r="BE8" s="95">
        <f t="shared" si="15"/>
        <v>0</v>
      </c>
      <c r="BF8" s="95">
        <f t="shared" si="15"/>
        <v>0</v>
      </c>
      <c r="BG8" s="95">
        <f t="shared" si="15"/>
        <v>0</v>
      </c>
      <c r="BH8" s="88"/>
      <c r="BI8" s="58" t="s">
        <v>82</v>
      </c>
      <c r="BJ8" s="95">
        <f>BG8</f>
        <v>0</v>
      </c>
      <c r="BK8" s="95">
        <f>BJ8</f>
        <v>0</v>
      </c>
      <c r="BL8" s="95">
        <f>BK8+((BK8*Inflation!$E$11)/12)</f>
        <v>0</v>
      </c>
      <c r="BM8" s="95">
        <f t="shared" ref="BM8:BU8" si="16">BL8</f>
        <v>0</v>
      </c>
      <c r="BN8" s="95">
        <f t="shared" si="16"/>
        <v>0</v>
      </c>
      <c r="BO8" s="95">
        <f t="shared" si="16"/>
        <v>0</v>
      </c>
      <c r="BP8" s="95">
        <f t="shared" si="16"/>
        <v>0</v>
      </c>
      <c r="BQ8" s="95">
        <f t="shared" si="16"/>
        <v>0</v>
      </c>
      <c r="BR8" s="95">
        <f t="shared" si="16"/>
        <v>0</v>
      </c>
      <c r="BS8" s="95">
        <f t="shared" si="16"/>
        <v>0</v>
      </c>
      <c r="BT8" s="95">
        <f t="shared" si="16"/>
        <v>0</v>
      </c>
      <c r="BU8" s="95">
        <f t="shared" si="16"/>
        <v>0</v>
      </c>
      <c r="BV8" s="88"/>
      <c r="BW8" s="58" t="s">
        <v>82</v>
      </c>
      <c r="BX8" s="95">
        <f>BU8+(BU8*Inflation!$E$11)</f>
        <v>0</v>
      </c>
      <c r="BY8" s="95">
        <f>BX8+((BX8*Inflation!$E$11))</f>
        <v>0</v>
      </c>
      <c r="BZ8" s="95">
        <f>BY8+((BY8*Inflation!$E$11))</f>
        <v>0</v>
      </c>
      <c r="CA8" s="95">
        <f>BZ8+((BZ8*Inflation!$E$11))</f>
        <v>0</v>
      </c>
      <c r="CB8" s="95">
        <f>CA8+((CA8*Inflation!$E$11))</f>
        <v>0</v>
      </c>
      <c r="CC8" s="95">
        <f>CB8+((CB8*Inflation!$E$11))</f>
        <v>0</v>
      </c>
      <c r="CD8" s="95">
        <f>CC8+((CC8*Inflation!$E$11))</f>
        <v>0</v>
      </c>
      <c r="CE8" s="95">
        <f>CD8+((CD8*Inflation!$E$11))</f>
        <v>0</v>
      </c>
      <c r="CF8" s="95">
        <f>CE8+((CE8*Inflation!$E$11))</f>
        <v>0</v>
      </c>
      <c r="CG8" s="95">
        <f>CF8+((CF8*Inflation!$E$11))</f>
        <v>0</v>
      </c>
      <c r="CH8" s="95">
        <f>CG8+((CG8*Inflation!$E$11))</f>
        <v>0</v>
      </c>
      <c r="CI8" s="95">
        <f>CH8+((CH8*Inflation!$E$11))</f>
        <v>0</v>
      </c>
      <c r="CJ8" s="95">
        <f>CI8+((CI8*Inflation!$E$11))</f>
        <v>0</v>
      </c>
      <c r="CK8" s="95">
        <f>CJ8+((CJ8*Inflation!$E$11))</f>
        <v>0</v>
      </c>
      <c r="CL8" s="95">
        <f>CK8+((CK8*Inflation!$E$11))</f>
        <v>0</v>
      </c>
      <c r="CM8" s="95">
        <f>CL8+((CL8*Inflation!$E$11))</f>
        <v>0</v>
      </c>
      <c r="CN8" s="95">
        <f>CM8+((CM8*Inflation!$E$11))</f>
        <v>0</v>
      </c>
      <c r="CO8" s="95">
        <f>CN8+((CN8*Inflation!$E$11))</f>
        <v>0</v>
      </c>
      <c r="CP8" s="95">
        <f>CO8+((CO8*Inflation!$E$11))</f>
        <v>0</v>
      </c>
      <c r="CQ8" s="95">
        <f>CP8+((CP8*Inflation!$E$11))</f>
        <v>0</v>
      </c>
      <c r="CR8" s="95">
        <f>CQ8+((CQ8*Inflation!$E$11))</f>
        <v>0</v>
      </c>
      <c r="CS8" s="95">
        <f>CR8+((CR8*Inflation!$E$11))</f>
        <v>0</v>
      </c>
      <c r="CT8" s="95">
        <f>CS8+((CS8*Inflation!$E$11))</f>
        <v>0</v>
      </c>
      <c r="CU8" s="95">
        <f>CT8+((CT8*Inflation!$E$11))</f>
        <v>0</v>
      </c>
      <c r="CV8" s="95">
        <f>CU8+((CU8*Inflation!$E$11))</f>
        <v>0</v>
      </c>
      <c r="CW8" s="95">
        <f>CV8+((CV8*Inflation!$E$11))</f>
        <v>0</v>
      </c>
      <c r="CX8" s="95">
        <f>CW8+((CW8*Inflation!$E$11))</f>
        <v>0</v>
      </c>
      <c r="CY8" s="90"/>
      <c r="CZ8" s="90"/>
      <c r="DA8" s="90"/>
      <c r="DB8" s="90"/>
      <c r="DC8" s="90"/>
      <c r="DD8" s="90"/>
      <c r="DE8" s="90"/>
      <c r="DF8" s="90"/>
      <c r="DG8" s="90"/>
      <c r="DH8" s="90"/>
      <c r="DI8" s="90"/>
      <c r="DJ8" s="90"/>
      <c r="DK8" s="90"/>
      <c r="DL8" s="90"/>
      <c r="DM8" s="90"/>
      <c r="DN8" s="90"/>
      <c r="DO8" s="90"/>
      <c r="DP8" s="90"/>
    </row>
    <row r="9" ht="21.0" customHeight="1">
      <c r="A9" s="97" t="s">
        <v>83</v>
      </c>
      <c r="B9" s="98">
        <f t="shared" ref="B9:M9" si="17">sum(B4,B7,B8)</f>
        <v>363814</v>
      </c>
      <c r="C9" s="98">
        <f t="shared" si="17"/>
        <v>543820</v>
      </c>
      <c r="D9" s="98">
        <f t="shared" si="17"/>
        <v>618773</v>
      </c>
      <c r="E9" s="98">
        <f t="shared" si="17"/>
        <v>649719</v>
      </c>
      <c r="F9" s="98">
        <f t="shared" si="17"/>
        <v>712031.8081</v>
      </c>
      <c r="G9" s="98">
        <f t="shared" si="17"/>
        <v>776459.6628</v>
      </c>
      <c r="H9" s="98">
        <f t="shared" si="17"/>
        <v>963606</v>
      </c>
      <c r="I9" s="98">
        <f t="shared" si="17"/>
        <v>706386</v>
      </c>
      <c r="J9" s="98">
        <f t="shared" si="17"/>
        <v>682895</v>
      </c>
      <c r="K9" s="98">
        <f t="shared" si="17"/>
        <v>726451</v>
      </c>
      <c r="L9" s="98">
        <f t="shared" si="17"/>
        <v>698468</v>
      </c>
      <c r="M9" s="98">
        <f t="shared" si="17"/>
        <v>610878</v>
      </c>
      <c r="N9" s="99"/>
      <c r="O9" s="99"/>
      <c r="P9" s="99"/>
      <c r="Q9" s="97" t="s">
        <v>84</v>
      </c>
      <c r="R9" s="100">
        <f t="shared" ref="R9:AC9" si="18">sum(R4,R7,R8)</f>
        <v>607915.91</v>
      </c>
      <c r="S9" s="100">
        <f t="shared" si="18"/>
        <v>660612.59</v>
      </c>
      <c r="T9" s="100">
        <f t="shared" si="18"/>
        <v>693379</v>
      </c>
      <c r="U9" s="100">
        <f t="shared" si="18"/>
        <v>710937.5583</v>
      </c>
      <c r="V9" s="100">
        <f t="shared" si="18"/>
        <v>764102</v>
      </c>
      <c r="W9" s="100">
        <f t="shared" si="18"/>
        <v>772746.8083</v>
      </c>
      <c r="X9" s="100">
        <f t="shared" si="18"/>
        <v>600165.6167</v>
      </c>
      <c r="Y9" s="100">
        <f t="shared" si="18"/>
        <v>503826.7821</v>
      </c>
      <c r="Z9" s="100">
        <f t="shared" si="18"/>
        <v>449896.0303</v>
      </c>
      <c r="AA9" s="100">
        <f t="shared" si="18"/>
        <v>371460.4928</v>
      </c>
      <c r="AB9" s="100">
        <f t="shared" si="18"/>
        <v>279870.85</v>
      </c>
      <c r="AC9" s="100">
        <f t="shared" si="18"/>
        <v>252728.1583</v>
      </c>
      <c r="AD9" s="101"/>
      <c r="AE9" s="101"/>
      <c r="AF9" s="101"/>
      <c r="AG9" s="97" t="s">
        <v>85</v>
      </c>
      <c r="AH9" s="100">
        <f t="shared" ref="AH9:AS9" si="19">sum(AH4,AH7,AH8)</f>
        <v>268775.7167</v>
      </c>
      <c r="AI9" s="100">
        <f t="shared" si="19"/>
        <v>285176.3458</v>
      </c>
      <c r="AJ9" s="100">
        <f t="shared" si="19"/>
        <v>302497.0249</v>
      </c>
      <c r="AK9" s="100">
        <f t="shared" si="19"/>
        <v>317834.927</v>
      </c>
      <c r="AL9" s="100">
        <f t="shared" si="19"/>
        <v>312331.0942</v>
      </c>
      <c r="AM9" s="100">
        <f t="shared" si="19"/>
        <v>299539.1085</v>
      </c>
      <c r="AN9" s="100">
        <f t="shared" si="19"/>
        <v>162806.7292</v>
      </c>
      <c r="AO9" s="100">
        <f t="shared" si="19"/>
        <v>134884.9495</v>
      </c>
      <c r="AP9" s="100">
        <f t="shared" si="19"/>
        <v>148963.1698</v>
      </c>
      <c r="AQ9" s="100">
        <f t="shared" si="19"/>
        <v>171314.7339</v>
      </c>
      <c r="AR9" s="100">
        <f t="shared" si="19"/>
        <v>188666.2979</v>
      </c>
      <c r="AS9" s="100">
        <f t="shared" si="19"/>
        <v>211017.862</v>
      </c>
      <c r="AT9" s="102"/>
      <c r="AU9" s="97" t="s">
        <v>86</v>
      </c>
      <c r="AV9" s="100">
        <f t="shared" ref="AV9:BG9" si="20">sum(AV4,AV7,AV8)</f>
        <v>228405.764</v>
      </c>
      <c r="AW9" s="100">
        <f t="shared" si="20"/>
        <v>249979.7362</v>
      </c>
      <c r="AX9" s="100">
        <f t="shared" si="20"/>
        <v>272471.7597</v>
      </c>
      <c r="AY9" s="100">
        <f t="shared" si="20"/>
        <v>292931.4366</v>
      </c>
      <c r="AZ9" s="100">
        <f t="shared" si="20"/>
        <v>304853.8368</v>
      </c>
      <c r="BA9" s="100">
        <f t="shared" si="20"/>
        <v>178382.7451</v>
      </c>
      <c r="BB9" s="100">
        <f t="shared" si="20"/>
        <v>203988.3105</v>
      </c>
      <c r="BC9" s="100">
        <f t="shared" si="20"/>
        <v>229593.8759</v>
      </c>
      <c r="BD9" s="100">
        <f t="shared" si="20"/>
        <v>254571.3455</v>
      </c>
      <c r="BE9" s="100">
        <f t="shared" si="20"/>
        <v>277040.8008</v>
      </c>
      <c r="BF9" s="100">
        <f t="shared" si="20"/>
        <v>299807.2269</v>
      </c>
      <c r="BG9" s="100">
        <f t="shared" si="20"/>
        <v>327748.6531</v>
      </c>
      <c r="BH9" s="102"/>
      <c r="BI9" s="97" t="s">
        <v>87</v>
      </c>
      <c r="BJ9" s="100">
        <f t="shared" ref="BJ9:BU9" si="21">sum(BJ4,BJ7,BJ8)</f>
        <v>350309.58</v>
      </c>
      <c r="BK9" s="100">
        <f t="shared" si="21"/>
        <v>363191.6464</v>
      </c>
      <c r="BL9" s="100">
        <f t="shared" si="21"/>
        <v>376989.7152</v>
      </c>
      <c r="BM9" s="100">
        <f t="shared" si="21"/>
        <v>388704.6289</v>
      </c>
      <c r="BN9" s="100">
        <f t="shared" si="21"/>
        <v>391852.3642</v>
      </c>
      <c r="BO9" s="100">
        <f t="shared" si="21"/>
        <v>409131.6375</v>
      </c>
      <c r="BP9" s="100">
        <f t="shared" si="21"/>
        <v>426410.9107</v>
      </c>
      <c r="BQ9" s="100">
        <f t="shared" si="21"/>
        <v>443690.184</v>
      </c>
      <c r="BR9" s="100">
        <f t="shared" si="21"/>
        <v>460318.8317</v>
      </c>
      <c r="BS9" s="100">
        <f t="shared" si="21"/>
        <v>479998.2019</v>
      </c>
      <c r="BT9" s="100">
        <f t="shared" si="21"/>
        <v>494321.447</v>
      </c>
      <c r="BU9" s="100">
        <f t="shared" si="21"/>
        <v>514000.8171</v>
      </c>
      <c r="BV9" s="102"/>
      <c r="BW9" s="97" t="s">
        <v>88</v>
      </c>
      <c r="BX9" s="100">
        <f t="shared" ref="BX9:CX9" si="22">sum(BX4,BX7,BX8)</f>
        <v>527869.512</v>
      </c>
      <c r="BY9" s="100">
        <f t="shared" si="22"/>
        <v>686202.6263</v>
      </c>
      <c r="BZ9" s="100">
        <f t="shared" si="22"/>
        <v>951900.2504</v>
      </c>
      <c r="CA9" s="100">
        <f t="shared" si="22"/>
        <v>1077903.777</v>
      </c>
      <c r="CB9" s="100">
        <f t="shared" si="22"/>
        <v>1309219.908</v>
      </c>
      <c r="CC9" s="100">
        <f t="shared" si="22"/>
        <v>1522556.006</v>
      </c>
      <c r="CD9" s="100">
        <f t="shared" si="22"/>
        <v>1163888.586</v>
      </c>
      <c r="CE9" s="100">
        <f t="shared" si="22"/>
        <v>927245.8261</v>
      </c>
      <c r="CF9" s="100">
        <f t="shared" si="22"/>
        <v>762843.2171</v>
      </c>
      <c r="CG9" s="100">
        <f t="shared" si="22"/>
        <v>1022809.821</v>
      </c>
      <c r="CH9" s="100">
        <f t="shared" si="22"/>
        <v>1069807.778</v>
      </c>
      <c r="CI9" s="100">
        <f t="shared" si="22"/>
        <v>1253985.58</v>
      </c>
      <c r="CJ9" s="100">
        <f t="shared" si="22"/>
        <v>1061499.091</v>
      </c>
      <c r="CK9" s="100">
        <f t="shared" si="22"/>
        <v>998876.1338</v>
      </c>
      <c r="CL9" s="100">
        <f t="shared" si="22"/>
        <v>923438.915</v>
      </c>
      <c r="CM9" s="100">
        <f t="shared" si="22"/>
        <v>1172283.556</v>
      </c>
      <c r="CN9" s="100">
        <f t="shared" si="22"/>
        <v>1202002.304</v>
      </c>
      <c r="CO9" s="100">
        <f t="shared" si="22"/>
        <v>1356622.156</v>
      </c>
      <c r="CP9" s="100">
        <f t="shared" si="22"/>
        <v>1483106.81</v>
      </c>
      <c r="CQ9" s="100">
        <f t="shared" si="22"/>
        <v>1627168.028</v>
      </c>
      <c r="CR9" s="100">
        <f t="shared" si="22"/>
        <v>1775619.376</v>
      </c>
      <c r="CS9" s="100">
        <f t="shared" si="22"/>
        <v>1624556.216</v>
      </c>
      <c r="CT9" s="100">
        <f t="shared" si="22"/>
        <v>1259182.933</v>
      </c>
      <c r="CU9" s="100">
        <f t="shared" si="22"/>
        <v>1033401.88</v>
      </c>
      <c r="CV9" s="100">
        <f t="shared" si="22"/>
        <v>1275812.249</v>
      </c>
      <c r="CW9" s="100">
        <f t="shared" si="22"/>
        <v>1485400.49</v>
      </c>
      <c r="CX9" s="100">
        <f t="shared" si="22"/>
        <v>1661161.033</v>
      </c>
      <c r="CY9" s="103"/>
      <c r="CZ9" s="103"/>
      <c r="DA9" s="103"/>
      <c r="DB9" s="103"/>
      <c r="DC9" s="103"/>
      <c r="DD9" s="103"/>
      <c r="DE9" s="103"/>
      <c r="DF9" s="103"/>
      <c r="DG9" s="103"/>
      <c r="DH9" s="103"/>
      <c r="DI9" s="103"/>
      <c r="DJ9" s="103"/>
      <c r="DK9" s="103"/>
      <c r="DL9" s="103"/>
      <c r="DM9" s="103"/>
      <c r="DN9" s="103"/>
      <c r="DO9" s="103"/>
      <c r="DP9" s="103"/>
    </row>
    <row r="10" ht="18.75" customHeight="1">
      <c r="A10" s="104" t="s">
        <v>89</v>
      </c>
      <c r="B10" s="105"/>
      <c r="C10" s="105"/>
      <c r="D10" s="106"/>
      <c r="E10" s="105"/>
      <c r="F10" s="105"/>
      <c r="G10" s="105"/>
      <c r="H10" s="105"/>
      <c r="I10" s="107"/>
      <c r="J10" s="105"/>
      <c r="K10" s="105"/>
      <c r="L10" s="105"/>
      <c r="M10" s="105"/>
      <c r="N10" s="105"/>
      <c r="O10" s="108"/>
      <c r="P10" s="108"/>
      <c r="Q10" s="104" t="s">
        <v>89</v>
      </c>
      <c r="R10" s="102"/>
      <c r="S10" s="102"/>
      <c r="T10" s="102"/>
      <c r="U10" s="102"/>
      <c r="V10" s="102"/>
      <c r="W10" s="102"/>
      <c r="X10" s="102"/>
      <c r="Y10" s="102"/>
      <c r="Z10" s="102"/>
      <c r="AA10" s="102"/>
      <c r="AB10" s="102"/>
      <c r="AC10" s="102"/>
      <c r="AD10" s="102"/>
      <c r="AE10" s="104"/>
      <c r="AF10" s="104"/>
      <c r="AG10" s="104" t="s">
        <v>89</v>
      </c>
      <c r="AH10" s="102"/>
      <c r="AI10" s="102"/>
      <c r="AJ10" s="102"/>
      <c r="AK10" s="102"/>
      <c r="AL10" s="102"/>
      <c r="AM10" s="102"/>
      <c r="AN10" s="102"/>
      <c r="AO10" s="102"/>
      <c r="AP10" s="102"/>
      <c r="AQ10" s="102"/>
      <c r="AR10" s="102"/>
      <c r="AS10" s="102"/>
      <c r="AT10" s="102"/>
      <c r="AU10" s="104" t="s">
        <v>89</v>
      </c>
      <c r="AV10" s="102"/>
      <c r="AW10" s="102"/>
      <c r="AX10" s="102"/>
      <c r="AY10" s="102"/>
      <c r="AZ10" s="102"/>
      <c r="BA10" s="102"/>
      <c r="BB10" s="102"/>
      <c r="BC10" s="102"/>
      <c r="BD10" s="102"/>
      <c r="BE10" s="102"/>
      <c r="BF10" s="102"/>
      <c r="BG10" s="102"/>
      <c r="BH10" s="102"/>
      <c r="BI10" s="104" t="s">
        <v>89</v>
      </c>
      <c r="BJ10" s="102"/>
      <c r="BK10" s="102"/>
      <c r="BL10" s="102"/>
      <c r="BM10" s="102"/>
      <c r="BN10" s="102"/>
      <c r="BO10" s="102"/>
      <c r="BP10" s="102"/>
      <c r="BQ10" s="102"/>
      <c r="BR10" s="102"/>
      <c r="BS10" s="102"/>
      <c r="BT10" s="102"/>
      <c r="BU10" s="102"/>
      <c r="BV10" s="102"/>
      <c r="BW10" s="104" t="s">
        <v>89</v>
      </c>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3"/>
      <c r="CX10" s="103"/>
      <c r="CY10" s="103"/>
      <c r="CZ10" s="103"/>
      <c r="DA10" s="103"/>
      <c r="DB10" s="103"/>
      <c r="DC10" s="103"/>
      <c r="DD10" s="103"/>
      <c r="DE10" s="103"/>
      <c r="DF10" s="103"/>
      <c r="DG10" s="103"/>
      <c r="DH10" s="103"/>
      <c r="DI10" s="103"/>
      <c r="DJ10" s="103"/>
      <c r="DK10" s="103"/>
      <c r="DL10" s="103"/>
      <c r="DM10" s="103"/>
      <c r="DN10" s="103"/>
      <c r="DO10" s="103"/>
      <c r="DP10" s="103"/>
    </row>
    <row r="11" ht="18.75" customHeight="1">
      <c r="A11" s="90" t="s">
        <v>90</v>
      </c>
      <c r="B11" s="109">
        <v>10.0</v>
      </c>
      <c r="C11" s="109">
        <v>18.0</v>
      </c>
      <c r="D11" s="109">
        <v>23.0</v>
      </c>
      <c r="E11" s="110">
        <v>25.0</v>
      </c>
      <c r="F11" s="109">
        <v>26.0</v>
      </c>
      <c r="G11" s="109">
        <v>24.0</v>
      </c>
      <c r="H11" s="109">
        <v>686.0</v>
      </c>
      <c r="I11" s="111">
        <f>I7*(Inflation!$E$11)/12</f>
        <v>968.071875</v>
      </c>
      <c r="J11" s="62">
        <v>1119.0</v>
      </c>
      <c r="K11" s="62">
        <v>637.0</v>
      </c>
      <c r="L11" s="62">
        <v>814.0</v>
      </c>
      <c r="M11" s="111">
        <f>M7*(Inflation!$E$11)/12</f>
        <v>748.839375</v>
      </c>
      <c r="N11" s="112">
        <f t="shared" ref="N11:N16" si="23">SUM(B11:M11)</f>
        <v>5098.91125</v>
      </c>
      <c r="O11" s="74">
        <v>4008.0</v>
      </c>
      <c r="P11" s="75">
        <f>N11-O11</f>
        <v>1090.91125</v>
      </c>
      <c r="Q11" s="113" t="s">
        <v>90</v>
      </c>
      <c r="R11" s="68">
        <v>655.0</v>
      </c>
      <c r="S11" s="68">
        <v>592.0</v>
      </c>
      <c r="T11" s="114">
        <f>(T7*(Inflation!$F$11)/12)+3751</f>
        <v>4444.848333</v>
      </c>
      <c r="U11" s="114">
        <f>U7*(Inflation!$F$11)/12</f>
        <v>702.1816667</v>
      </c>
      <c r="V11" s="114">
        <f>V7*(Inflation!$F$11)/12</f>
        <v>870.0666667</v>
      </c>
      <c r="W11" s="114">
        <f>W7*(Inflation!$F$11)/12</f>
        <v>878.4</v>
      </c>
      <c r="X11" s="114">
        <f>X7*(Inflation!$F$11)/12</f>
        <v>636.7333333</v>
      </c>
      <c r="Y11" s="114">
        <f>Y7*(Inflation!$F$11)/12</f>
        <v>511.7333333</v>
      </c>
      <c r="Z11" s="114">
        <f>Z7*(Inflation!$F$11)/12</f>
        <v>386.7333333</v>
      </c>
      <c r="AA11" s="114">
        <f>AA7*(Inflation!$F$11)/12</f>
        <v>261.7333333</v>
      </c>
      <c r="AB11" s="114">
        <f>AB7*(Inflation!$F$11)/12</f>
        <v>120.0666667</v>
      </c>
      <c r="AC11" s="114">
        <f>AC7*(Inflation!$F$11)/12</f>
        <v>128.4</v>
      </c>
      <c r="AD11" s="115">
        <f t="shared" ref="AD11:AD16" si="25">SUM(R11:AC11)</f>
        <v>10187.89667</v>
      </c>
      <c r="AE11" s="116">
        <v>5300.0</v>
      </c>
      <c r="AF11" s="117">
        <f t="shared" ref="AF11:AF15" si="26">AD11-AE11</f>
        <v>4887.896667</v>
      </c>
      <c r="AG11" s="113" t="s">
        <v>90</v>
      </c>
      <c r="AH11" s="114">
        <f>AH7*(Inflation!$F$11)/12</f>
        <v>136.7333333</v>
      </c>
      <c r="AI11" s="114">
        <f>AI7*(Inflation!$F$11)/12</f>
        <v>145.0666667</v>
      </c>
      <c r="AJ11" s="114">
        <f>AJ7*(Inflation!$G$11)/12</f>
        <v>367.585</v>
      </c>
      <c r="AK11" s="114">
        <f>AK7*(Inflation!$G$11)/12</f>
        <v>375.9183333</v>
      </c>
      <c r="AL11" s="114">
        <f>AL7*(Inflation!$G$11)/12</f>
        <v>384.2516667</v>
      </c>
      <c r="AM11" s="114">
        <f>AM7*(Inflation!$G$11)/12</f>
        <v>392.585</v>
      </c>
      <c r="AN11" s="114">
        <f>AN7*(Inflation!$G$11)/12</f>
        <v>234.2516667</v>
      </c>
      <c r="AO11" s="114">
        <f>AO7*(Inflation!$G$11)/12</f>
        <v>159.2516667</v>
      </c>
      <c r="AP11" s="114">
        <f>AP7*(Inflation!$G$11)/12</f>
        <v>167.585</v>
      </c>
      <c r="AQ11" s="114">
        <f>AQ7*(Inflation!$G$11)/12</f>
        <v>175.9183333</v>
      </c>
      <c r="AR11" s="114">
        <f>AR7*(Inflation!$G$11)/12</f>
        <v>192.585</v>
      </c>
      <c r="AS11" s="114">
        <f>AS7*(Inflation!$G$11)/12</f>
        <v>217.585</v>
      </c>
      <c r="AT11" s="115">
        <f t="shared" ref="AT11:AT16" si="28">SUM(AH11:AS11)</f>
        <v>2949.316667</v>
      </c>
      <c r="AU11" s="113" t="s">
        <v>90</v>
      </c>
      <c r="AV11" s="114">
        <f>AV7*(Inflation!$G$11)/12</f>
        <v>242.585</v>
      </c>
      <c r="AW11" s="114">
        <f>AW7*(Inflation!$G$11)/12</f>
        <v>250.9183333</v>
      </c>
      <c r="AX11" s="114">
        <f>AX7*(Inflation!$H$11)/12</f>
        <v>259.2516667</v>
      </c>
      <c r="AY11" s="114">
        <f>AY7*(Inflation!$H$11)/12</f>
        <v>267.585</v>
      </c>
      <c r="AZ11" s="114">
        <f>AZ7*(Inflation!$H$11)/12</f>
        <v>275.9183333</v>
      </c>
      <c r="BA11" s="114">
        <f>BA7*(Inflation!$H$11)/12</f>
        <v>150.9183333</v>
      </c>
      <c r="BB11" s="114">
        <f>BB7*(Inflation!$H$11)/12</f>
        <v>159.2516667</v>
      </c>
      <c r="BC11" s="114">
        <f>BC7*(Inflation!$H$11)/12</f>
        <v>167.585</v>
      </c>
      <c r="BD11" s="114">
        <f>BD7*(Inflation!$H$11)/12</f>
        <v>175.9183333</v>
      </c>
      <c r="BE11" s="114">
        <f>BE7*(Inflation!$H$11)/12</f>
        <v>192.585</v>
      </c>
      <c r="BF11" s="114">
        <f>BF7*(Inflation!$H$11)/12</f>
        <v>209.2516667</v>
      </c>
      <c r="BG11" s="114">
        <f>BG7*(Inflation!$H$11)/12</f>
        <v>225.9183333</v>
      </c>
      <c r="BH11" s="115">
        <f t="shared" ref="BH11:BH16" si="30">SUM(AV11:BG11)</f>
        <v>2577.686667</v>
      </c>
      <c r="BI11" s="113" t="s">
        <v>90</v>
      </c>
      <c r="BJ11" s="114">
        <f>BJ7*(Inflation!$H$11)/12</f>
        <v>234.2516667</v>
      </c>
      <c r="BK11" s="114">
        <f>BK7*(Inflation!$H$11)/12</f>
        <v>242.585</v>
      </c>
      <c r="BL11" s="114">
        <f>BL7*(Inflation!$I$11)/12</f>
        <v>250.9183333</v>
      </c>
      <c r="BM11" s="114">
        <f>BM7*(Inflation!$I$11)/12</f>
        <v>259.2516667</v>
      </c>
      <c r="BN11" s="114">
        <f>BN7*(Inflation!$I$11)/12</f>
        <v>267.585</v>
      </c>
      <c r="BO11" s="114">
        <f>BO7*(Inflation!$I$11)/12</f>
        <v>275.9183333</v>
      </c>
      <c r="BP11" s="114">
        <f>BP7*(Inflation!$I$11)/12</f>
        <v>284.2516667</v>
      </c>
      <c r="BQ11" s="114">
        <f>BQ7*(Inflation!$I$11)/12</f>
        <v>292.585</v>
      </c>
      <c r="BR11" s="114">
        <f>BR7*(Inflation!$I$11)/12</f>
        <v>300.9183333</v>
      </c>
      <c r="BS11" s="114">
        <f>BS7*(Inflation!$I$11)/12</f>
        <v>309.2516667</v>
      </c>
      <c r="BT11" s="114">
        <f>BT7*(Inflation!$I$11)/12</f>
        <v>317.585</v>
      </c>
      <c r="BU11" s="114">
        <f>BU7*(Inflation!$I$11)/12</f>
        <v>325.9183333</v>
      </c>
      <c r="BV11" s="115">
        <f t="shared" ref="BV11:BV16" si="32">SUM(BJ11:BU11)</f>
        <v>3361.02</v>
      </c>
      <c r="BW11" s="113" t="s">
        <v>90</v>
      </c>
      <c r="BX11" s="114">
        <f>BX7*(Inflation!$J$11)/12</f>
        <v>334.2516667</v>
      </c>
      <c r="BY11" s="114">
        <f>BY7*(Inflation!$J$11)/12</f>
        <v>217.585</v>
      </c>
      <c r="BZ11" s="114">
        <f>BZ7*(Inflation!$J$11)/12</f>
        <v>317.585</v>
      </c>
      <c r="CA11" s="114">
        <f>CA7*(Inflation!$J$11)/12</f>
        <v>417.585</v>
      </c>
      <c r="CB11" s="114">
        <f>CB7*(Inflation!$J$11)/12</f>
        <v>517.585</v>
      </c>
      <c r="CC11" s="114">
        <f>CC7*(Inflation!$J$11)/12</f>
        <v>617.585</v>
      </c>
      <c r="CD11" s="114">
        <f>CD7*(Inflation!$J$11)/12</f>
        <v>717.585</v>
      </c>
      <c r="CE11" s="114">
        <f>CE7*(Inflation!$J$11)/12</f>
        <v>650.9183333</v>
      </c>
      <c r="CF11" s="114">
        <f>CF7*(Inflation!$J$11)/12</f>
        <v>750.9183333</v>
      </c>
      <c r="CG11" s="114">
        <f>CG7*(Inflation!$J$11)/12</f>
        <v>850.9183333</v>
      </c>
      <c r="CH11" s="114">
        <f>CH7*(Inflation!$J$11)/12</f>
        <v>950.9183333</v>
      </c>
      <c r="CI11" s="114">
        <f>CI7*(Inflation!$J$11)/12</f>
        <v>1050.918333</v>
      </c>
      <c r="CJ11" s="114">
        <f>CJ7*(Inflation!$J$11)/12</f>
        <v>1150.918333</v>
      </c>
      <c r="CK11" s="114">
        <f>CK7*(Inflation!$J$11)/12</f>
        <v>1250.918333</v>
      </c>
      <c r="CL11" s="114">
        <f>CL7*(Inflation!$J$11)/12</f>
        <v>1350.918333</v>
      </c>
      <c r="CM11" s="114">
        <f>CM7*(Inflation!$J$11)/12</f>
        <v>1450.918333</v>
      </c>
      <c r="CN11" s="114">
        <f>CN7*(Inflation!$J$11)/12</f>
        <v>1550.918333</v>
      </c>
      <c r="CO11" s="114">
        <f>CO7*(Inflation!$J$11)/12</f>
        <v>1650.918333</v>
      </c>
      <c r="CP11" s="114">
        <f>CP7*(Inflation!$J$11)/12</f>
        <v>1750.918333</v>
      </c>
      <c r="CQ11" s="114">
        <f>CQ7*(Inflation!$J$11)/12</f>
        <v>1850.918333</v>
      </c>
      <c r="CR11" s="114">
        <f>CR7*(Inflation!$J$11)/12</f>
        <v>1950.918333</v>
      </c>
      <c r="CS11" s="114">
        <f>CS7*(Inflation!$J$11)/12</f>
        <v>2050.918333</v>
      </c>
      <c r="CT11" s="114">
        <f>CT7*(Inflation!$J$11)/12</f>
        <v>2150.918333</v>
      </c>
      <c r="CU11" s="114">
        <f>CU7*(Inflation!$J$11)/12</f>
        <v>2250.918333</v>
      </c>
      <c r="CV11" s="114">
        <f>CV7*(Inflation!$J$11)/12</f>
        <v>2350.918333</v>
      </c>
      <c r="CW11" s="114">
        <f>CW7*(Inflation!$J$11)/12</f>
        <v>2450.918333</v>
      </c>
      <c r="CX11" s="114">
        <f>CX7*(Inflation!$J$11)/12</f>
        <v>2550.918333</v>
      </c>
      <c r="CY11" s="118"/>
      <c r="CZ11" s="118"/>
      <c r="DA11" s="118"/>
      <c r="DB11" s="118"/>
      <c r="DC11" s="118"/>
      <c r="DD11" s="118"/>
      <c r="DE11" s="118"/>
      <c r="DF11" s="118"/>
      <c r="DG11" s="118"/>
      <c r="DH11" s="118"/>
      <c r="DI11" s="118"/>
      <c r="DJ11" s="118"/>
      <c r="DK11" s="118"/>
      <c r="DL11" s="118"/>
      <c r="DM11" s="118"/>
      <c r="DN11" s="118"/>
      <c r="DO11" s="118"/>
      <c r="DP11" s="118"/>
    </row>
    <row r="12" ht="19.5" customHeight="1">
      <c r="A12" s="119" t="s">
        <v>91</v>
      </c>
      <c r="B12" s="120">
        <v>254010.0</v>
      </c>
      <c r="C12" s="71">
        <v>98880.0</v>
      </c>
      <c r="D12" s="71">
        <v>101008.0</v>
      </c>
      <c r="E12" s="71">
        <v>92733.0</v>
      </c>
      <c r="F12" s="71">
        <v>83435.0</v>
      </c>
      <c r="G12" s="71">
        <v>88100.0</v>
      </c>
      <c r="H12" s="71">
        <v>85296.0</v>
      </c>
      <c r="I12" s="121">
        <v>86668.0</v>
      </c>
      <c r="J12" s="62">
        <v>81555.0</v>
      </c>
      <c r="K12" s="62">
        <v>97010.0</v>
      </c>
      <c r="L12" s="62">
        <v>84290.0</v>
      </c>
      <c r="M12" s="121">
        <v>86668.0</v>
      </c>
      <c r="N12" s="112">
        <f t="shared" si="23"/>
        <v>1239653</v>
      </c>
      <c r="O12" s="74">
        <v>1324800.0</v>
      </c>
      <c r="P12" s="75">
        <f>60000+N12-O12</f>
        <v>-25147</v>
      </c>
      <c r="Q12" s="119" t="s">
        <v>91</v>
      </c>
      <c r="R12" s="68">
        <v>78325.0</v>
      </c>
      <c r="S12" s="68">
        <v>65716.0</v>
      </c>
      <c r="T12" s="122">
        <f t="shared" ref="T12:AC12" si="24">($AE$12-($R12+$S12))/($AC$1-$S1)</f>
        <v>55975.9</v>
      </c>
      <c r="U12" s="122">
        <f t="shared" si="24"/>
        <v>55975.9</v>
      </c>
      <c r="V12" s="122">
        <f t="shared" si="24"/>
        <v>55975.9</v>
      </c>
      <c r="W12" s="122">
        <f t="shared" si="24"/>
        <v>55975.9</v>
      </c>
      <c r="X12" s="122">
        <f t="shared" si="24"/>
        <v>55975.9</v>
      </c>
      <c r="Y12" s="122">
        <f t="shared" si="24"/>
        <v>55975.9</v>
      </c>
      <c r="Z12" s="122">
        <f t="shared" si="24"/>
        <v>55975.9</v>
      </c>
      <c r="AA12" s="122">
        <f t="shared" si="24"/>
        <v>55975.9</v>
      </c>
      <c r="AB12" s="122">
        <f t="shared" si="24"/>
        <v>55975.9</v>
      </c>
      <c r="AC12" s="122">
        <f t="shared" si="24"/>
        <v>55975.9</v>
      </c>
      <c r="AD12" s="115">
        <f t="shared" si="25"/>
        <v>703800</v>
      </c>
      <c r="AE12" s="116">
        <v>703800.0</v>
      </c>
      <c r="AF12" s="117">
        <f t="shared" si="26"/>
        <v>0.0000000001164153218</v>
      </c>
      <c r="AG12" s="119" t="s">
        <v>91</v>
      </c>
      <c r="AH12" s="122">
        <f t="shared" ref="AH12:AS12" si="27">138*(AH49+AH48)</f>
        <v>58650</v>
      </c>
      <c r="AI12" s="122">
        <f t="shared" si="27"/>
        <v>58650</v>
      </c>
      <c r="AJ12" s="122">
        <f t="shared" si="27"/>
        <v>58650</v>
      </c>
      <c r="AK12" s="122">
        <f t="shared" si="27"/>
        <v>58650</v>
      </c>
      <c r="AL12" s="122">
        <f t="shared" si="27"/>
        <v>58650</v>
      </c>
      <c r="AM12" s="122">
        <f t="shared" si="27"/>
        <v>58650</v>
      </c>
      <c r="AN12" s="122">
        <f t="shared" si="27"/>
        <v>58650</v>
      </c>
      <c r="AO12" s="122">
        <f t="shared" si="27"/>
        <v>58650</v>
      </c>
      <c r="AP12" s="122">
        <f t="shared" si="27"/>
        <v>58650</v>
      </c>
      <c r="AQ12" s="122">
        <f t="shared" si="27"/>
        <v>58650</v>
      </c>
      <c r="AR12" s="122">
        <f t="shared" si="27"/>
        <v>58650</v>
      </c>
      <c r="AS12" s="122">
        <f t="shared" si="27"/>
        <v>58650</v>
      </c>
      <c r="AT12" s="115">
        <f t="shared" si="28"/>
        <v>703800</v>
      </c>
      <c r="AU12" s="119" t="s">
        <v>91</v>
      </c>
      <c r="AV12" s="122">
        <f t="shared" ref="AV12:BG12" si="29">138*(AV49+AV48)</f>
        <v>65550</v>
      </c>
      <c r="AW12" s="122">
        <f t="shared" si="29"/>
        <v>65550</v>
      </c>
      <c r="AX12" s="122">
        <f t="shared" si="29"/>
        <v>65550</v>
      </c>
      <c r="AY12" s="122">
        <f t="shared" si="29"/>
        <v>65550</v>
      </c>
      <c r="AZ12" s="122">
        <f t="shared" si="29"/>
        <v>65550</v>
      </c>
      <c r="BA12" s="122">
        <f t="shared" si="29"/>
        <v>65550</v>
      </c>
      <c r="BB12" s="122">
        <f t="shared" si="29"/>
        <v>65550</v>
      </c>
      <c r="BC12" s="122">
        <f t="shared" si="29"/>
        <v>65550</v>
      </c>
      <c r="BD12" s="122">
        <f t="shared" si="29"/>
        <v>65550</v>
      </c>
      <c r="BE12" s="122">
        <f t="shared" si="29"/>
        <v>65550</v>
      </c>
      <c r="BF12" s="122">
        <f t="shared" si="29"/>
        <v>65550</v>
      </c>
      <c r="BG12" s="122">
        <f t="shared" si="29"/>
        <v>65550</v>
      </c>
      <c r="BH12" s="115">
        <f t="shared" si="30"/>
        <v>786600</v>
      </c>
      <c r="BI12" s="119" t="s">
        <v>91</v>
      </c>
      <c r="BJ12" s="122">
        <f t="shared" ref="BJ12:BU12" si="31">138*(BJ49+BJ48)</f>
        <v>58650</v>
      </c>
      <c r="BK12" s="122">
        <f t="shared" si="31"/>
        <v>58650</v>
      </c>
      <c r="BL12" s="122">
        <f t="shared" si="31"/>
        <v>58650</v>
      </c>
      <c r="BM12" s="122">
        <f t="shared" si="31"/>
        <v>58650</v>
      </c>
      <c r="BN12" s="122">
        <f t="shared" si="31"/>
        <v>58650</v>
      </c>
      <c r="BO12" s="122">
        <f t="shared" si="31"/>
        <v>58650</v>
      </c>
      <c r="BP12" s="122">
        <f t="shared" si="31"/>
        <v>58650</v>
      </c>
      <c r="BQ12" s="122">
        <f t="shared" si="31"/>
        <v>58650</v>
      </c>
      <c r="BR12" s="122">
        <f t="shared" si="31"/>
        <v>58650</v>
      </c>
      <c r="BS12" s="122">
        <f t="shared" si="31"/>
        <v>58650</v>
      </c>
      <c r="BT12" s="122">
        <f t="shared" si="31"/>
        <v>58650</v>
      </c>
      <c r="BU12" s="122">
        <f t="shared" si="31"/>
        <v>58650</v>
      </c>
      <c r="BV12" s="115">
        <f t="shared" si="32"/>
        <v>703800</v>
      </c>
      <c r="BW12" s="119" t="s">
        <v>91</v>
      </c>
      <c r="BX12" s="123">
        <f t="shared" ref="BX12:CX12" si="33">138*(BX48+BX49)*12</f>
        <v>703800</v>
      </c>
      <c r="BY12" s="123">
        <f t="shared" si="33"/>
        <v>828000</v>
      </c>
      <c r="BZ12" s="123">
        <f t="shared" si="33"/>
        <v>828000</v>
      </c>
      <c r="CA12" s="123">
        <f t="shared" si="33"/>
        <v>828000</v>
      </c>
      <c r="CB12" s="123">
        <f t="shared" si="33"/>
        <v>828000</v>
      </c>
      <c r="CC12" s="123">
        <f t="shared" si="33"/>
        <v>828000</v>
      </c>
      <c r="CD12" s="123">
        <f t="shared" si="33"/>
        <v>952200</v>
      </c>
      <c r="CE12" s="123">
        <f t="shared" si="33"/>
        <v>952200</v>
      </c>
      <c r="CF12" s="123">
        <f t="shared" si="33"/>
        <v>952200</v>
      </c>
      <c r="CG12" s="123">
        <f t="shared" si="33"/>
        <v>952200</v>
      </c>
      <c r="CH12" s="123">
        <f t="shared" si="33"/>
        <v>1117800</v>
      </c>
      <c r="CI12" s="123">
        <f t="shared" si="33"/>
        <v>1117800</v>
      </c>
      <c r="CJ12" s="123">
        <f t="shared" si="33"/>
        <v>1117800</v>
      </c>
      <c r="CK12" s="123">
        <f t="shared" si="33"/>
        <v>1117800</v>
      </c>
      <c r="CL12" s="123">
        <f t="shared" si="33"/>
        <v>1076400</v>
      </c>
      <c r="CM12" s="123">
        <f t="shared" si="33"/>
        <v>1076400</v>
      </c>
      <c r="CN12" s="123">
        <f t="shared" si="33"/>
        <v>1076400</v>
      </c>
      <c r="CO12" s="123">
        <f t="shared" si="33"/>
        <v>1076400</v>
      </c>
      <c r="CP12" s="123">
        <f t="shared" si="33"/>
        <v>1076400</v>
      </c>
      <c r="CQ12" s="123">
        <f t="shared" si="33"/>
        <v>1159200</v>
      </c>
      <c r="CR12" s="123">
        <f t="shared" si="33"/>
        <v>1159200</v>
      </c>
      <c r="CS12" s="123">
        <f t="shared" si="33"/>
        <v>1159200</v>
      </c>
      <c r="CT12" s="123">
        <f t="shared" si="33"/>
        <v>1324800</v>
      </c>
      <c r="CU12" s="123">
        <f t="shared" si="33"/>
        <v>1324800</v>
      </c>
      <c r="CV12" s="123">
        <f t="shared" si="33"/>
        <v>1324800</v>
      </c>
      <c r="CW12" s="123">
        <f t="shared" si="33"/>
        <v>1324800</v>
      </c>
      <c r="CX12" s="123">
        <f t="shared" si="33"/>
        <v>1407600</v>
      </c>
      <c r="CY12" s="118"/>
      <c r="CZ12" s="118"/>
      <c r="DA12" s="118"/>
      <c r="DB12" s="118"/>
      <c r="DC12" s="118"/>
      <c r="DD12" s="118"/>
      <c r="DE12" s="118"/>
      <c r="DF12" s="118"/>
      <c r="DG12" s="118"/>
      <c r="DH12" s="118"/>
      <c r="DI12" s="118"/>
      <c r="DJ12" s="118"/>
      <c r="DK12" s="118"/>
      <c r="DL12" s="118"/>
      <c r="DM12" s="118"/>
      <c r="DN12" s="118"/>
      <c r="DO12" s="118"/>
      <c r="DP12" s="118"/>
    </row>
    <row r="13" ht="18.75" customHeight="1">
      <c r="A13" s="119" t="s">
        <v>92</v>
      </c>
      <c r="B13" s="71">
        <v>0.0</v>
      </c>
      <c r="C13" s="71">
        <v>0.0</v>
      </c>
      <c r="D13" s="71">
        <v>2500.0</v>
      </c>
      <c r="E13" s="71">
        <v>2500.0</v>
      </c>
      <c r="F13" s="71">
        <v>2500.0</v>
      </c>
      <c r="G13" s="71">
        <v>2500.0</v>
      </c>
      <c r="H13" s="71">
        <v>2500.0</v>
      </c>
      <c r="I13" s="124">
        <v>2500.0</v>
      </c>
      <c r="J13" s="124">
        <v>2500.0</v>
      </c>
      <c r="K13" s="124">
        <v>2500.0</v>
      </c>
      <c r="L13" s="124">
        <v>2500.0</v>
      </c>
      <c r="M13" s="124">
        <v>2500.0</v>
      </c>
      <c r="N13" s="112">
        <f t="shared" si="23"/>
        <v>25000</v>
      </c>
      <c r="O13" s="74">
        <v>30000.0</v>
      </c>
      <c r="P13" s="75">
        <f t="shared" ref="P13:P15" si="38">N13-O13</f>
        <v>-5000</v>
      </c>
      <c r="Q13" s="119" t="s">
        <v>92</v>
      </c>
      <c r="R13" s="68">
        <v>2500.0</v>
      </c>
      <c r="S13" s="68">
        <f t="shared" ref="S13:AC13" si="34">R13</f>
        <v>2500</v>
      </c>
      <c r="T13" s="125">
        <f t="shared" si="34"/>
        <v>2500</v>
      </c>
      <c r="U13" s="125">
        <f t="shared" si="34"/>
        <v>2500</v>
      </c>
      <c r="V13" s="125">
        <f t="shared" si="34"/>
        <v>2500</v>
      </c>
      <c r="W13" s="125">
        <f t="shared" si="34"/>
        <v>2500</v>
      </c>
      <c r="X13" s="125">
        <f t="shared" si="34"/>
        <v>2500</v>
      </c>
      <c r="Y13" s="125">
        <f t="shared" si="34"/>
        <v>2500</v>
      </c>
      <c r="Z13" s="125">
        <f t="shared" si="34"/>
        <v>2500</v>
      </c>
      <c r="AA13" s="125">
        <f t="shared" si="34"/>
        <v>2500</v>
      </c>
      <c r="AB13" s="125">
        <f t="shared" si="34"/>
        <v>2500</v>
      </c>
      <c r="AC13" s="125">
        <f t="shared" si="34"/>
        <v>2500</v>
      </c>
      <c r="AD13" s="115">
        <f t="shared" si="25"/>
        <v>30000</v>
      </c>
      <c r="AE13" s="116">
        <v>30000.0</v>
      </c>
      <c r="AF13" s="117">
        <f t="shared" si="26"/>
        <v>0</v>
      </c>
      <c r="AG13" s="119" t="s">
        <v>92</v>
      </c>
      <c r="AH13" s="125">
        <f>AC13*(1+(Inflation!$F$6))</f>
        <v>2562.5</v>
      </c>
      <c r="AI13" s="125">
        <f t="shared" ref="AI13:AS13" si="35">AH13</f>
        <v>2562.5</v>
      </c>
      <c r="AJ13" s="125">
        <f t="shared" si="35"/>
        <v>2562.5</v>
      </c>
      <c r="AK13" s="125">
        <f t="shared" si="35"/>
        <v>2562.5</v>
      </c>
      <c r="AL13" s="125">
        <f t="shared" si="35"/>
        <v>2562.5</v>
      </c>
      <c r="AM13" s="125">
        <f t="shared" si="35"/>
        <v>2562.5</v>
      </c>
      <c r="AN13" s="125">
        <f t="shared" si="35"/>
        <v>2562.5</v>
      </c>
      <c r="AO13" s="125">
        <f t="shared" si="35"/>
        <v>2562.5</v>
      </c>
      <c r="AP13" s="125">
        <f t="shared" si="35"/>
        <v>2562.5</v>
      </c>
      <c r="AQ13" s="125">
        <f t="shared" si="35"/>
        <v>2562.5</v>
      </c>
      <c r="AR13" s="125">
        <f t="shared" si="35"/>
        <v>2562.5</v>
      </c>
      <c r="AS13" s="125">
        <f t="shared" si="35"/>
        <v>2562.5</v>
      </c>
      <c r="AT13" s="115">
        <f t="shared" si="28"/>
        <v>30750</v>
      </c>
      <c r="AU13" s="119" t="s">
        <v>92</v>
      </c>
      <c r="AV13" s="125">
        <f>AS13*(1+(Inflation!$F$6))</f>
        <v>2626.5625</v>
      </c>
      <c r="AW13" s="125">
        <f t="shared" ref="AW13:BG13" si="36">AV13</f>
        <v>2626.5625</v>
      </c>
      <c r="AX13" s="125">
        <f t="shared" si="36"/>
        <v>2626.5625</v>
      </c>
      <c r="AY13" s="125">
        <f t="shared" si="36"/>
        <v>2626.5625</v>
      </c>
      <c r="AZ13" s="125">
        <f t="shared" si="36"/>
        <v>2626.5625</v>
      </c>
      <c r="BA13" s="125">
        <f t="shared" si="36"/>
        <v>2626.5625</v>
      </c>
      <c r="BB13" s="125">
        <f t="shared" si="36"/>
        <v>2626.5625</v>
      </c>
      <c r="BC13" s="125">
        <f t="shared" si="36"/>
        <v>2626.5625</v>
      </c>
      <c r="BD13" s="125">
        <f t="shared" si="36"/>
        <v>2626.5625</v>
      </c>
      <c r="BE13" s="125">
        <f t="shared" si="36"/>
        <v>2626.5625</v>
      </c>
      <c r="BF13" s="125">
        <f t="shared" si="36"/>
        <v>2626.5625</v>
      </c>
      <c r="BG13" s="125">
        <f t="shared" si="36"/>
        <v>2626.5625</v>
      </c>
      <c r="BH13" s="115">
        <f t="shared" si="30"/>
        <v>31518.75</v>
      </c>
      <c r="BI13" s="119" t="s">
        <v>92</v>
      </c>
      <c r="BJ13" s="125">
        <f>BG13*(1+(Inflation!$F$6))</f>
        <v>2692.226563</v>
      </c>
      <c r="BK13" s="125">
        <f t="shared" ref="BK13:BU13" si="37">BJ13</f>
        <v>2692.226563</v>
      </c>
      <c r="BL13" s="125">
        <f t="shared" si="37"/>
        <v>2692.226563</v>
      </c>
      <c r="BM13" s="125">
        <f t="shared" si="37"/>
        <v>2692.226563</v>
      </c>
      <c r="BN13" s="125">
        <f t="shared" si="37"/>
        <v>2692.226563</v>
      </c>
      <c r="BO13" s="125">
        <f t="shared" si="37"/>
        <v>2692.226563</v>
      </c>
      <c r="BP13" s="125">
        <f t="shared" si="37"/>
        <v>2692.226563</v>
      </c>
      <c r="BQ13" s="125">
        <f t="shared" si="37"/>
        <v>2692.226563</v>
      </c>
      <c r="BR13" s="125">
        <f t="shared" si="37"/>
        <v>2692.226563</v>
      </c>
      <c r="BS13" s="125">
        <f t="shared" si="37"/>
        <v>2692.226563</v>
      </c>
      <c r="BT13" s="125">
        <f t="shared" si="37"/>
        <v>2692.226563</v>
      </c>
      <c r="BU13" s="125">
        <f t="shared" si="37"/>
        <v>2692.226563</v>
      </c>
      <c r="BV13" s="115">
        <f t="shared" si="32"/>
        <v>32306.71875</v>
      </c>
      <c r="BW13" s="119" t="s">
        <v>92</v>
      </c>
      <c r="BX13" s="123">
        <f>BV13*(1+Inflation!$I$5)</f>
        <v>33114.38672</v>
      </c>
      <c r="BY13" s="123">
        <f>BX13*(1+Inflation!$I$5)</f>
        <v>33942.24639</v>
      </c>
      <c r="BZ13" s="123">
        <f>BY13*(1+Inflation!$I$5)</f>
        <v>34790.80255</v>
      </c>
      <c r="CA13" s="123">
        <f>BZ13*(1+Inflation!$I$5)</f>
        <v>35660.57261</v>
      </c>
      <c r="CB13" s="123">
        <f>CA13*(1+Inflation!$I$5)</f>
        <v>36552.08693</v>
      </c>
      <c r="CC13" s="123">
        <f>CB13*(1+Inflation!$I$5)</f>
        <v>37465.8891</v>
      </c>
      <c r="CD13" s="123">
        <f>CC13*(1+Inflation!$I$5)</f>
        <v>38402.53633</v>
      </c>
      <c r="CE13" s="123">
        <f>CD13*(1+Inflation!$I$5)</f>
        <v>39362.59973</v>
      </c>
      <c r="CF13" s="123">
        <f>CE13*(1+Inflation!$I$5)</f>
        <v>40346.66473</v>
      </c>
      <c r="CG13" s="123">
        <f>CF13*(1+Inflation!$I$5)</f>
        <v>41355.33135</v>
      </c>
      <c r="CH13" s="123">
        <f>CG13*(1+Inflation!$I$5)</f>
        <v>42389.21463</v>
      </c>
      <c r="CI13" s="123">
        <f>CH13*(1+Inflation!$I$5)</f>
        <v>43448.94499</v>
      </c>
      <c r="CJ13" s="123">
        <f>CI13*(1+Inflation!$I$5)</f>
        <v>44535.16862</v>
      </c>
      <c r="CK13" s="123">
        <f>CJ13*(1+Inflation!$I$5)</f>
        <v>45648.54784</v>
      </c>
      <c r="CL13" s="123">
        <f>CK13*(1+Inflation!$I$5)</f>
        <v>46789.76153</v>
      </c>
      <c r="CM13" s="123">
        <f>CL13*(1+Inflation!$I$5)</f>
        <v>47959.50557</v>
      </c>
      <c r="CN13" s="123">
        <f>CM13*(1+Inflation!$I$5)</f>
        <v>49158.49321</v>
      </c>
      <c r="CO13" s="123">
        <f>CN13*(1+Inflation!$I$5)</f>
        <v>50387.45554</v>
      </c>
      <c r="CP13" s="123">
        <f>CO13*(1+Inflation!$I$5)</f>
        <v>51647.14193</v>
      </c>
      <c r="CQ13" s="123">
        <f>CP13*(1+Inflation!$I$5)</f>
        <v>52938.32048</v>
      </c>
      <c r="CR13" s="123">
        <f>CQ13*(1+Inflation!$I$5)</f>
        <v>54261.77849</v>
      </c>
      <c r="CS13" s="123">
        <f>CR13*(1+Inflation!$I$5)</f>
        <v>55618.32295</v>
      </c>
      <c r="CT13" s="123">
        <f>CS13*(1+Inflation!$I$5)</f>
        <v>57008.78102</v>
      </c>
      <c r="CU13" s="123">
        <f>CT13*(1+Inflation!$I$5)</f>
        <v>58434.00055</v>
      </c>
      <c r="CV13" s="123">
        <f>CU13*(1+Inflation!$I$5)</f>
        <v>59894.85056</v>
      </c>
      <c r="CW13" s="123">
        <f>CV13*(1+Inflation!$I$5)</f>
        <v>61392.22183</v>
      </c>
      <c r="CX13" s="123">
        <f>CW13*(1+Inflation!$I$5)</f>
        <v>62927.02737</v>
      </c>
      <c r="CY13" s="118"/>
      <c r="CZ13" s="118"/>
      <c r="DA13" s="118"/>
      <c r="DB13" s="118"/>
      <c r="DC13" s="118"/>
      <c r="DD13" s="118"/>
      <c r="DE13" s="118"/>
      <c r="DF13" s="118"/>
      <c r="DG13" s="118"/>
      <c r="DH13" s="118"/>
      <c r="DI13" s="118"/>
      <c r="DJ13" s="118"/>
      <c r="DK13" s="118"/>
      <c r="DL13" s="118"/>
      <c r="DM13" s="118"/>
      <c r="DN13" s="118"/>
      <c r="DO13" s="118"/>
      <c r="DP13" s="118"/>
    </row>
    <row r="14" ht="18.75" customHeight="1">
      <c r="A14" s="119" t="s">
        <v>93</v>
      </c>
      <c r="B14" s="71">
        <v>0.0</v>
      </c>
      <c r="C14" s="71">
        <v>0.0</v>
      </c>
      <c r="D14" s="71">
        <v>0.0</v>
      </c>
      <c r="E14" s="71">
        <v>0.0</v>
      </c>
      <c r="F14" s="71">
        <v>0.0</v>
      </c>
      <c r="G14" s="71">
        <v>0.0</v>
      </c>
      <c r="H14" s="71">
        <v>0.0</v>
      </c>
      <c r="I14" s="71">
        <v>0.0</v>
      </c>
      <c r="J14" s="71">
        <v>0.0</v>
      </c>
      <c r="K14" s="71">
        <v>0.0</v>
      </c>
      <c r="L14" s="71">
        <v>0.0</v>
      </c>
      <c r="M14" s="71">
        <v>0.0</v>
      </c>
      <c r="N14" s="112">
        <f t="shared" si="23"/>
        <v>0</v>
      </c>
      <c r="O14" s="74">
        <v>2100.0</v>
      </c>
      <c r="P14" s="75">
        <f t="shared" si="38"/>
        <v>-2100</v>
      </c>
      <c r="Q14" s="119" t="s">
        <v>93</v>
      </c>
      <c r="R14" s="126">
        <v>175.0</v>
      </c>
      <c r="S14" s="125">
        <f t="shared" ref="S14:AC14" si="39">R14</f>
        <v>175</v>
      </c>
      <c r="T14" s="125">
        <f t="shared" si="39"/>
        <v>175</v>
      </c>
      <c r="U14" s="125">
        <f t="shared" si="39"/>
        <v>175</v>
      </c>
      <c r="V14" s="125">
        <f t="shared" si="39"/>
        <v>175</v>
      </c>
      <c r="W14" s="125">
        <f t="shared" si="39"/>
        <v>175</v>
      </c>
      <c r="X14" s="125">
        <f t="shared" si="39"/>
        <v>175</v>
      </c>
      <c r="Y14" s="125">
        <f t="shared" si="39"/>
        <v>175</v>
      </c>
      <c r="Z14" s="125">
        <f t="shared" si="39"/>
        <v>175</v>
      </c>
      <c r="AA14" s="125">
        <f t="shared" si="39"/>
        <v>175</v>
      </c>
      <c r="AB14" s="125">
        <f t="shared" si="39"/>
        <v>175</v>
      </c>
      <c r="AC14" s="125">
        <f t="shared" si="39"/>
        <v>175</v>
      </c>
      <c r="AD14" s="115">
        <f t="shared" si="25"/>
        <v>2100</v>
      </c>
      <c r="AE14" s="116">
        <v>2100.0</v>
      </c>
      <c r="AF14" s="117">
        <f t="shared" si="26"/>
        <v>0</v>
      </c>
      <c r="AG14" s="119" t="s">
        <v>93</v>
      </c>
      <c r="AH14" s="125">
        <f>AC14*(1+(Inflation!$F$6))</f>
        <v>179.375</v>
      </c>
      <c r="AI14" s="125">
        <f t="shared" ref="AI14:AS14" si="40">AH14</f>
        <v>179.375</v>
      </c>
      <c r="AJ14" s="125">
        <f t="shared" si="40"/>
        <v>179.375</v>
      </c>
      <c r="AK14" s="125">
        <f t="shared" si="40"/>
        <v>179.375</v>
      </c>
      <c r="AL14" s="125">
        <f t="shared" si="40"/>
        <v>179.375</v>
      </c>
      <c r="AM14" s="125">
        <f t="shared" si="40"/>
        <v>179.375</v>
      </c>
      <c r="AN14" s="125">
        <f t="shared" si="40"/>
        <v>179.375</v>
      </c>
      <c r="AO14" s="125">
        <f t="shared" si="40"/>
        <v>179.375</v>
      </c>
      <c r="AP14" s="125">
        <f t="shared" si="40"/>
        <v>179.375</v>
      </c>
      <c r="AQ14" s="125">
        <f t="shared" si="40"/>
        <v>179.375</v>
      </c>
      <c r="AR14" s="125">
        <f t="shared" si="40"/>
        <v>179.375</v>
      </c>
      <c r="AS14" s="125">
        <f t="shared" si="40"/>
        <v>179.375</v>
      </c>
      <c r="AT14" s="115">
        <f t="shared" si="28"/>
        <v>2152.5</v>
      </c>
      <c r="AU14" s="119" t="s">
        <v>93</v>
      </c>
      <c r="AV14" s="125">
        <f>AS14*(1+(Inflation!$F$6))</f>
        <v>183.859375</v>
      </c>
      <c r="AW14" s="125">
        <f t="shared" ref="AW14:BG14" si="41">AV14</f>
        <v>183.859375</v>
      </c>
      <c r="AX14" s="125">
        <f t="shared" si="41"/>
        <v>183.859375</v>
      </c>
      <c r="AY14" s="125">
        <f t="shared" si="41"/>
        <v>183.859375</v>
      </c>
      <c r="AZ14" s="125">
        <f t="shared" si="41"/>
        <v>183.859375</v>
      </c>
      <c r="BA14" s="125">
        <f t="shared" si="41"/>
        <v>183.859375</v>
      </c>
      <c r="BB14" s="125">
        <f t="shared" si="41"/>
        <v>183.859375</v>
      </c>
      <c r="BC14" s="125">
        <f t="shared" si="41"/>
        <v>183.859375</v>
      </c>
      <c r="BD14" s="125">
        <f t="shared" si="41"/>
        <v>183.859375</v>
      </c>
      <c r="BE14" s="125">
        <f t="shared" si="41"/>
        <v>183.859375</v>
      </c>
      <c r="BF14" s="125">
        <f t="shared" si="41"/>
        <v>183.859375</v>
      </c>
      <c r="BG14" s="125">
        <f t="shared" si="41"/>
        <v>183.859375</v>
      </c>
      <c r="BH14" s="115">
        <f t="shared" si="30"/>
        <v>2206.3125</v>
      </c>
      <c r="BI14" s="119" t="s">
        <v>93</v>
      </c>
      <c r="BJ14" s="125">
        <f>BG14*(1+(Inflation!$F$6))</f>
        <v>188.4558594</v>
      </c>
      <c r="BK14" s="125">
        <f t="shared" ref="BK14:BU14" si="42">BJ14</f>
        <v>188.4558594</v>
      </c>
      <c r="BL14" s="125">
        <f t="shared" si="42"/>
        <v>188.4558594</v>
      </c>
      <c r="BM14" s="125">
        <f t="shared" si="42"/>
        <v>188.4558594</v>
      </c>
      <c r="BN14" s="125">
        <f t="shared" si="42"/>
        <v>188.4558594</v>
      </c>
      <c r="BO14" s="125">
        <f t="shared" si="42"/>
        <v>188.4558594</v>
      </c>
      <c r="BP14" s="125">
        <f t="shared" si="42"/>
        <v>188.4558594</v>
      </c>
      <c r="BQ14" s="125">
        <f t="shared" si="42"/>
        <v>188.4558594</v>
      </c>
      <c r="BR14" s="125">
        <f t="shared" si="42"/>
        <v>188.4558594</v>
      </c>
      <c r="BS14" s="125">
        <f t="shared" si="42"/>
        <v>188.4558594</v>
      </c>
      <c r="BT14" s="125">
        <f t="shared" si="42"/>
        <v>188.4558594</v>
      </c>
      <c r="BU14" s="125">
        <f t="shared" si="42"/>
        <v>188.4558594</v>
      </c>
      <c r="BV14" s="115">
        <f t="shared" si="32"/>
        <v>2261.470313</v>
      </c>
      <c r="BW14" s="119" t="s">
        <v>93</v>
      </c>
      <c r="BX14" s="123">
        <f>BV14*(1+Inflation!$I$5)</f>
        <v>2318.00707</v>
      </c>
      <c r="BY14" s="123">
        <f>BX14*(1+Inflation!$I$5)</f>
        <v>2375.957247</v>
      </c>
      <c r="BZ14" s="123">
        <f>BY14*(1+Inflation!$I$5)</f>
        <v>2435.356178</v>
      </c>
      <c r="CA14" s="123">
        <f>BZ14*(1+Inflation!$I$5)</f>
        <v>2496.240083</v>
      </c>
      <c r="CB14" s="123">
        <f>CA14*(1+Inflation!$I$5)</f>
        <v>2558.646085</v>
      </c>
      <c r="CC14" s="123">
        <f>CB14*(1+Inflation!$I$5)</f>
        <v>2622.612237</v>
      </c>
      <c r="CD14" s="123">
        <f>CC14*(1+Inflation!$I$5)</f>
        <v>2688.177543</v>
      </c>
      <c r="CE14" s="123">
        <f>CD14*(1+Inflation!$I$5)</f>
        <v>2755.381981</v>
      </c>
      <c r="CF14" s="123">
        <f>CE14*(1+Inflation!$I$5)</f>
        <v>2824.266531</v>
      </c>
      <c r="CG14" s="123">
        <f>CF14*(1+Inflation!$I$5)</f>
        <v>2894.873194</v>
      </c>
      <c r="CH14" s="123">
        <f>CG14*(1+Inflation!$I$5)</f>
        <v>2967.245024</v>
      </c>
      <c r="CI14" s="123">
        <f>CH14*(1+Inflation!$I$5)</f>
        <v>3041.42615</v>
      </c>
      <c r="CJ14" s="123">
        <f>CI14*(1+Inflation!$I$5)</f>
        <v>3117.461803</v>
      </c>
      <c r="CK14" s="123">
        <f>CJ14*(1+Inflation!$I$5)</f>
        <v>3195.398348</v>
      </c>
      <c r="CL14" s="123">
        <f>CK14*(1+Inflation!$I$5)</f>
        <v>3275.283307</v>
      </c>
      <c r="CM14" s="123">
        <f>CL14*(1+Inflation!$I$5)</f>
        <v>3357.16539</v>
      </c>
      <c r="CN14" s="123">
        <f>CM14*(1+Inflation!$I$5)</f>
        <v>3441.094525</v>
      </c>
      <c r="CO14" s="123">
        <f>CN14*(1+Inflation!$I$5)</f>
        <v>3527.121888</v>
      </c>
      <c r="CP14" s="123">
        <f>CO14*(1+Inflation!$I$5)</f>
        <v>3615.299935</v>
      </c>
      <c r="CQ14" s="123">
        <f>CP14*(1+Inflation!$I$5)</f>
        <v>3705.682433</v>
      </c>
      <c r="CR14" s="123">
        <f>CQ14*(1+Inflation!$I$5)</f>
        <v>3798.324494</v>
      </c>
      <c r="CS14" s="123">
        <f>CR14*(1+Inflation!$I$5)</f>
        <v>3893.282606</v>
      </c>
      <c r="CT14" s="123">
        <f>CS14*(1+Inflation!$I$5)</f>
        <v>3990.614672</v>
      </c>
      <c r="CU14" s="123">
        <f>CT14*(1+Inflation!$I$5)</f>
        <v>4090.380038</v>
      </c>
      <c r="CV14" s="123">
        <f>CU14*(1+Inflation!$I$5)</f>
        <v>4192.639539</v>
      </c>
      <c r="CW14" s="123">
        <f>CV14*(1+Inflation!$I$5)</f>
        <v>4297.455528</v>
      </c>
      <c r="CX14" s="123">
        <f>CW14*(1+Inflation!$I$5)</f>
        <v>4404.891916</v>
      </c>
      <c r="CY14" s="118"/>
      <c r="CZ14" s="118"/>
      <c r="DA14" s="118"/>
      <c r="DB14" s="118"/>
      <c r="DC14" s="118"/>
      <c r="DD14" s="118"/>
      <c r="DE14" s="118"/>
      <c r="DF14" s="118"/>
      <c r="DG14" s="118"/>
      <c r="DH14" s="118"/>
      <c r="DI14" s="118"/>
      <c r="DJ14" s="118"/>
      <c r="DK14" s="118"/>
      <c r="DL14" s="118"/>
      <c r="DM14" s="118"/>
      <c r="DN14" s="118"/>
      <c r="DO14" s="118"/>
      <c r="DP14" s="118"/>
    </row>
    <row r="15" ht="18.75" customHeight="1">
      <c r="A15" s="119" t="s">
        <v>94</v>
      </c>
      <c r="B15" s="71">
        <v>0.0</v>
      </c>
      <c r="C15" s="71">
        <v>0.0</v>
      </c>
      <c r="D15" s="71">
        <v>0.0</v>
      </c>
      <c r="E15" s="71">
        <v>0.0</v>
      </c>
      <c r="F15" s="71">
        <v>0.0</v>
      </c>
      <c r="G15" s="71">
        <v>0.0</v>
      </c>
      <c r="H15" s="71">
        <v>71.0</v>
      </c>
      <c r="I15" s="71">
        <v>0.0</v>
      </c>
      <c r="J15" s="71">
        <v>0.0</v>
      </c>
      <c r="K15" s="71">
        <v>0.0</v>
      </c>
      <c r="L15" s="71">
        <v>0.0</v>
      </c>
      <c r="M15" s="71">
        <v>0.0</v>
      </c>
      <c r="N15" s="112">
        <f t="shared" si="23"/>
        <v>71</v>
      </c>
      <c r="O15" s="74"/>
      <c r="P15" s="75">
        <f t="shared" si="38"/>
        <v>71</v>
      </c>
      <c r="Q15" s="119" t="s">
        <v>94</v>
      </c>
      <c r="R15" s="125">
        <f>M15*(1+(Inflation!$F$6))</f>
        <v>0</v>
      </c>
      <c r="S15" s="125">
        <f t="shared" ref="S15:AB15" si="43">R15</f>
        <v>0</v>
      </c>
      <c r="T15" s="125">
        <f t="shared" si="43"/>
        <v>0</v>
      </c>
      <c r="U15" s="125">
        <f t="shared" si="43"/>
        <v>0</v>
      </c>
      <c r="V15" s="125">
        <f t="shared" si="43"/>
        <v>0</v>
      </c>
      <c r="W15" s="125">
        <f t="shared" si="43"/>
        <v>0</v>
      </c>
      <c r="X15" s="125">
        <f t="shared" si="43"/>
        <v>0</v>
      </c>
      <c r="Y15" s="125">
        <f t="shared" si="43"/>
        <v>0</v>
      </c>
      <c r="Z15" s="125">
        <f t="shared" si="43"/>
        <v>0</v>
      </c>
      <c r="AA15" s="125">
        <f t="shared" si="43"/>
        <v>0</v>
      </c>
      <c r="AB15" s="125">
        <f t="shared" si="43"/>
        <v>0</v>
      </c>
      <c r="AC15" s="126">
        <v>0.0</v>
      </c>
      <c r="AD15" s="115">
        <f t="shared" si="25"/>
        <v>0</v>
      </c>
      <c r="AE15" s="116">
        <v>0.0</v>
      </c>
      <c r="AF15" s="117">
        <f t="shared" si="26"/>
        <v>0</v>
      </c>
      <c r="AG15" s="119" t="s">
        <v>94</v>
      </c>
      <c r="AH15" s="125">
        <f>AC15*(1+(Inflation!$F$6))</f>
        <v>0</v>
      </c>
      <c r="AI15" s="125">
        <f>AH15</f>
        <v>0</v>
      </c>
      <c r="AJ15" s="126"/>
      <c r="AK15" s="125"/>
      <c r="AL15" s="125"/>
      <c r="AM15" s="125"/>
      <c r="AN15" s="125"/>
      <c r="AO15" s="125"/>
      <c r="AP15" s="125"/>
      <c r="AQ15" s="125"/>
      <c r="AR15" s="125"/>
      <c r="AS15" s="125"/>
      <c r="AT15" s="115">
        <f t="shared" si="28"/>
        <v>0</v>
      </c>
      <c r="AU15" s="119" t="s">
        <v>94</v>
      </c>
      <c r="AV15" s="125">
        <f>AS15*(1+(Inflation!$F$6))</f>
        <v>0</v>
      </c>
      <c r="AW15" s="125">
        <f t="shared" ref="AW15:BG15" si="44">AV15</f>
        <v>0</v>
      </c>
      <c r="AX15" s="125">
        <f t="shared" si="44"/>
        <v>0</v>
      </c>
      <c r="AY15" s="125">
        <f t="shared" si="44"/>
        <v>0</v>
      </c>
      <c r="AZ15" s="125">
        <f t="shared" si="44"/>
        <v>0</v>
      </c>
      <c r="BA15" s="125">
        <f t="shared" si="44"/>
        <v>0</v>
      </c>
      <c r="BB15" s="125">
        <f t="shared" si="44"/>
        <v>0</v>
      </c>
      <c r="BC15" s="125">
        <f t="shared" si="44"/>
        <v>0</v>
      </c>
      <c r="BD15" s="125">
        <f t="shared" si="44"/>
        <v>0</v>
      </c>
      <c r="BE15" s="125">
        <f t="shared" si="44"/>
        <v>0</v>
      </c>
      <c r="BF15" s="125">
        <f t="shared" si="44"/>
        <v>0</v>
      </c>
      <c r="BG15" s="125">
        <f t="shared" si="44"/>
        <v>0</v>
      </c>
      <c r="BH15" s="115">
        <f t="shared" si="30"/>
        <v>0</v>
      </c>
      <c r="BI15" s="119" t="s">
        <v>94</v>
      </c>
      <c r="BJ15" s="125">
        <f>BG15*(1+(Inflation!$F$6))</f>
        <v>0</v>
      </c>
      <c r="BK15" s="125">
        <f t="shared" ref="BK15:BU15" si="45">BJ15</f>
        <v>0</v>
      </c>
      <c r="BL15" s="125">
        <f t="shared" si="45"/>
        <v>0</v>
      </c>
      <c r="BM15" s="125">
        <f t="shared" si="45"/>
        <v>0</v>
      </c>
      <c r="BN15" s="125">
        <f t="shared" si="45"/>
        <v>0</v>
      </c>
      <c r="BO15" s="125">
        <f t="shared" si="45"/>
        <v>0</v>
      </c>
      <c r="BP15" s="125">
        <f t="shared" si="45"/>
        <v>0</v>
      </c>
      <c r="BQ15" s="125">
        <f t="shared" si="45"/>
        <v>0</v>
      </c>
      <c r="BR15" s="125">
        <f t="shared" si="45"/>
        <v>0</v>
      </c>
      <c r="BS15" s="125">
        <f t="shared" si="45"/>
        <v>0</v>
      </c>
      <c r="BT15" s="125">
        <f t="shared" si="45"/>
        <v>0</v>
      </c>
      <c r="BU15" s="125">
        <f t="shared" si="45"/>
        <v>0</v>
      </c>
      <c r="BV15" s="115">
        <f t="shared" si="32"/>
        <v>0</v>
      </c>
      <c r="BW15" s="119" t="s">
        <v>94</v>
      </c>
      <c r="BX15" s="123">
        <f>BV15*(1+Inflation!$I$5)</f>
        <v>0</v>
      </c>
      <c r="BY15" s="123">
        <f>BX15*(1+Inflation!$I$5)</f>
        <v>0</v>
      </c>
      <c r="BZ15" s="123">
        <f>BY15*(1+Inflation!$I$5)</f>
        <v>0</v>
      </c>
      <c r="CA15" s="123">
        <f>BZ15*(1+Inflation!$I$5)</f>
        <v>0</v>
      </c>
      <c r="CB15" s="123">
        <f>CA15*(1+Inflation!$I$5)</f>
        <v>0</v>
      </c>
      <c r="CC15" s="123">
        <f>CB15*(1+Inflation!$I$5)</f>
        <v>0</v>
      </c>
      <c r="CD15" s="123">
        <f>CC15*(1+Inflation!$I$5)</f>
        <v>0</v>
      </c>
      <c r="CE15" s="123">
        <f>CD15*(1+Inflation!$I$5)</f>
        <v>0</v>
      </c>
      <c r="CF15" s="123">
        <f>CE15*(1+Inflation!$I$5)</f>
        <v>0</v>
      </c>
      <c r="CG15" s="123">
        <f>CF15*(1+Inflation!$I$5)</f>
        <v>0</v>
      </c>
      <c r="CH15" s="123">
        <f>CG15*(1+Inflation!$I$5)</f>
        <v>0</v>
      </c>
      <c r="CI15" s="123">
        <f>CH15*(1+Inflation!$I$5)</f>
        <v>0</v>
      </c>
      <c r="CJ15" s="123">
        <f>CI15*(1+Inflation!$I$5)</f>
        <v>0</v>
      </c>
      <c r="CK15" s="123">
        <f>CJ15*(1+Inflation!$I$5)</f>
        <v>0</v>
      </c>
      <c r="CL15" s="123">
        <f>CK15*(1+Inflation!$I$5)</f>
        <v>0</v>
      </c>
      <c r="CM15" s="123">
        <f>CL15*(1+Inflation!$I$5)</f>
        <v>0</v>
      </c>
      <c r="CN15" s="123">
        <f>CM15*(1+Inflation!$I$5)</f>
        <v>0</v>
      </c>
      <c r="CO15" s="123">
        <f>CN15*(1+Inflation!$I$5)</f>
        <v>0</v>
      </c>
      <c r="CP15" s="123">
        <f>CO15*(1+Inflation!$I$5)</f>
        <v>0</v>
      </c>
      <c r="CQ15" s="123">
        <f>CP15*(1+Inflation!$I$5)</f>
        <v>0</v>
      </c>
      <c r="CR15" s="123">
        <f>CQ15*(1+Inflation!$I$5)</f>
        <v>0</v>
      </c>
      <c r="CS15" s="123">
        <f>CR15*(1+Inflation!$I$5)</f>
        <v>0</v>
      </c>
      <c r="CT15" s="123">
        <f>CS15*(1+Inflation!$I$5)</f>
        <v>0</v>
      </c>
      <c r="CU15" s="123">
        <f>CT15*(1+Inflation!$I$5)</f>
        <v>0</v>
      </c>
      <c r="CV15" s="123">
        <f>CU15*(1+Inflation!$I$5)</f>
        <v>0</v>
      </c>
      <c r="CW15" s="123">
        <f>CV15*(1+Inflation!$I$5)</f>
        <v>0</v>
      </c>
      <c r="CX15" s="123">
        <f>CW15*(1+Inflation!$I$5)</f>
        <v>0</v>
      </c>
      <c r="CY15" s="118"/>
      <c r="CZ15" s="118"/>
      <c r="DA15" s="118"/>
      <c r="DB15" s="118"/>
      <c r="DC15" s="118"/>
      <c r="DD15" s="118"/>
      <c r="DE15" s="118"/>
      <c r="DF15" s="118"/>
      <c r="DG15" s="118"/>
      <c r="DH15" s="118"/>
      <c r="DI15" s="118"/>
      <c r="DJ15" s="118"/>
      <c r="DK15" s="118"/>
      <c r="DL15" s="118"/>
      <c r="DM15" s="118"/>
      <c r="DN15" s="118"/>
      <c r="DO15" s="118"/>
      <c r="DP15" s="118"/>
    </row>
    <row r="16" ht="18.75" customHeight="1">
      <c r="A16" s="127" t="s">
        <v>95</v>
      </c>
      <c r="B16" s="128">
        <f t="shared" ref="B16:M16" si="46">SUM(B11:B15)</f>
        <v>254020</v>
      </c>
      <c r="C16" s="128">
        <f t="shared" si="46"/>
        <v>98898</v>
      </c>
      <c r="D16" s="129">
        <f t="shared" si="46"/>
        <v>103531</v>
      </c>
      <c r="E16" s="128">
        <f t="shared" si="46"/>
        <v>95258</v>
      </c>
      <c r="F16" s="128">
        <f t="shared" si="46"/>
        <v>85961</v>
      </c>
      <c r="G16" s="128">
        <f t="shared" si="46"/>
        <v>90624</v>
      </c>
      <c r="H16" s="128">
        <f t="shared" si="46"/>
        <v>88553</v>
      </c>
      <c r="I16" s="128">
        <f t="shared" si="46"/>
        <v>90136.07188</v>
      </c>
      <c r="J16" s="128">
        <f t="shared" si="46"/>
        <v>85174</v>
      </c>
      <c r="K16" s="128">
        <f t="shared" si="46"/>
        <v>100147</v>
      </c>
      <c r="L16" s="128">
        <f t="shared" si="46"/>
        <v>87604</v>
      </c>
      <c r="M16" s="128">
        <f t="shared" si="46"/>
        <v>89916.83938</v>
      </c>
      <c r="N16" s="130">
        <f t="shared" si="23"/>
        <v>1269822.911</v>
      </c>
      <c r="O16" s="131">
        <f>SUM(O11:O15)</f>
        <v>1360908</v>
      </c>
      <c r="P16" s="132">
        <f>SUM(P12:P15)</f>
        <v>-32176</v>
      </c>
      <c r="Q16" s="127" t="s">
        <v>95</v>
      </c>
      <c r="R16" s="133">
        <f t="shared" ref="R16:AC16" si="47">SUM(R11:R15)-R11</f>
        <v>81000</v>
      </c>
      <c r="S16" s="133">
        <f t="shared" si="47"/>
        <v>68391</v>
      </c>
      <c r="T16" s="133">
        <f t="shared" si="47"/>
        <v>58650.9</v>
      </c>
      <c r="U16" s="133">
        <f t="shared" si="47"/>
        <v>58650.9</v>
      </c>
      <c r="V16" s="133">
        <f t="shared" si="47"/>
        <v>58650.9</v>
      </c>
      <c r="W16" s="133">
        <f t="shared" si="47"/>
        <v>58650.9</v>
      </c>
      <c r="X16" s="133">
        <f t="shared" si="47"/>
        <v>58650.9</v>
      </c>
      <c r="Y16" s="133">
        <f t="shared" si="47"/>
        <v>58650.9</v>
      </c>
      <c r="Z16" s="133">
        <f t="shared" si="47"/>
        <v>58650.9</v>
      </c>
      <c r="AA16" s="133">
        <f t="shared" si="47"/>
        <v>58650.9</v>
      </c>
      <c r="AB16" s="133">
        <f t="shared" si="47"/>
        <v>58650.9</v>
      </c>
      <c r="AC16" s="133">
        <f t="shared" si="47"/>
        <v>58650.9</v>
      </c>
      <c r="AD16" s="134">
        <f t="shared" si="25"/>
        <v>735900</v>
      </c>
      <c r="AE16" s="135">
        <f>SUM(AE11:AE15)</f>
        <v>741200</v>
      </c>
      <c r="AF16" s="127"/>
      <c r="AG16" s="127" t="s">
        <v>95</v>
      </c>
      <c r="AH16" s="133">
        <f t="shared" ref="AH16:AS16" si="48">SUM(AH11:AH15)-AH11</f>
        <v>61391.875</v>
      </c>
      <c r="AI16" s="133">
        <f t="shared" si="48"/>
        <v>61391.875</v>
      </c>
      <c r="AJ16" s="133">
        <f t="shared" si="48"/>
        <v>61391.875</v>
      </c>
      <c r="AK16" s="133">
        <f t="shared" si="48"/>
        <v>61391.875</v>
      </c>
      <c r="AL16" s="133">
        <f t="shared" si="48"/>
        <v>61391.875</v>
      </c>
      <c r="AM16" s="133">
        <f t="shared" si="48"/>
        <v>61391.875</v>
      </c>
      <c r="AN16" s="133">
        <f t="shared" si="48"/>
        <v>61391.875</v>
      </c>
      <c r="AO16" s="133">
        <f t="shared" si="48"/>
        <v>61391.875</v>
      </c>
      <c r="AP16" s="133">
        <f t="shared" si="48"/>
        <v>61391.875</v>
      </c>
      <c r="AQ16" s="133">
        <f t="shared" si="48"/>
        <v>61391.875</v>
      </c>
      <c r="AR16" s="133">
        <f t="shared" si="48"/>
        <v>61391.875</v>
      </c>
      <c r="AS16" s="133">
        <f t="shared" si="48"/>
        <v>61391.875</v>
      </c>
      <c r="AT16" s="134">
        <f t="shared" si="28"/>
        <v>736702.5</v>
      </c>
      <c r="AU16" s="127" t="s">
        <v>95</v>
      </c>
      <c r="AV16" s="133">
        <f t="shared" ref="AV16:BG16" si="49">SUM(AV11:AV15)-AV11</f>
        <v>68360.42188</v>
      </c>
      <c r="AW16" s="133">
        <f t="shared" si="49"/>
        <v>68360.42188</v>
      </c>
      <c r="AX16" s="133">
        <f t="shared" si="49"/>
        <v>68360.42188</v>
      </c>
      <c r="AY16" s="133">
        <f t="shared" si="49"/>
        <v>68360.42188</v>
      </c>
      <c r="AZ16" s="133">
        <f t="shared" si="49"/>
        <v>68360.42188</v>
      </c>
      <c r="BA16" s="133">
        <f t="shared" si="49"/>
        <v>68360.42188</v>
      </c>
      <c r="BB16" s="133">
        <f t="shared" si="49"/>
        <v>68360.42188</v>
      </c>
      <c r="BC16" s="133">
        <f t="shared" si="49"/>
        <v>68360.42188</v>
      </c>
      <c r="BD16" s="133">
        <f t="shared" si="49"/>
        <v>68360.42188</v>
      </c>
      <c r="BE16" s="133">
        <f t="shared" si="49"/>
        <v>68360.42188</v>
      </c>
      <c r="BF16" s="133">
        <f t="shared" si="49"/>
        <v>68360.42188</v>
      </c>
      <c r="BG16" s="133">
        <f t="shared" si="49"/>
        <v>68360.42188</v>
      </c>
      <c r="BH16" s="134">
        <f t="shared" si="30"/>
        <v>820325.0625</v>
      </c>
      <c r="BI16" s="127" t="s">
        <v>95</v>
      </c>
      <c r="BJ16" s="133">
        <f t="shared" ref="BJ16:BU16" si="50">SUM(BJ11:BJ15)-BJ11</f>
        <v>61530.68242</v>
      </c>
      <c r="BK16" s="133">
        <f t="shared" si="50"/>
        <v>61530.68242</v>
      </c>
      <c r="BL16" s="133">
        <f t="shared" si="50"/>
        <v>61530.68242</v>
      </c>
      <c r="BM16" s="133">
        <f t="shared" si="50"/>
        <v>61530.68242</v>
      </c>
      <c r="BN16" s="133">
        <f t="shared" si="50"/>
        <v>61530.68242</v>
      </c>
      <c r="BO16" s="133">
        <f t="shared" si="50"/>
        <v>61530.68242</v>
      </c>
      <c r="BP16" s="133">
        <f t="shared" si="50"/>
        <v>61530.68242</v>
      </c>
      <c r="BQ16" s="133">
        <f t="shared" si="50"/>
        <v>61530.68242</v>
      </c>
      <c r="BR16" s="133">
        <f t="shared" si="50"/>
        <v>61530.68242</v>
      </c>
      <c r="BS16" s="133">
        <f t="shared" si="50"/>
        <v>61530.68242</v>
      </c>
      <c r="BT16" s="133">
        <f t="shared" si="50"/>
        <v>61530.68242</v>
      </c>
      <c r="BU16" s="133">
        <f t="shared" si="50"/>
        <v>61530.68242</v>
      </c>
      <c r="BV16" s="134">
        <f t="shared" si="32"/>
        <v>738368.1891</v>
      </c>
      <c r="BW16" s="127" t="s">
        <v>95</v>
      </c>
      <c r="BX16" s="133">
        <f t="shared" ref="BX16:CX16" si="51">SUM(BX11:BX15)-BX11</f>
        <v>739232.3938</v>
      </c>
      <c r="BY16" s="133">
        <f t="shared" si="51"/>
        <v>864318.2036</v>
      </c>
      <c r="BZ16" s="133">
        <f t="shared" si="51"/>
        <v>865226.1587</v>
      </c>
      <c r="CA16" s="133">
        <f t="shared" si="51"/>
        <v>866156.8127</v>
      </c>
      <c r="CB16" s="133">
        <f t="shared" si="51"/>
        <v>867110.733</v>
      </c>
      <c r="CC16" s="133">
        <f t="shared" si="51"/>
        <v>868088.5013</v>
      </c>
      <c r="CD16" s="133">
        <f t="shared" si="51"/>
        <v>993290.7139</v>
      </c>
      <c r="CE16" s="133">
        <f t="shared" si="51"/>
        <v>994317.9817</v>
      </c>
      <c r="CF16" s="133">
        <f t="shared" si="51"/>
        <v>995370.9313</v>
      </c>
      <c r="CG16" s="133">
        <f t="shared" si="51"/>
        <v>996450.2045</v>
      </c>
      <c r="CH16" s="133">
        <f t="shared" si="51"/>
        <v>1163156.46</v>
      </c>
      <c r="CI16" s="133">
        <f t="shared" si="51"/>
        <v>1164290.371</v>
      </c>
      <c r="CJ16" s="133">
        <f t="shared" si="51"/>
        <v>1165452.63</v>
      </c>
      <c r="CK16" s="133">
        <f t="shared" si="51"/>
        <v>1166643.946</v>
      </c>
      <c r="CL16" s="133">
        <f t="shared" si="51"/>
        <v>1126465.045</v>
      </c>
      <c r="CM16" s="133">
        <f t="shared" si="51"/>
        <v>1127716.671</v>
      </c>
      <c r="CN16" s="133">
        <f t="shared" si="51"/>
        <v>1128999.588</v>
      </c>
      <c r="CO16" s="133">
        <f t="shared" si="51"/>
        <v>1130314.577</v>
      </c>
      <c r="CP16" s="133">
        <f t="shared" si="51"/>
        <v>1131662.442</v>
      </c>
      <c r="CQ16" s="133">
        <f t="shared" si="51"/>
        <v>1215844.003</v>
      </c>
      <c r="CR16" s="133">
        <f t="shared" si="51"/>
        <v>1217260.103</v>
      </c>
      <c r="CS16" s="133">
        <f t="shared" si="51"/>
        <v>1218711.606</v>
      </c>
      <c r="CT16" s="133">
        <f t="shared" si="51"/>
        <v>1385799.396</v>
      </c>
      <c r="CU16" s="133">
        <f t="shared" si="51"/>
        <v>1387324.381</v>
      </c>
      <c r="CV16" s="133">
        <f t="shared" si="51"/>
        <v>1388887.49</v>
      </c>
      <c r="CW16" s="133">
        <f t="shared" si="51"/>
        <v>1390489.677</v>
      </c>
      <c r="CX16" s="133">
        <f t="shared" si="51"/>
        <v>1474931.919</v>
      </c>
      <c r="CY16" s="136"/>
      <c r="CZ16" s="136"/>
      <c r="DA16" s="136"/>
      <c r="DB16" s="136"/>
      <c r="DC16" s="136"/>
      <c r="DD16" s="136"/>
      <c r="DE16" s="136"/>
      <c r="DF16" s="136"/>
      <c r="DG16" s="136"/>
      <c r="DH16" s="136"/>
      <c r="DI16" s="136"/>
      <c r="DJ16" s="136"/>
      <c r="DK16" s="136"/>
      <c r="DL16" s="136"/>
      <c r="DM16" s="136"/>
      <c r="DN16" s="136"/>
      <c r="DO16" s="136"/>
      <c r="DP16" s="136"/>
    </row>
    <row r="17">
      <c r="A17" s="104" t="s">
        <v>96</v>
      </c>
      <c r="B17" s="105"/>
      <c r="C17" s="105"/>
      <c r="D17" s="106"/>
      <c r="E17" s="105"/>
      <c r="F17" s="105"/>
      <c r="G17" s="105"/>
      <c r="H17" s="105"/>
      <c r="I17" s="105"/>
      <c r="J17" s="105"/>
      <c r="K17" s="105"/>
      <c r="L17" s="105"/>
      <c r="M17" s="105"/>
      <c r="N17" s="105"/>
      <c r="O17" s="108"/>
      <c r="P17" s="108"/>
      <c r="Q17" s="104" t="s">
        <v>96</v>
      </c>
      <c r="R17" s="102"/>
      <c r="S17" s="102"/>
      <c r="T17" s="102"/>
      <c r="U17" s="102"/>
      <c r="V17" s="102"/>
      <c r="W17" s="102"/>
      <c r="X17" s="102"/>
      <c r="Y17" s="102"/>
      <c r="Z17" s="102"/>
      <c r="AA17" s="102"/>
      <c r="AB17" s="102"/>
      <c r="AC17" s="102"/>
      <c r="AD17" s="102"/>
      <c r="AE17" s="137"/>
      <c r="AF17" s="104"/>
      <c r="AG17" s="104" t="s">
        <v>96</v>
      </c>
      <c r="AH17" s="102"/>
      <c r="AI17" s="102"/>
      <c r="AJ17" s="102"/>
      <c r="AK17" s="102"/>
      <c r="AL17" s="102"/>
      <c r="AM17" s="102"/>
      <c r="AN17" s="102"/>
      <c r="AO17" s="102"/>
      <c r="AP17" s="102"/>
      <c r="AQ17" s="102"/>
      <c r="AR17" s="102"/>
      <c r="AS17" s="102"/>
      <c r="AT17" s="102"/>
      <c r="AU17" s="104" t="s">
        <v>96</v>
      </c>
      <c r="AV17" s="102"/>
      <c r="AW17" s="102"/>
      <c r="AX17" s="102"/>
      <c r="AY17" s="102"/>
      <c r="AZ17" s="102"/>
      <c r="BA17" s="102"/>
      <c r="BB17" s="102"/>
      <c r="BC17" s="102"/>
      <c r="BD17" s="102"/>
      <c r="BE17" s="102"/>
      <c r="BF17" s="102"/>
      <c r="BG17" s="102"/>
      <c r="BH17" s="102"/>
      <c r="BI17" s="104" t="s">
        <v>96</v>
      </c>
      <c r="BJ17" s="102"/>
      <c r="BK17" s="102"/>
      <c r="BL17" s="102"/>
      <c r="BM17" s="102"/>
      <c r="BN17" s="102"/>
      <c r="BO17" s="102"/>
      <c r="BP17" s="102"/>
      <c r="BQ17" s="102"/>
      <c r="BR17" s="102"/>
      <c r="BS17" s="102"/>
      <c r="BT17" s="102"/>
      <c r="BU17" s="102"/>
      <c r="BV17" s="102"/>
      <c r="BW17" s="104" t="s">
        <v>96</v>
      </c>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c r="CY17" s="103"/>
      <c r="CZ17" s="103"/>
      <c r="DA17" s="103"/>
      <c r="DB17" s="103"/>
      <c r="DC17" s="103"/>
      <c r="DD17" s="103"/>
      <c r="DE17" s="103"/>
      <c r="DF17" s="103"/>
      <c r="DG17" s="103"/>
      <c r="DH17" s="103"/>
      <c r="DI17" s="103"/>
      <c r="DJ17" s="103"/>
      <c r="DK17" s="103"/>
      <c r="DL17" s="103"/>
      <c r="DM17" s="103"/>
      <c r="DN17" s="103"/>
      <c r="DO17" s="103"/>
      <c r="DP17" s="103"/>
    </row>
    <row r="18" ht="18.75" customHeight="1">
      <c r="A18" s="104" t="s">
        <v>97</v>
      </c>
      <c r="B18" s="138"/>
      <c r="C18" s="138"/>
      <c r="D18" s="139"/>
      <c r="E18" s="138"/>
      <c r="F18" s="138"/>
      <c r="G18" s="138"/>
      <c r="H18" s="138"/>
      <c r="I18" s="138"/>
      <c r="J18" s="138"/>
      <c r="K18" s="138"/>
      <c r="L18" s="138"/>
      <c r="M18" s="138"/>
      <c r="N18" s="138"/>
      <c r="O18" s="108"/>
      <c r="P18" s="108"/>
      <c r="Q18" s="104" t="s">
        <v>97</v>
      </c>
      <c r="R18" s="140"/>
      <c r="S18" s="140"/>
      <c r="T18" s="140"/>
      <c r="U18" s="140"/>
      <c r="V18" s="140"/>
      <c r="W18" s="140"/>
      <c r="X18" s="140"/>
      <c r="Y18" s="140"/>
      <c r="Z18" s="140"/>
      <c r="AA18" s="140"/>
      <c r="AB18" s="140"/>
      <c r="AC18" s="140"/>
      <c r="AD18" s="140"/>
      <c r="AE18" s="137"/>
      <c r="AF18" s="104"/>
      <c r="AG18" s="104" t="s">
        <v>97</v>
      </c>
      <c r="AH18" s="140"/>
      <c r="AI18" s="140"/>
      <c r="AJ18" s="140"/>
      <c r="AK18" s="140"/>
      <c r="AL18" s="140"/>
      <c r="AM18" s="140"/>
      <c r="AN18" s="140"/>
      <c r="AO18" s="140"/>
      <c r="AP18" s="140"/>
      <c r="AQ18" s="140"/>
      <c r="AR18" s="140"/>
      <c r="AS18" s="140"/>
      <c r="AT18" s="140"/>
      <c r="AU18" s="104" t="s">
        <v>97</v>
      </c>
      <c r="AV18" s="140"/>
      <c r="AW18" s="140"/>
      <c r="AX18" s="140"/>
      <c r="AY18" s="140"/>
      <c r="AZ18" s="140"/>
      <c r="BA18" s="140"/>
      <c r="BB18" s="140"/>
      <c r="BC18" s="140"/>
      <c r="BD18" s="140"/>
      <c r="BE18" s="140"/>
      <c r="BF18" s="140"/>
      <c r="BG18" s="140"/>
      <c r="BH18" s="140"/>
      <c r="BI18" s="104" t="s">
        <v>97</v>
      </c>
      <c r="BJ18" s="140"/>
      <c r="BK18" s="140"/>
      <c r="BL18" s="140"/>
      <c r="BM18" s="140"/>
      <c r="BN18" s="140"/>
      <c r="BO18" s="140"/>
      <c r="BP18" s="140"/>
      <c r="BQ18" s="140"/>
      <c r="BR18" s="140"/>
      <c r="BS18" s="140"/>
      <c r="BT18" s="140"/>
      <c r="BU18" s="140"/>
      <c r="BV18" s="140"/>
      <c r="BW18" s="104" t="s">
        <v>97</v>
      </c>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c r="CY18" s="113"/>
      <c r="CZ18" s="113"/>
      <c r="DA18" s="113"/>
      <c r="DB18" s="113"/>
      <c r="DC18" s="113"/>
      <c r="DD18" s="113"/>
      <c r="DE18" s="113"/>
      <c r="DF18" s="113"/>
      <c r="DG18" s="113"/>
      <c r="DH18" s="113"/>
      <c r="DI18" s="113"/>
      <c r="DJ18" s="113"/>
      <c r="DK18" s="113"/>
      <c r="DL18" s="113"/>
      <c r="DM18" s="113"/>
      <c r="DN18" s="113"/>
      <c r="DO18" s="113"/>
      <c r="DP18" s="113"/>
    </row>
    <row r="19" ht="18.75" customHeight="1">
      <c r="A19" s="119" t="s">
        <v>98</v>
      </c>
      <c r="B19" s="71">
        <v>402.0</v>
      </c>
      <c r="C19" s="71">
        <v>402.0</v>
      </c>
      <c r="D19" s="141">
        <v>1602.0</v>
      </c>
      <c r="E19" s="71">
        <v>0.0</v>
      </c>
      <c r="F19" s="71">
        <v>402.0</v>
      </c>
      <c r="G19" s="71">
        <v>402.0</v>
      </c>
      <c r="H19" s="71">
        <v>402.0</v>
      </c>
      <c r="I19" s="71">
        <v>401.0</v>
      </c>
      <c r="J19" s="71">
        <v>535.0</v>
      </c>
      <c r="K19" s="71">
        <v>535.0</v>
      </c>
      <c r="L19" s="111">
        <v>703.0</v>
      </c>
      <c r="M19" s="110">
        <v>704.0</v>
      </c>
      <c r="N19" s="112">
        <f t="shared" ref="N19:N22" si="56">SUM(B19:M19)</f>
        <v>6490</v>
      </c>
      <c r="O19" s="74">
        <v>8437.0</v>
      </c>
      <c r="P19" s="75">
        <f t="shared" ref="P19:P22" si="57">N19-O19</f>
        <v>-1947</v>
      </c>
      <c r="Q19" s="142" t="s">
        <v>99</v>
      </c>
      <c r="R19" s="68">
        <v>0.0</v>
      </c>
      <c r="S19" s="68">
        <v>142.0</v>
      </c>
      <c r="T19" s="126">
        <v>554.0</v>
      </c>
      <c r="U19" s="125">
        <f t="shared" ref="U19:AC19" si="52">T19</f>
        <v>554</v>
      </c>
      <c r="V19" s="125">
        <f t="shared" si="52"/>
        <v>554</v>
      </c>
      <c r="W19" s="125">
        <f t="shared" si="52"/>
        <v>554</v>
      </c>
      <c r="X19" s="125">
        <f t="shared" si="52"/>
        <v>554</v>
      </c>
      <c r="Y19" s="125">
        <f t="shared" si="52"/>
        <v>554</v>
      </c>
      <c r="Z19" s="125">
        <f t="shared" si="52"/>
        <v>554</v>
      </c>
      <c r="AA19" s="125">
        <f t="shared" si="52"/>
        <v>554</v>
      </c>
      <c r="AB19" s="125">
        <f t="shared" si="52"/>
        <v>554</v>
      </c>
      <c r="AC19" s="125">
        <f t="shared" si="52"/>
        <v>554</v>
      </c>
      <c r="AD19" s="115">
        <f t="shared" ref="AD19:AD22" si="59">SUM(R19:AC19)</f>
        <v>5682</v>
      </c>
      <c r="AE19" s="116">
        <v>6824.0</v>
      </c>
      <c r="AF19" s="117">
        <f t="shared" ref="AF19:AF22" si="60">AD19-AE19</f>
        <v>-1142</v>
      </c>
      <c r="AG19" s="119" t="s">
        <v>98</v>
      </c>
      <c r="AH19" s="125">
        <f>(AD19/12)*(1+(Inflation!$G$6))</f>
        <v>485.3375</v>
      </c>
      <c r="AI19" s="125">
        <f t="shared" ref="AI19:AS19" si="53">AH19</f>
        <v>485.3375</v>
      </c>
      <c r="AJ19" s="125">
        <f t="shared" si="53"/>
        <v>485.3375</v>
      </c>
      <c r="AK19" s="125">
        <f t="shared" si="53"/>
        <v>485.3375</v>
      </c>
      <c r="AL19" s="125">
        <f t="shared" si="53"/>
        <v>485.3375</v>
      </c>
      <c r="AM19" s="125">
        <f t="shared" si="53"/>
        <v>485.3375</v>
      </c>
      <c r="AN19" s="125">
        <f t="shared" si="53"/>
        <v>485.3375</v>
      </c>
      <c r="AO19" s="125">
        <f t="shared" si="53"/>
        <v>485.3375</v>
      </c>
      <c r="AP19" s="125">
        <f t="shared" si="53"/>
        <v>485.3375</v>
      </c>
      <c r="AQ19" s="125">
        <f t="shared" si="53"/>
        <v>485.3375</v>
      </c>
      <c r="AR19" s="125">
        <f t="shared" si="53"/>
        <v>485.3375</v>
      </c>
      <c r="AS19" s="125">
        <f t="shared" si="53"/>
        <v>485.3375</v>
      </c>
      <c r="AT19" s="115">
        <f t="shared" ref="AT19:AT22" si="62">SUM(AH19:AS19)</f>
        <v>5824.05</v>
      </c>
      <c r="AU19" s="119" t="s">
        <v>98</v>
      </c>
      <c r="AV19" s="125">
        <f>(AT19/12)*(1+(Inflation!$H$6))</f>
        <v>497.4709375</v>
      </c>
      <c r="AW19" s="125">
        <f t="shared" ref="AW19:BG19" si="54">AV19</f>
        <v>497.4709375</v>
      </c>
      <c r="AX19" s="125">
        <f t="shared" si="54"/>
        <v>497.4709375</v>
      </c>
      <c r="AY19" s="125">
        <f t="shared" si="54"/>
        <v>497.4709375</v>
      </c>
      <c r="AZ19" s="125">
        <f t="shared" si="54"/>
        <v>497.4709375</v>
      </c>
      <c r="BA19" s="125">
        <f t="shared" si="54"/>
        <v>497.4709375</v>
      </c>
      <c r="BB19" s="125">
        <f t="shared" si="54"/>
        <v>497.4709375</v>
      </c>
      <c r="BC19" s="125">
        <f t="shared" si="54"/>
        <v>497.4709375</v>
      </c>
      <c r="BD19" s="125">
        <f t="shared" si="54"/>
        <v>497.4709375</v>
      </c>
      <c r="BE19" s="125">
        <f t="shared" si="54"/>
        <v>497.4709375</v>
      </c>
      <c r="BF19" s="125">
        <f t="shared" si="54"/>
        <v>497.4709375</v>
      </c>
      <c r="BG19" s="125">
        <f t="shared" si="54"/>
        <v>497.4709375</v>
      </c>
      <c r="BH19" s="115">
        <f t="shared" ref="BH19:BH22" si="64">SUM(AV19:BG19)</f>
        <v>5969.65125</v>
      </c>
      <c r="BI19" s="119" t="s">
        <v>98</v>
      </c>
      <c r="BJ19" s="125">
        <f>(BH19/12)*(1+(Inflation!$I$6))</f>
        <v>509.9077109</v>
      </c>
      <c r="BK19" s="125">
        <f t="shared" ref="BK19:BU19" si="55">BJ19</f>
        <v>509.9077109</v>
      </c>
      <c r="BL19" s="125">
        <f t="shared" si="55"/>
        <v>509.9077109</v>
      </c>
      <c r="BM19" s="125">
        <f t="shared" si="55"/>
        <v>509.9077109</v>
      </c>
      <c r="BN19" s="125">
        <f t="shared" si="55"/>
        <v>509.9077109</v>
      </c>
      <c r="BO19" s="125">
        <f t="shared" si="55"/>
        <v>509.9077109</v>
      </c>
      <c r="BP19" s="125">
        <f t="shared" si="55"/>
        <v>509.9077109</v>
      </c>
      <c r="BQ19" s="125">
        <f t="shared" si="55"/>
        <v>509.9077109</v>
      </c>
      <c r="BR19" s="125">
        <f t="shared" si="55"/>
        <v>509.9077109</v>
      </c>
      <c r="BS19" s="125">
        <f t="shared" si="55"/>
        <v>509.9077109</v>
      </c>
      <c r="BT19" s="125">
        <f t="shared" si="55"/>
        <v>509.9077109</v>
      </c>
      <c r="BU19" s="125">
        <f t="shared" si="55"/>
        <v>509.9077109</v>
      </c>
      <c r="BV19" s="115">
        <f t="shared" ref="BV19:BV22" si="66">SUM(BJ19:BU19)</f>
        <v>6118.892531</v>
      </c>
      <c r="BW19" s="119" t="s">
        <v>98</v>
      </c>
      <c r="BX19" s="123">
        <f>BV19*(1+Inflation!$J$5)</f>
        <v>6271.864845</v>
      </c>
      <c r="BY19" s="123">
        <f>BX19*(1+Inflation!$J$5)</f>
        <v>6428.661466</v>
      </c>
      <c r="BZ19" s="123">
        <f>BY19*(1+Inflation!$J$5)</f>
        <v>6589.378002</v>
      </c>
      <c r="CA19" s="123">
        <f>BZ19*(1+Inflation!$J$5)</f>
        <v>6754.112452</v>
      </c>
      <c r="CB19" s="123">
        <f>CA19*(1+Inflation!$J$5)</f>
        <v>6922.965264</v>
      </c>
      <c r="CC19" s="123">
        <f>CB19*(1+Inflation!$J$5)</f>
        <v>7096.039395</v>
      </c>
      <c r="CD19" s="123">
        <f>CC19*(1+Inflation!$J$5)</f>
        <v>7273.44038</v>
      </c>
      <c r="CE19" s="123">
        <f>CD19*(1+Inflation!$J$5)</f>
        <v>7455.27639</v>
      </c>
      <c r="CF19" s="123">
        <f>CE19*(1+Inflation!$J$5)</f>
        <v>7641.658299</v>
      </c>
      <c r="CG19" s="123">
        <f>CF19*(1+Inflation!$J$5)</f>
        <v>7832.699757</v>
      </c>
      <c r="CH19" s="123">
        <f>CG19*(1+Inflation!$J$5)</f>
        <v>8028.517251</v>
      </c>
      <c r="CI19" s="123">
        <f>CH19*(1+Inflation!$J$5)</f>
        <v>8229.230182</v>
      </c>
      <c r="CJ19" s="123">
        <f>CI19*(1+Inflation!$J$5)</f>
        <v>8434.960937</v>
      </c>
      <c r="CK19" s="123">
        <f>CJ19*(1+Inflation!$J$5)</f>
        <v>8645.83496</v>
      </c>
      <c r="CL19" s="123">
        <f>CK19*(1+Inflation!$J$5)</f>
        <v>8861.980834</v>
      </c>
      <c r="CM19" s="123">
        <f>CL19*(1+Inflation!$J$5)</f>
        <v>9083.530355</v>
      </c>
      <c r="CN19" s="123">
        <f>CM19*(1+Inflation!$J$5)</f>
        <v>9310.618614</v>
      </c>
      <c r="CO19" s="123">
        <f>CN19*(1+Inflation!$J$5)</f>
        <v>9543.384079</v>
      </c>
      <c r="CP19" s="123">
        <f>CO19*(1+Inflation!$J$5)</f>
        <v>9781.968681</v>
      </c>
      <c r="CQ19" s="123">
        <f>CP19*(1+Inflation!$J$5)</f>
        <v>10026.5179</v>
      </c>
      <c r="CR19" s="123">
        <f>CQ19*(1+Inflation!$J$5)</f>
        <v>10277.18085</v>
      </c>
      <c r="CS19" s="123">
        <f>CR19*(1+Inflation!$J$5)</f>
        <v>10534.11037</v>
      </c>
      <c r="CT19" s="123">
        <f>CS19*(1+Inflation!$J$5)</f>
        <v>10797.46313</v>
      </c>
      <c r="CU19" s="123">
        <f>CT19*(1+Inflation!$J$5)</f>
        <v>11067.3997</v>
      </c>
      <c r="CV19" s="123">
        <f>CU19*(1+Inflation!$J$5)</f>
        <v>11344.0847</v>
      </c>
      <c r="CW19" s="123">
        <f>CV19*(1+Inflation!$J$5)</f>
        <v>11627.68681</v>
      </c>
      <c r="CX19" s="123">
        <f>CW19*(1+Inflation!$J$5)</f>
        <v>11918.37898</v>
      </c>
      <c r="CY19" s="118"/>
      <c r="CZ19" s="118"/>
      <c r="DA19" s="118"/>
      <c r="DB19" s="118"/>
      <c r="DC19" s="118"/>
      <c r="DD19" s="118"/>
      <c r="DE19" s="118"/>
      <c r="DF19" s="118"/>
      <c r="DG19" s="118"/>
      <c r="DH19" s="118"/>
      <c r="DI19" s="118"/>
      <c r="DJ19" s="118"/>
      <c r="DK19" s="118"/>
      <c r="DL19" s="118"/>
      <c r="DM19" s="118"/>
      <c r="DN19" s="118"/>
      <c r="DO19" s="118"/>
      <c r="DP19" s="118"/>
    </row>
    <row r="20" ht="18.75" customHeight="1">
      <c r="A20" s="119" t="s">
        <v>100</v>
      </c>
      <c r="B20" s="71">
        <v>4877.0</v>
      </c>
      <c r="C20" s="71">
        <v>4877.0</v>
      </c>
      <c r="D20" s="141">
        <v>6940.0</v>
      </c>
      <c r="E20" s="141">
        <v>4875.0</v>
      </c>
      <c r="F20" s="141">
        <v>6977.0</v>
      </c>
      <c r="G20" s="141">
        <v>6977.0</v>
      </c>
      <c r="H20" s="141">
        <v>6977.0</v>
      </c>
      <c r="I20" s="110">
        <v>7430.0</v>
      </c>
      <c r="J20" s="71">
        <v>7939.0</v>
      </c>
      <c r="K20" s="110">
        <v>7430.0</v>
      </c>
      <c r="L20" s="71">
        <v>7458.0</v>
      </c>
      <c r="M20" s="62">
        <v>7458.0</v>
      </c>
      <c r="N20" s="112">
        <f t="shared" si="56"/>
        <v>80215</v>
      </c>
      <c r="O20" s="74">
        <v>66163.0</v>
      </c>
      <c r="P20" s="75">
        <f t="shared" si="57"/>
        <v>14052</v>
      </c>
      <c r="Q20" s="119" t="s">
        <v>100</v>
      </c>
      <c r="R20" s="68">
        <v>7458.0</v>
      </c>
      <c r="S20" s="68">
        <f t="shared" ref="S20:S21" si="67">R20</f>
        <v>7458</v>
      </c>
      <c r="T20" s="114">
        <f>S20+2000</f>
        <v>9458</v>
      </c>
      <c r="U20" s="114">
        <f>S20</f>
        <v>7458</v>
      </c>
      <c r="V20" s="114">
        <f t="shared" ref="V20:AC20" si="58">U20</f>
        <v>7458</v>
      </c>
      <c r="W20" s="125">
        <f t="shared" si="58"/>
        <v>7458</v>
      </c>
      <c r="X20" s="125">
        <f t="shared" si="58"/>
        <v>7458</v>
      </c>
      <c r="Y20" s="125">
        <f t="shared" si="58"/>
        <v>7458</v>
      </c>
      <c r="Z20" s="125">
        <f t="shared" si="58"/>
        <v>7458</v>
      </c>
      <c r="AA20" s="125">
        <f t="shared" si="58"/>
        <v>7458</v>
      </c>
      <c r="AB20" s="125">
        <f t="shared" si="58"/>
        <v>7458</v>
      </c>
      <c r="AC20" s="125">
        <f t="shared" si="58"/>
        <v>7458</v>
      </c>
      <c r="AD20" s="115">
        <f t="shared" si="59"/>
        <v>91496</v>
      </c>
      <c r="AE20" s="116">
        <v>95097.0</v>
      </c>
      <c r="AF20" s="117">
        <f t="shared" si="60"/>
        <v>-3601</v>
      </c>
      <c r="AG20" s="119" t="s">
        <v>100</v>
      </c>
      <c r="AH20" s="125">
        <f>AC20*(1+(Inflation!$F$6))</f>
        <v>7644.45</v>
      </c>
      <c r="AI20" s="125">
        <f>AH20</f>
        <v>7644.45</v>
      </c>
      <c r="AJ20" s="125">
        <f>(T20*(1+(Inflation!$F$6)))</f>
        <v>9694.45</v>
      </c>
      <c r="AK20" s="125">
        <f>AI20</f>
        <v>7644.45</v>
      </c>
      <c r="AL20" s="125">
        <f t="shared" ref="AL20:AS20" si="61">AK20</f>
        <v>7644.45</v>
      </c>
      <c r="AM20" s="125">
        <f t="shared" si="61"/>
        <v>7644.45</v>
      </c>
      <c r="AN20" s="125">
        <f t="shared" si="61"/>
        <v>7644.45</v>
      </c>
      <c r="AO20" s="125">
        <f t="shared" si="61"/>
        <v>7644.45</v>
      </c>
      <c r="AP20" s="125">
        <f t="shared" si="61"/>
        <v>7644.45</v>
      </c>
      <c r="AQ20" s="125">
        <f t="shared" si="61"/>
        <v>7644.45</v>
      </c>
      <c r="AR20" s="125">
        <f t="shared" si="61"/>
        <v>7644.45</v>
      </c>
      <c r="AS20" s="125">
        <f t="shared" si="61"/>
        <v>7644.45</v>
      </c>
      <c r="AT20" s="115">
        <f t="shared" si="62"/>
        <v>93783.4</v>
      </c>
      <c r="AU20" s="119" t="s">
        <v>100</v>
      </c>
      <c r="AV20" s="125">
        <f>AS20*(1+(Inflation!$F$6))</f>
        <v>7835.56125</v>
      </c>
      <c r="AW20" s="125">
        <f>AV20</f>
        <v>7835.56125</v>
      </c>
      <c r="AX20" s="125">
        <f>(AJ20*(1+(Inflation!$G$6)))</f>
        <v>9936.81125</v>
      </c>
      <c r="AY20" s="125">
        <f>AW20</f>
        <v>7835.56125</v>
      </c>
      <c r="AZ20" s="125">
        <f t="shared" ref="AZ20:BG20" si="63">AY20</f>
        <v>7835.56125</v>
      </c>
      <c r="BA20" s="125">
        <f t="shared" si="63"/>
        <v>7835.56125</v>
      </c>
      <c r="BB20" s="125">
        <f t="shared" si="63"/>
        <v>7835.56125</v>
      </c>
      <c r="BC20" s="125">
        <f t="shared" si="63"/>
        <v>7835.56125</v>
      </c>
      <c r="BD20" s="125">
        <f t="shared" si="63"/>
        <v>7835.56125</v>
      </c>
      <c r="BE20" s="125">
        <f t="shared" si="63"/>
        <v>7835.56125</v>
      </c>
      <c r="BF20" s="125">
        <f t="shared" si="63"/>
        <v>7835.56125</v>
      </c>
      <c r="BG20" s="125">
        <f t="shared" si="63"/>
        <v>7835.56125</v>
      </c>
      <c r="BH20" s="115">
        <f t="shared" si="64"/>
        <v>96127.985</v>
      </c>
      <c r="BI20" s="119" t="s">
        <v>100</v>
      </c>
      <c r="BJ20" s="125">
        <f>BG20*(1+(Inflation!$F$6))</f>
        <v>8031.450281</v>
      </c>
      <c r="BK20" s="125">
        <f>BJ20</f>
        <v>8031.450281</v>
      </c>
      <c r="BL20" s="125">
        <f>(AX20*(1+(Inflation!$H$6)))</f>
        <v>10185.23153</v>
      </c>
      <c r="BM20" s="125">
        <f>BK20</f>
        <v>8031.450281</v>
      </c>
      <c r="BN20" s="125">
        <f t="shared" ref="BN20:BU20" si="65">BM20</f>
        <v>8031.450281</v>
      </c>
      <c r="BO20" s="125">
        <f t="shared" si="65"/>
        <v>8031.450281</v>
      </c>
      <c r="BP20" s="125">
        <f t="shared" si="65"/>
        <v>8031.450281</v>
      </c>
      <c r="BQ20" s="125">
        <f t="shared" si="65"/>
        <v>8031.450281</v>
      </c>
      <c r="BR20" s="125">
        <f t="shared" si="65"/>
        <v>8031.450281</v>
      </c>
      <c r="BS20" s="125">
        <f t="shared" si="65"/>
        <v>8031.450281</v>
      </c>
      <c r="BT20" s="125">
        <f t="shared" si="65"/>
        <v>8031.450281</v>
      </c>
      <c r="BU20" s="125">
        <f t="shared" si="65"/>
        <v>8031.450281</v>
      </c>
      <c r="BV20" s="115">
        <f t="shared" si="66"/>
        <v>98531.18463</v>
      </c>
      <c r="BW20" s="119" t="s">
        <v>100</v>
      </c>
      <c r="BX20" s="123">
        <f>BV20*(1+Inflation!$J$5)</f>
        <v>100994.4642</v>
      </c>
      <c r="BY20" s="123">
        <f>BX20*(1+Inflation!$J$5)</f>
        <v>103519.3258</v>
      </c>
      <c r="BZ20" s="123">
        <f>BY20*(1+Inflation!$J$5)</f>
        <v>106107.309</v>
      </c>
      <c r="CA20" s="123">
        <f>BZ20*(1+Inflation!$J$5)</f>
        <v>108759.9917</v>
      </c>
      <c r="CB20" s="123">
        <f>CA20*(1+Inflation!$J$5)</f>
        <v>111478.9915</v>
      </c>
      <c r="CC20" s="123">
        <f>CB20*(1+Inflation!$J$5)</f>
        <v>114265.9663</v>
      </c>
      <c r="CD20" s="123">
        <f>CC20*(1+Inflation!$J$5)</f>
        <v>117122.6155</v>
      </c>
      <c r="CE20" s="123">
        <f>CD20*(1+Inflation!$J$5)</f>
        <v>120050.6808</v>
      </c>
      <c r="CF20" s="123">
        <f>CE20*(1+Inflation!$J$5)</f>
        <v>123051.9479</v>
      </c>
      <c r="CG20" s="123">
        <f>CF20*(1+Inflation!$J$5)</f>
        <v>126128.2466</v>
      </c>
      <c r="CH20" s="123">
        <f>CG20*(1+Inflation!$J$5)</f>
        <v>129281.4527</v>
      </c>
      <c r="CI20" s="123">
        <f>CH20*(1+Inflation!$J$5)</f>
        <v>132513.489</v>
      </c>
      <c r="CJ20" s="123">
        <f>CI20*(1+Inflation!$J$5)</f>
        <v>135826.3263</v>
      </c>
      <c r="CK20" s="123">
        <f>CJ20*(1+Inflation!$J$5)</f>
        <v>139221.9844</v>
      </c>
      <c r="CL20" s="123">
        <f>CK20*(1+Inflation!$J$5)</f>
        <v>142702.534</v>
      </c>
      <c r="CM20" s="123">
        <f>CL20*(1+Inflation!$J$5)</f>
        <v>146270.0974</v>
      </c>
      <c r="CN20" s="123">
        <f>CM20*(1+Inflation!$J$5)</f>
        <v>149926.8498</v>
      </c>
      <c r="CO20" s="123">
        <f>CN20*(1+Inflation!$J$5)</f>
        <v>153675.0211</v>
      </c>
      <c r="CP20" s="123">
        <f>CO20*(1+Inflation!$J$5)</f>
        <v>157516.8966</v>
      </c>
      <c r="CQ20" s="123">
        <f>CP20*(1+Inflation!$J$5)</f>
        <v>161454.819</v>
      </c>
      <c r="CR20" s="123">
        <f>CQ20*(1+Inflation!$J$5)</f>
        <v>165491.1895</v>
      </c>
      <c r="CS20" s="123">
        <f>CR20*(1+Inflation!$J$5)</f>
        <v>169628.4692</v>
      </c>
      <c r="CT20" s="123">
        <f>CS20*(1+Inflation!$J$5)</f>
        <v>173869.181</v>
      </c>
      <c r="CU20" s="123">
        <f>CT20*(1+Inflation!$J$5)</f>
        <v>178215.9105</v>
      </c>
      <c r="CV20" s="123">
        <f>CU20*(1+Inflation!$J$5)</f>
        <v>182671.3082</v>
      </c>
      <c r="CW20" s="123">
        <f>CV20*(1+Inflation!$J$5)</f>
        <v>187238.0909</v>
      </c>
      <c r="CX20" s="123">
        <f>CW20*(1+Inflation!$J$5)</f>
        <v>191919.0432</v>
      </c>
      <c r="CY20" s="118"/>
      <c r="CZ20" s="118"/>
      <c r="DA20" s="118"/>
      <c r="DB20" s="118"/>
      <c r="DC20" s="118"/>
      <c r="DD20" s="118"/>
      <c r="DE20" s="118"/>
      <c r="DF20" s="118"/>
      <c r="DG20" s="118"/>
      <c r="DH20" s="118"/>
      <c r="DI20" s="118"/>
      <c r="DJ20" s="118"/>
      <c r="DK20" s="118"/>
      <c r="DL20" s="118"/>
      <c r="DM20" s="118"/>
      <c r="DN20" s="118"/>
      <c r="DO20" s="118"/>
      <c r="DP20" s="118"/>
    </row>
    <row r="21" ht="18.75" customHeight="1">
      <c r="A21" s="119" t="s">
        <v>101</v>
      </c>
      <c r="B21" s="71">
        <v>54.0</v>
      </c>
      <c r="C21" s="71">
        <v>0.0</v>
      </c>
      <c r="D21" s="71">
        <v>0.0</v>
      </c>
      <c r="E21" s="71">
        <v>0.0</v>
      </c>
      <c r="F21" s="71">
        <v>12.0</v>
      </c>
      <c r="G21" s="71">
        <v>0.0</v>
      </c>
      <c r="H21" s="71">
        <v>0.0</v>
      </c>
      <c r="I21" s="110">
        <v>0.0</v>
      </c>
      <c r="J21" s="110">
        <v>0.0</v>
      </c>
      <c r="K21" s="71">
        <v>568.0</v>
      </c>
      <c r="L21" s="111">
        <v>833.0</v>
      </c>
      <c r="M21" s="110">
        <v>837.0</v>
      </c>
      <c r="N21" s="112">
        <f t="shared" si="56"/>
        <v>2304</v>
      </c>
      <c r="O21" s="74">
        <v>10000.0</v>
      </c>
      <c r="P21" s="75">
        <f t="shared" si="57"/>
        <v>-7696</v>
      </c>
      <c r="Q21" s="119" t="s">
        <v>101</v>
      </c>
      <c r="R21" s="125">
        <f>M21*(1+(Inflation!$F$6))</f>
        <v>857.925</v>
      </c>
      <c r="S21" s="125">
        <f t="shared" si="67"/>
        <v>857.925</v>
      </c>
      <c r="T21" s="125">
        <f t="shared" ref="T21:AC21" si="68">S21</f>
        <v>857.925</v>
      </c>
      <c r="U21" s="125">
        <f t="shared" si="68"/>
        <v>857.925</v>
      </c>
      <c r="V21" s="125">
        <f t="shared" si="68"/>
        <v>857.925</v>
      </c>
      <c r="W21" s="125">
        <f t="shared" si="68"/>
        <v>857.925</v>
      </c>
      <c r="X21" s="125">
        <f t="shared" si="68"/>
        <v>857.925</v>
      </c>
      <c r="Y21" s="125">
        <f t="shared" si="68"/>
        <v>857.925</v>
      </c>
      <c r="Z21" s="125">
        <f t="shared" si="68"/>
        <v>857.925</v>
      </c>
      <c r="AA21" s="125">
        <f t="shared" si="68"/>
        <v>857.925</v>
      </c>
      <c r="AB21" s="125">
        <f t="shared" si="68"/>
        <v>857.925</v>
      </c>
      <c r="AC21" s="125">
        <f t="shared" si="68"/>
        <v>857.925</v>
      </c>
      <c r="AD21" s="115">
        <f t="shared" si="59"/>
        <v>10295.1</v>
      </c>
      <c r="AE21" s="116">
        <v>10295.0</v>
      </c>
      <c r="AF21" s="117">
        <f t="shared" si="60"/>
        <v>0.1</v>
      </c>
      <c r="AG21" s="119" t="s">
        <v>101</v>
      </c>
      <c r="AH21" s="125">
        <f>R21*(1+(Inflation!$G$6))</f>
        <v>879.373125</v>
      </c>
      <c r="AI21" s="125">
        <f>S21*(1+(Inflation!$G$6))</f>
        <v>879.373125</v>
      </c>
      <c r="AJ21" s="125">
        <f>T21*(1+(Inflation!$G$6))</f>
        <v>879.373125</v>
      </c>
      <c r="AK21" s="125">
        <f>U21*(1+(Inflation!$G$6))</f>
        <v>879.373125</v>
      </c>
      <c r="AL21" s="125">
        <f>V21*(1+(Inflation!$G$6))</f>
        <v>879.373125</v>
      </c>
      <c r="AM21" s="125">
        <f>W21*(1+(Inflation!$G$6))</f>
        <v>879.373125</v>
      </c>
      <c r="AN21" s="125">
        <f>X21*(1+(Inflation!$G$6))</f>
        <v>879.373125</v>
      </c>
      <c r="AO21" s="125">
        <f>Y21*(1+(Inflation!$G$6))</f>
        <v>879.373125</v>
      </c>
      <c r="AP21" s="125">
        <f>Z21*(1+(Inflation!$G$6))</f>
        <v>879.373125</v>
      </c>
      <c r="AQ21" s="125">
        <f>AA21*(1+(Inflation!$G$6))</f>
        <v>879.373125</v>
      </c>
      <c r="AR21" s="125">
        <f>AB21*(1+(Inflation!$G$6))</f>
        <v>879.373125</v>
      </c>
      <c r="AS21" s="125">
        <f>AC21*(1+(Inflation!$G$6))</f>
        <v>879.373125</v>
      </c>
      <c r="AT21" s="115">
        <f t="shared" si="62"/>
        <v>10552.4775</v>
      </c>
      <c r="AU21" s="119" t="s">
        <v>101</v>
      </c>
      <c r="AV21" s="125">
        <f>AH21*(1+(Inflation!$H$6))</f>
        <v>901.3574531</v>
      </c>
      <c r="AW21" s="125">
        <f>AI21*(1+(Inflation!$G$6))</f>
        <v>901.3574531</v>
      </c>
      <c r="AX21" s="125">
        <f>AJ21*(1+(Inflation!$H$6))</f>
        <v>901.3574531</v>
      </c>
      <c r="AY21" s="125">
        <f>AK21*(1+(Inflation!$G$6))</f>
        <v>901.3574531</v>
      </c>
      <c r="AZ21" s="125">
        <f>AL21*(1+(Inflation!$G$6))</f>
        <v>901.3574531</v>
      </c>
      <c r="BA21" s="125">
        <f>AM21*(1+(Inflation!$H$6))</f>
        <v>901.3574531</v>
      </c>
      <c r="BB21" s="125">
        <f>AN21*(1+(Inflation!$G$6))</f>
        <v>901.3574531</v>
      </c>
      <c r="BC21" s="125">
        <f>AO21*(1+(Inflation!$G$6))</f>
        <v>901.3574531</v>
      </c>
      <c r="BD21" s="125">
        <f>AP21*(1+(Inflation!$H$6))</f>
        <v>901.3574531</v>
      </c>
      <c r="BE21" s="125">
        <f>AQ21*(1+(Inflation!$G$6))</f>
        <v>901.3574531</v>
      </c>
      <c r="BF21" s="125">
        <f>AR21*(1+(Inflation!$G$6))</f>
        <v>901.3574531</v>
      </c>
      <c r="BG21" s="125">
        <f>AS21*(1+(Inflation!$G$6))</f>
        <v>901.3574531</v>
      </c>
      <c r="BH21" s="115">
        <f t="shared" si="64"/>
        <v>10816.28944</v>
      </c>
      <c r="BI21" s="119" t="s">
        <v>101</v>
      </c>
      <c r="BJ21" s="125">
        <f>AV21*(1+(Inflation!$I$6))</f>
        <v>923.8913895</v>
      </c>
      <c r="BK21" s="125">
        <f>AW21*(1+(Inflation!$G$6))</f>
        <v>923.8913895</v>
      </c>
      <c r="BL21" s="125">
        <f>AX21*(1+(Inflation!$H$6))</f>
        <v>923.8913895</v>
      </c>
      <c r="BM21" s="125">
        <f>AY21*(1+(Inflation!$G$6))</f>
        <v>923.8913895</v>
      </c>
      <c r="BN21" s="125">
        <f>AZ21*(1+(Inflation!$G$6))</f>
        <v>923.8913895</v>
      </c>
      <c r="BO21" s="125">
        <f>BA21*(1+(Inflation!$H$6))</f>
        <v>923.8913895</v>
      </c>
      <c r="BP21" s="125">
        <f>BB21*(1+(Inflation!$G$6))</f>
        <v>923.8913895</v>
      </c>
      <c r="BQ21" s="125">
        <f>BC21*(1+(Inflation!$G$6))</f>
        <v>923.8913895</v>
      </c>
      <c r="BR21" s="125">
        <f>BD21*(1+(Inflation!$H$6))</f>
        <v>923.8913895</v>
      </c>
      <c r="BS21" s="125">
        <f>BE21*(1+(Inflation!$G$6))</f>
        <v>923.8913895</v>
      </c>
      <c r="BT21" s="125">
        <f>BF21*(1+(Inflation!$G$6))</f>
        <v>923.8913895</v>
      </c>
      <c r="BU21" s="125">
        <f>BG21*(1+(Inflation!$G$6))</f>
        <v>923.8913895</v>
      </c>
      <c r="BV21" s="115">
        <f t="shared" si="66"/>
        <v>11086.69667</v>
      </c>
      <c r="BW21" s="119" t="s">
        <v>101</v>
      </c>
      <c r="BX21" s="123">
        <f>BV21*(1+Inflation!$J$5)</f>
        <v>11363.86409</v>
      </c>
      <c r="BY21" s="123">
        <f>BX21*(1+Inflation!$J$5)</f>
        <v>11647.96069</v>
      </c>
      <c r="BZ21" s="123">
        <f>BY21*(1+Inflation!$J$5)</f>
        <v>11939.15971</v>
      </c>
      <c r="CA21" s="123">
        <f>BZ21*(1+Inflation!$J$5)</f>
        <v>12237.6387</v>
      </c>
      <c r="CB21" s="123">
        <f>CA21*(1+Inflation!$J$5)</f>
        <v>12543.57967</v>
      </c>
      <c r="CC21" s="123">
        <f>CB21*(1+Inflation!$J$5)</f>
        <v>12857.16916</v>
      </c>
      <c r="CD21" s="123">
        <f>CC21*(1+Inflation!$J$5)</f>
        <v>13178.59839</v>
      </c>
      <c r="CE21" s="123">
        <f>CD21*(1+Inflation!$J$5)</f>
        <v>13508.06335</v>
      </c>
      <c r="CF21" s="123">
        <f>CE21*(1+Inflation!$J$5)</f>
        <v>13845.76493</v>
      </c>
      <c r="CG21" s="123">
        <f>CF21*(1+Inflation!$J$5)</f>
        <v>14191.90906</v>
      </c>
      <c r="CH21" s="123">
        <f>CG21*(1+Inflation!$J$5)</f>
        <v>14546.70678</v>
      </c>
      <c r="CI21" s="123">
        <f>CH21*(1+Inflation!$J$5)</f>
        <v>14910.37445</v>
      </c>
      <c r="CJ21" s="123">
        <f>CI21*(1+Inflation!$J$5)</f>
        <v>15283.13382</v>
      </c>
      <c r="CK21" s="123">
        <f>CJ21*(1+Inflation!$J$5)</f>
        <v>15665.21216</v>
      </c>
      <c r="CL21" s="123">
        <f>CK21*(1+Inflation!$J$5)</f>
        <v>16056.84246</v>
      </c>
      <c r="CM21" s="123">
        <f>CL21*(1+Inflation!$J$5)</f>
        <v>16458.26353</v>
      </c>
      <c r="CN21" s="123">
        <f>CM21*(1+Inflation!$J$5)</f>
        <v>16869.72011</v>
      </c>
      <c r="CO21" s="123">
        <f>CN21*(1+Inflation!$J$5)</f>
        <v>17291.46312</v>
      </c>
      <c r="CP21" s="123">
        <f>CO21*(1+Inflation!$J$5)</f>
        <v>17723.7497</v>
      </c>
      <c r="CQ21" s="123">
        <f>CP21*(1+Inflation!$J$5)</f>
        <v>18166.84344</v>
      </c>
      <c r="CR21" s="123">
        <f>CQ21*(1+Inflation!$J$5)</f>
        <v>18621.01452</v>
      </c>
      <c r="CS21" s="123">
        <f>CR21*(1+Inflation!$J$5)</f>
        <v>19086.53989</v>
      </c>
      <c r="CT21" s="123">
        <f>CS21*(1+Inflation!$J$5)</f>
        <v>19563.70338</v>
      </c>
      <c r="CU21" s="123">
        <f>CT21*(1+Inflation!$J$5)</f>
        <v>20052.79597</v>
      </c>
      <c r="CV21" s="123">
        <f>CU21*(1+Inflation!$J$5)</f>
        <v>20554.11587</v>
      </c>
      <c r="CW21" s="123">
        <f>CV21*(1+Inflation!$J$5)</f>
        <v>21067.96876</v>
      </c>
      <c r="CX21" s="123">
        <f>CW21*(1+Inflation!$J$5)</f>
        <v>21594.66798</v>
      </c>
      <c r="CY21" s="118"/>
      <c r="CZ21" s="118"/>
      <c r="DA21" s="118"/>
      <c r="DB21" s="118"/>
      <c r="DC21" s="118"/>
      <c r="DD21" s="118"/>
      <c r="DE21" s="118"/>
      <c r="DF21" s="118"/>
      <c r="DG21" s="118"/>
      <c r="DH21" s="118"/>
      <c r="DI21" s="118"/>
      <c r="DJ21" s="118"/>
      <c r="DK21" s="118"/>
      <c r="DL21" s="118"/>
      <c r="DM21" s="118"/>
      <c r="DN21" s="118"/>
      <c r="DO21" s="118"/>
      <c r="DP21" s="118"/>
    </row>
    <row r="22" ht="18.75" customHeight="1">
      <c r="A22" s="104" t="s">
        <v>102</v>
      </c>
      <c r="B22" s="112">
        <f t="shared" ref="B22:M22" si="69">SUM(B19:B21)</f>
        <v>5333</v>
      </c>
      <c r="C22" s="112">
        <f t="shared" si="69"/>
        <v>5279</v>
      </c>
      <c r="D22" s="143">
        <f t="shared" si="69"/>
        <v>8542</v>
      </c>
      <c r="E22" s="112">
        <f t="shared" si="69"/>
        <v>4875</v>
      </c>
      <c r="F22" s="112">
        <f t="shared" si="69"/>
        <v>7391</v>
      </c>
      <c r="G22" s="112">
        <f t="shared" si="69"/>
        <v>7379</v>
      </c>
      <c r="H22" s="112">
        <f t="shared" si="69"/>
        <v>7379</v>
      </c>
      <c r="I22" s="112">
        <f t="shared" si="69"/>
        <v>7831</v>
      </c>
      <c r="J22" s="112">
        <f t="shared" si="69"/>
        <v>8474</v>
      </c>
      <c r="K22" s="112">
        <f t="shared" si="69"/>
        <v>8533</v>
      </c>
      <c r="L22" s="112">
        <f t="shared" si="69"/>
        <v>8994</v>
      </c>
      <c r="M22" s="112">
        <f t="shared" si="69"/>
        <v>8999</v>
      </c>
      <c r="N22" s="112">
        <f t="shared" si="56"/>
        <v>89009</v>
      </c>
      <c r="O22" s="144">
        <f>SUM(O19:O21)</f>
        <v>84600</v>
      </c>
      <c r="P22" s="75">
        <f t="shared" si="57"/>
        <v>4409</v>
      </c>
      <c r="Q22" s="104" t="s">
        <v>102</v>
      </c>
      <c r="R22" s="115">
        <f t="shared" ref="R22:AC22" si="70">SUM(R19:R21)</f>
        <v>8315.925</v>
      </c>
      <c r="S22" s="115">
        <f t="shared" si="70"/>
        <v>8457.925</v>
      </c>
      <c r="T22" s="115">
        <f t="shared" si="70"/>
        <v>10869.925</v>
      </c>
      <c r="U22" s="115">
        <f t="shared" si="70"/>
        <v>8869.925</v>
      </c>
      <c r="V22" s="115">
        <f t="shared" si="70"/>
        <v>8869.925</v>
      </c>
      <c r="W22" s="115">
        <f t="shared" si="70"/>
        <v>8869.925</v>
      </c>
      <c r="X22" s="115">
        <f t="shared" si="70"/>
        <v>8869.925</v>
      </c>
      <c r="Y22" s="115">
        <f t="shared" si="70"/>
        <v>8869.925</v>
      </c>
      <c r="Z22" s="115">
        <f t="shared" si="70"/>
        <v>8869.925</v>
      </c>
      <c r="AA22" s="115">
        <f t="shared" si="70"/>
        <v>8869.925</v>
      </c>
      <c r="AB22" s="115">
        <f t="shared" si="70"/>
        <v>8869.925</v>
      </c>
      <c r="AC22" s="115">
        <f t="shared" si="70"/>
        <v>8869.925</v>
      </c>
      <c r="AD22" s="115">
        <f t="shared" si="59"/>
        <v>107473.1</v>
      </c>
      <c r="AE22" s="145">
        <f>SUM(AE19:AE21)</f>
        <v>112216</v>
      </c>
      <c r="AF22" s="146">
        <f t="shared" si="60"/>
        <v>-4742.9</v>
      </c>
      <c r="AG22" s="104" t="s">
        <v>102</v>
      </c>
      <c r="AH22" s="115">
        <f t="shared" ref="AH22:AS22" si="71">SUM(AH19:AH21)</f>
        <v>9009.160625</v>
      </c>
      <c r="AI22" s="115">
        <f t="shared" si="71"/>
        <v>9009.160625</v>
      </c>
      <c r="AJ22" s="115">
        <f t="shared" si="71"/>
        <v>11059.16063</v>
      </c>
      <c r="AK22" s="115">
        <f t="shared" si="71"/>
        <v>9009.160625</v>
      </c>
      <c r="AL22" s="115">
        <f t="shared" si="71"/>
        <v>9009.160625</v>
      </c>
      <c r="AM22" s="115">
        <f t="shared" si="71"/>
        <v>9009.160625</v>
      </c>
      <c r="AN22" s="115">
        <f t="shared" si="71"/>
        <v>9009.160625</v>
      </c>
      <c r="AO22" s="115">
        <f t="shared" si="71"/>
        <v>9009.160625</v>
      </c>
      <c r="AP22" s="115">
        <f t="shared" si="71"/>
        <v>9009.160625</v>
      </c>
      <c r="AQ22" s="115">
        <f t="shared" si="71"/>
        <v>9009.160625</v>
      </c>
      <c r="AR22" s="115">
        <f t="shared" si="71"/>
        <v>9009.160625</v>
      </c>
      <c r="AS22" s="115">
        <f t="shared" si="71"/>
        <v>9009.160625</v>
      </c>
      <c r="AT22" s="115">
        <f t="shared" si="62"/>
        <v>110159.9275</v>
      </c>
      <c r="AU22" s="104" t="s">
        <v>102</v>
      </c>
      <c r="AV22" s="115">
        <f t="shared" ref="AV22:BG22" si="72">SUM(AV19:AV21)</f>
        <v>9234.389641</v>
      </c>
      <c r="AW22" s="115">
        <f t="shared" si="72"/>
        <v>9234.389641</v>
      </c>
      <c r="AX22" s="115">
        <f t="shared" si="72"/>
        <v>11335.63964</v>
      </c>
      <c r="AY22" s="115">
        <f t="shared" si="72"/>
        <v>9234.389641</v>
      </c>
      <c r="AZ22" s="115">
        <f t="shared" si="72"/>
        <v>9234.389641</v>
      </c>
      <c r="BA22" s="115">
        <f t="shared" si="72"/>
        <v>9234.389641</v>
      </c>
      <c r="BB22" s="115">
        <f t="shared" si="72"/>
        <v>9234.389641</v>
      </c>
      <c r="BC22" s="115">
        <f t="shared" si="72"/>
        <v>9234.389641</v>
      </c>
      <c r="BD22" s="115">
        <f t="shared" si="72"/>
        <v>9234.389641</v>
      </c>
      <c r="BE22" s="115">
        <f t="shared" si="72"/>
        <v>9234.389641</v>
      </c>
      <c r="BF22" s="115">
        <f t="shared" si="72"/>
        <v>9234.389641</v>
      </c>
      <c r="BG22" s="115">
        <f t="shared" si="72"/>
        <v>9234.389641</v>
      </c>
      <c r="BH22" s="115">
        <f t="shared" si="64"/>
        <v>112913.9257</v>
      </c>
      <c r="BI22" s="104" t="s">
        <v>102</v>
      </c>
      <c r="BJ22" s="115">
        <f t="shared" ref="BJ22:BU22" si="73">SUM(BJ19:BJ21)</f>
        <v>9465.249382</v>
      </c>
      <c r="BK22" s="115">
        <f t="shared" si="73"/>
        <v>9465.249382</v>
      </c>
      <c r="BL22" s="115">
        <f t="shared" si="73"/>
        <v>11619.03063</v>
      </c>
      <c r="BM22" s="115">
        <f t="shared" si="73"/>
        <v>9465.249382</v>
      </c>
      <c r="BN22" s="115">
        <f t="shared" si="73"/>
        <v>9465.249382</v>
      </c>
      <c r="BO22" s="115">
        <f t="shared" si="73"/>
        <v>9465.249382</v>
      </c>
      <c r="BP22" s="115">
        <f t="shared" si="73"/>
        <v>9465.249382</v>
      </c>
      <c r="BQ22" s="115">
        <f t="shared" si="73"/>
        <v>9465.249382</v>
      </c>
      <c r="BR22" s="115">
        <f t="shared" si="73"/>
        <v>9465.249382</v>
      </c>
      <c r="BS22" s="115">
        <f t="shared" si="73"/>
        <v>9465.249382</v>
      </c>
      <c r="BT22" s="115">
        <f t="shared" si="73"/>
        <v>9465.249382</v>
      </c>
      <c r="BU22" s="115">
        <f t="shared" si="73"/>
        <v>9465.249382</v>
      </c>
      <c r="BV22" s="115">
        <f t="shared" si="66"/>
        <v>115736.7738</v>
      </c>
      <c r="BW22" s="104" t="s">
        <v>102</v>
      </c>
      <c r="BX22" s="115">
        <f t="shared" ref="BX22:CX22" si="74">SUM(BX19:BX21)</f>
        <v>118630.1932</v>
      </c>
      <c r="BY22" s="115">
        <f t="shared" si="74"/>
        <v>121595.948</v>
      </c>
      <c r="BZ22" s="115">
        <f t="shared" si="74"/>
        <v>124635.8467</v>
      </c>
      <c r="CA22" s="115">
        <f t="shared" si="74"/>
        <v>127751.7429</v>
      </c>
      <c r="CB22" s="115">
        <f t="shared" si="74"/>
        <v>130945.5364</v>
      </c>
      <c r="CC22" s="115">
        <f t="shared" si="74"/>
        <v>134219.1749</v>
      </c>
      <c r="CD22" s="115">
        <f t="shared" si="74"/>
        <v>137574.6542</v>
      </c>
      <c r="CE22" s="115">
        <f t="shared" si="74"/>
        <v>141014.0206</v>
      </c>
      <c r="CF22" s="115">
        <f t="shared" si="74"/>
        <v>144539.3711</v>
      </c>
      <c r="CG22" s="115">
        <f t="shared" si="74"/>
        <v>148152.8554</v>
      </c>
      <c r="CH22" s="115">
        <f t="shared" si="74"/>
        <v>151856.6768</v>
      </c>
      <c r="CI22" s="115">
        <f t="shared" si="74"/>
        <v>155653.0937</v>
      </c>
      <c r="CJ22" s="115">
        <f t="shared" si="74"/>
        <v>159544.421</v>
      </c>
      <c r="CK22" s="115">
        <f t="shared" si="74"/>
        <v>163533.0315</v>
      </c>
      <c r="CL22" s="115">
        <f t="shared" si="74"/>
        <v>167621.3573</v>
      </c>
      <c r="CM22" s="115">
        <f t="shared" si="74"/>
        <v>171811.8913</v>
      </c>
      <c r="CN22" s="115">
        <f t="shared" si="74"/>
        <v>176107.1885</v>
      </c>
      <c r="CO22" s="115">
        <f t="shared" si="74"/>
        <v>180509.8683</v>
      </c>
      <c r="CP22" s="115">
        <f t="shared" si="74"/>
        <v>185022.615</v>
      </c>
      <c r="CQ22" s="115">
        <f t="shared" si="74"/>
        <v>189648.1803</v>
      </c>
      <c r="CR22" s="115">
        <f t="shared" si="74"/>
        <v>194389.3849</v>
      </c>
      <c r="CS22" s="115">
        <f t="shared" si="74"/>
        <v>199249.1195</v>
      </c>
      <c r="CT22" s="115">
        <f t="shared" si="74"/>
        <v>204230.3475</v>
      </c>
      <c r="CU22" s="115">
        <f t="shared" si="74"/>
        <v>209336.1061</v>
      </c>
      <c r="CV22" s="115">
        <f t="shared" si="74"/>
        <v>214569.5088</v>
      </c>
      <c r="CW22" s="115">
        <f t="shared" si="74"/>
        <v>219933.7465</v>
      </c>
      <c r="CX22" s="115">
        <f t="shared" si="74"/>
        <v>225432.0902</v>
      </c>
      <c r="CY22" s="118"/>
      <c r="CZ22" s="118"/>
      <c r="DA22" s="118"/>
      <c r="DB22" s="118"/>
      <c r="DC22" s="118"/>
      <c r="DD22" s="118"/>
      <c r="DE22" s="118"/>
      <c r="DF22" s="118"/>
      <c r="DG22" s="118"/>
      <c r="DH22" s="118"/>
      <c r="DI22" s="118"/>
      <c r="DJ22" s="118"/>
      <c r="DK22" s="118"/>
      <c r="DL22" s="118"/>
      <c r="DM22" s="118"/>
      <c r="DN22" s="118"/>
      <c r="DO22" s="118"/>
      <c r="DP22" s="118"/>
    </row>
    <row r="23" ht="18.75" customHeight="1">
      <c r="A23" s="104" t="s">
        <v>103</v>
      </c>
      <c r="B23" s="147"/>
      <c r="C23" s="138"/>
      <c r="D23" s="139"/>
      <c r="E23" s="138"/>
      <c r="F23" s="138"/>
      <c r="G23" s="138"/>
      <c r="H23" s="138"/>
      <c r="I23" s="138"/>
      <c r="J23" s="138"/>
      <c r="K23" s="138"/>
      <c r="L23" s="138"/>
      <c r="M23" s="138"/>
      <c r="N23" s="138"/>
      <c r="O23" s="108"/>
      <c r="P23" s="108"/>
      <c r="Q23" s="104" t="s">
        <v>103</v>
      </c>
      <c r="R23" s="123"/>
      <c r="S23" s="140"/>
      <c r="T23" s="140"/>
      <c r="U23" s="140"/>
      <c r="V23" s="140"/>
      <c r="W23" s="140"/>
      <c r="X23" s="140"/>
      <c r="Y23" s="140"/>
      <c r="Z23" s="140"/>
      <c r="AA23" s="140"/>
      <c r="AB23" s="140"/>
      <c r="AC23" s="140"/>
      <c r="AD23" s="140"/>
      <c r="AE23" s="137"/>
      <c r="AF23" s="104"/>
      <c r="AG23" s="104" t="s">
        <v>103</v>
      </c>
      <c r="AH23" s="123"/>
      <c r="AI23" s="140"/>
      <c r="AJ23" s="140"/>
      <c r="AK23" s="140"/>
      <c r="AL23" s="140"/>
      <c r="AM23" s="140"/>
      <c r="AN23" s="140"/>
      <c r="AO23" s="140"/>
      <c r="AP23" s="140"/>
      <c r="AQ23" s="140"/>
      <c r="AR23" s="140"/>
      <c r="AS23" s="140"/>
      <c r="AT23" s="140"/>
      <c r="AU23" s="104" t="s">
        <v>103</v>
      </c>
      <c r="AV23" s="123"/>
      <c r="AW23" s="140"/>
      <c r="AX23" s="140"/>
      <c r="AY23" s="140"/>
      <c r="AZ23" s="140"/>
      <c r="BA23" s="140"/>
      <c r="BB23" s="140"/>
      <c r="BC23" s="140"/>
      <c r="BD23" s="140"/>
      <c r="BE23" s="140"/>
      <c r="BF23" s="140"/>
      <c r="BG23" s="140"/>
      <c r="BH23" s="140"/>
      <c r="BI23" s="104" t="s">
        <v>103</v>
      </c>
      <c r="BJ23" s="123"/>
      <c r="BK23" s="140"/>
      <c r="BL23" s="140"/>
      <c r="BM23" s="140"/>
      <c r="BN23" s="140"/>
      <c r="BO23" s="140"/>
      <c r="BP23" s="140"/>
      <c r="BQ23" s="140"/>
      <c r="BR23" s="140"/>
      <c r="BS23" s="140"/>
      <c r="BT23" s="140"/>
      <c r="BU23" s="140"/>
      <c r="BV23" s="140"/>
      <c r="BW23" s="104" t="s">
        <v>103</v>
      </c>
      <c r="BX23" s="115" t="str">
        <f>BV23</f>
        <v/>
      </c>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c r="CY23" s="113"/>
      <c r="CZ23" s="113"/>
      <c r="DA23" s="113"/>
      <c r="DB23" s="113"/>
      <c r="DC23" s="113"/>
      <c r="DD23" s="113"/>
      <c r="DE23" s="113"/>
      <c r="DF23" s="113"/>
      <c r="DG23" s="113"/>
      <c r="DH23" s="113"/>
      <c r="DI23" s="113"/>
      <c r="DJ23" s="113"/>
      <c r="DK23" s="113"/>
      <c r="DL23" s="113"/>
      <c r="DM23" s="113"/>
      <c r="DN23" s="113"/>
      <c r="DO23" s="113"/>
      <c r="DP23" s="113"/>
    </row>
    <row r="24" ht="24.0" customHeight="1">
      <c r="A24" s="142" t="s">
        <v>104</v>
      </c>
      <c r="B24" s="71">
        <v>0.0</v>
      </c>
      <c r="C24" s="71">
        <v>0.0</v>
      </c>
      <c r="D24" s="71">
        <v>0.0</v>
      </c>
      <c r="E24" s="71">
        <v>636.0</v>
      </c>
      <c r="F24" s="71">
        <v>0.0</v>
      </c>
      <c r="G24" s="71">
        <v>32.0</v>
      </c>
      <c r="H24" s="71">
        <v>190.0</v>
      </c>
      <c r="I24" s="71">
        <v>528.0</v>
      </c>
      <c r="J24" s="111">
        <v>105.0</v>
      </c>
      <c r="K24" s="71">
        <v>863.0</v>
      </c>
      <c r="L24" s="111">
        <v>105.0</v>
      </c>
      <c r="M24" s="110">
        <v>110.0</v>
      </c>
      <c r="N24" s="64">
        <f t="shared" ref="N24:N31" si="76">SUM(B24:M24)</f>
        <v>2569</v>
      </c>
      <c r="O24" s="74">
        <v>1265.0</v>
      </c>
      <c r="P24" s="75">
        <f t="shared" ref="P24:P31" si="77">N24-O24</f>
        <v>1304</v>
      </c>
      <c r="Q24" s="142" t="s">
        <v>104</v>
      </c>
      <c r="R24" s="125">
        <f t="shared" ref="R24:R25" si="78">(AE24/12)</f>
        <v>164.0833333</v>
      </c>
      <c r="S24" s="123">
        <f t="shared" ref="S24:AC24" si="75">R24</f>
        <v>164.0833333</v>
      </c>
      <c r="T24" s="123">
        <f t="shared" si="75"/>
        <v>164.0833333</v>
      </c>
      <c r="U24" s="123">
        <f t="shared" si="75"/>
        <v>164.0833333</v>
      </c>
      <c r="V24" s="123">
        <f t="shared" si="75"/>
        <v>164.0833333</v>
      </c>
      <c r="W24" s="123">
        <f t="shared" si="75"/>
        <v>164.0833333</v>
      </c>
      <c r="X24" s="123">
        <f t="shared" si="75"/>
        <v>164.0833333</v>
      </c>
      <c r="Y24" s="123">
        <f t="shared" si="75"/>
        <v>164.0833333</v>
      </c>
      <c r="Z24" s="123">
        <f t="shared" si="75"/>
        <v>164.0833333</v>
      </c>
      <c r="AA24" s="123">
        <f t="shared" si="75"/>
        <v>164.0833333</v>
      </c>
      <c r="AB24" s="123">
        <f t="shared" si="75"/>
        <v>164.0833333</v>
      </c>
      <c r="AC24" s="123">
        <f t="shared" si="75"/>
        <v>164.0833333</v>
      </c>
      <c r="AD24" s="65">
        <f t="shared" ref="AD24:AD31" si="80">SUM(R24:AC24)</f>
        <v>1969</v>
      </c>
      <c r="AE24" s="116">
        <v>1969.0</v>
      </c>
      <c r="AF24" s="117">
        <f t="shared" ref="AF24:AF31" si="81">AD24-AE24</f>
        <v>0</v>
      </c>
      <c r="AG24" s="119" t="s">
        <v>105</v>
      </c>
      <c r="AH24" s="125">
        <f>R24*(1+(Inflation!$G$6))</f>
        <v>168.1854167</v>
      </c>
      <c r="AI24" s="125">
        <f>S24*(1+(Inflation!$G$6))</f>
        <v>168.1854167</v>
      </c>
      <c r="AJ24" s="125">
        <f>T24*(1+(Inflation!$G$6))</f>
        <v>168.1854167</v>
      </c>
      <c r="AK24" s="125">
        <f>U24*(1+(Inflation!$G$6))</f>
        <v>168.1854167</v>
      </c>
      <c r="AL24" s="125">
        <f>V24*(1+(Inflation!$G$6))</f>
        <v>168.1854167</v>
      </c>
      <c r="AM24" s="125">
        <f>W24*(1+(Inflation!$G$6))</f>
        <v>168.1854167</v>
      </c>
      <c r="AN24" s="125">
        <f>X24*(1+(Inflation!$G$6))</f>
        <v>168.1854167</v>
      </c>
      <c r="AO24" s="125">
        <f>Y24*(1+(Inflation!$G$6))</f>
        <v>168.1854167</v>
      </c>
      <c r="AP24" s="125">
        <f>Z24*(1+(Inflation!$G$6))</f>
        <v>168.1854167</v>
      </c>
      <c r="AQ24" s="125">
        <f>AA24*(1+(Inflation!$G$6))</f>
        <v>168.1854167</v>
      </c>
      <c r="AR24" s="125">
        <f>AB24*(1+(Inflation!$G$6))</f>
        <v>168.1854167</v>
      </c>
      <c r="AS24" s="125">
        <f>AC24*(1+(Inflation!$G$6))</f>
        <v>168.1854167</v>
      </c>
      <c r="AT24" s="65">
        <f t="shared" ref="AT24:AT31" si="83">SUM(AH24:AS24)</f>
        <v>2018.225</v>
      </c>
      <c r="AU24" s="119" t="s">
        <v>105</v>
      </c>
      <c r="AV24" s="125">
        <f>AH24*(1+(Inflation!$H$6))</f>
        <v>172.3900521</v>
      </c>
      <c r="AW24" s="125">
        <f>AI24*(1+(Inflation!$H$6))</f>
        <v>172.3900521</v>
      </c>
      <c r="AX24" s="125">
        <f>AJ24*(1+(Inflation!$H$6))</f>
        <v>172.3900521</v>
      </c>
      <c r="AY24" s="125">
        <f>AK24*(1+(Inflation!$H$6))</f>
        <v>172.3900521</v>
      </c>
      <c r="AZ24" s="125">
        <f>AL24*(1+(Inflation!$H$6))</f>
        <v>172.3900521</v>
      </c>
      <c r="BA24" s="125">
        <f>AM24*(1+(Inflation!$H$6))</f>
        <v>172.3900521</v>
      </c>
      <c r="BB24" s="125">
        <f>AN24*(1+(Inflation!$H$6))</f>
        <v>172.3900521</v>
      </c>
      <c r="BC24" s="125">
        <f>AO24*(1+(Inflation!$H$6))</f>
        <v>172.3900521</v>
      </c>
      <c r="BD24" s="125">
        <f>AP24*(1+(Inflation!$H$6))</f>
        <v>172.3900521</v>
      </c>
      <c r="BE24" s="125">
        <f>AQ24*(1+(Inflation!$H$6))</f>
        <v>172.3900521</v>
      </c>
      <c r="BF24" s="125">
        <f>AR24*(1+(Inflation!$H$6))</f>
        <v>172.3900521</v>
      </c>
      <c r="BG24" s="125">
        <f>AS24*(1+(Inflation!$H$6))</f>
        <v>172.3900521</v>
      </c>
      <c r="BH24" s="65">
        <f t="shared" ref="BH24:BH31" si="85">SUM(AV24:BG24)</f>
        <v>2068.680625</v>
      </c>
      <c r="BI24" s="119" t="s">
        <v>105</v>
      </c>
      <c r="BJ24" s="125">
        <f>AV24*(1+(Inflation!$I$6))</f>
        <v>176.6998034</v>
      </c>
      <c r="BK24" s="125">
        <f>AW24*(1+(Inflation!$H$6))</f>
        <v>176.6998034</v>
      </c>
      <c r="BL24" s="125">
        <f>AX24*(1+(Inflation!$H$6))</f>
        <v>176.6998034</v>
      </c>
      <c r="BM24" s="125">
        <f>AY24*(1+(Inflation!$H$6))</f>
        <v>176.6998034</v>
      </c>
      <c r="BN24" s="125">
        <f>AZ24*(1+(Inflation!$H$6))</f>
        <v>176.6998034</v>
      </c>
      <c r="BO24" s="125">
        <f>BA24*(1+(Inflation!$H$6))</f>
        <v>176.6998034</v>
      </c>
      <c r="BP24" s="125">
        <f>BB24*(1+(Inflation!$H$6))</f>
        <v>176.6998034</v>
      </c>
      <c r="BQ24" s="125">
        <f>BC24*(1+(Inflation!$H$6))</f>
        <v>176.6998034</v>
      </c>
      <c r="BR24" s="125">
        <f>BD24*(1+(Inflation!$H$6))</f>
        <v>176.6998034</v>
      </c>
      <c r="BS24" s="125">
        <f>BE24*(1+(Inflation!$H$6))</f>
        <v>176.6998034</v>
      </c>
      <c r="BT24" s="125">
        <f>BF24*(1+(Inflation!$H$6))</f>
        <v>176.6998034</v>
      </c>
      <c r="BU24" s="125">
        <f>BG24*(1+(Inflation!$H$6))</f>
        <v>176.6998034</v>
      </c>
      <c r="BV24" s="65">
        <f t="shared" ref="BV24:BV31" si="87">SUM(BJ24:BU24)</f>
        <v>2120.397641</v>
      </c>
      <c r="BW24" s="119" t="s">
        <v>105</v>
      </c>
      <c r="BX24" s="123">
        <f>BV24*(1+Inflation!$J$4)</f>
        <v>2188.250365</v>
      </c>
      <c r="BY24" s="123">
        <f>BX24*(1+Inflation!$J$4)</f>
        <v>2258.274377</v>
      </c>
      <c r="BZ24" s="123">
        <f>BY24*(1+Inflation!$J$4)</f>
        <v>2330.539157</v>
      </c>
      <c r="CA24" s="123">
        <f>BZ24*(1+Inflation!$J$4)</f>
        <v>2405.11641</v>
      </c>
      <c r="CB24" s="123">
        <f>CA24*(1+Inflation!$J$4)</f>
        <v>2482.080135</v>
      </c>
      <c r="CC24" s="123">
        <f>CB24*(1+Inflation!$J$4)</f>
        <v>2561.506699</v>
      </c>
      <c r="CD24" s="123">
        <f>CC24*(1+Inflation!$J$4)</f>
        <v>2643.474914</v>
      </c>
      <c r="CE24" s="123">
        <f>CD24*(1+Inflation!$J$4)</f>
        <v>2728.066111</v>
      </c>
      <c r="CF24" s="123">
        <f>CE24*(1+Inflation!$J$4)</f>
        <v>2815.364226</v>
      </c>
      <c r="CG24" s="123">
        <f>CF24*(1+Inflation!$J$4)</f>
        <v>2905.455882</v>
      </c>
      <c r="CH24" s="123">
        <f>CG24*(1+Inflation!$J$4)</f>
        <v>2998.43047</v>
      </c>
      <c r="CI24" s="123">
        <f>CH24*(1+Inflation!$J$4)</f>
        <v>3094.380245</v>
      </c>
      <c r="CJ24" s="123">
        <f>CI24*(1+Inflation!$J$4)</f>
        <v>3193.400413</v>
      </c>
      <c r="CK24" s="123">
        <f>CJ24*(1+Inflation!$J$4)</f>
        <v>3295.589226</v>
      </c>
      <c r="CL24" s="123">
        <f>CK24*(1+Inflation!$J$4)</f>
        <v>3401.048081</v>
      </c>
      <c r="CM24" s="123">
        <f>CL24*(1+Inflation!$J$4)</f>
        <v>3509.88162</v>
      </c>
      <c r="CN24" s="123">
        <f>CM24*(1+Inflation!$J$4)</f>
        <v>3622.197832</v>
      </c>
      <c r="CO24" s="123">
        <f>CN24*(1+Inflation!$J$4)</f>
        <v>3738.108162</v>
      </c>
      <c r="CP24" s="123">
        <f>CO24*(1+Inflation!$J$4)</f>
        <v>3857.727624</v>
      </c>
      <c r="CQ24" s="123">
        <f>CP24*(1+Inflation!$J$4)</f>
        <v>3981.174907</v>
      </c>
      <c r="CR24" s="123">
        <f>CQ24*(1+Inflation!$J$4)</f>
        <v>4108.572505</v>
      </c>
      <c r="CS24" s="123">
        <f>CR24*(1+Inflation!$J$4)</f>
        <v>4240.046825</v>
      </c>
      <c r="CT24" s="123">
        <f>CS24*(1+Inflation!$J$4)</f>
        <v>4375.728323</v>
      </c>
      <c r="CU24" s="123">
        <f>CT24*(1+Inflation!$J$4)</f>
        <v>4515.751629</v>
      </c>
      <c r="CV24" s="123">
        <f>CU24*(1+Inflation!$J$4)</f>
        <v>4660.255682</v>
      </c>
      <c r="CW24" s="123">
        <f>CV24*(1+Inflation!$J$4)</f>
        <v>4809.383863</v>
      </c>
      <c r="CX24" s="123">
        <f>CW24*(1+Inflation!$J$4)</f>
        <v>4963.284147</v>
      </c>
      <c r="CY24" s="61"/>
      <c r="CZ24" s="61"/>
      <c r="DA24" s="61"/>
      <c r="DB24" s="61"/>
      <c r="DC24" s="61"/>
      <c r="DD24" s="61"/>
      <c r="DE24" s="61"/>
      <c r="DF24" s="61"/>
      <c r="DG24" s="61"/>
      <c r="DH24" s="61"/>
      <c r="DI24" s="61"/>
      <c r="DJ24" s="61"/>
      <c r="DK24" s="61"/>
      <c r="DL24" s="61"/>
      <c r="DM24" s="61"/>
      <c r="DN24" s="61"/>
      <c r="DO24" s="61"/>
      <c r="DP24" s="61"/>
    </row>
    <row r="25" ht="18.75" customHeight="1">
      <c r="A25" s="142" t="s">
        <v>106</v>
      </c>
      <c r="B25" s="71">
        <v>0.0</v>
      </c>
      <c r="C25" s="71">
        <v>3756.0</v>
      </c>
      <c r="D25" s="71">
        <v>11268.0</v>
      </c>
      <c r="E25" s="71">
        <v>3756.0</v>
      </c>
      <c r="F25" s="71">
        <v>0.0</v>
      </c>
      <c r="G25" s="71">
        <v>7541.0</v>
      </c>
      <c r="H25" s="71">
        <v>12187.0</v>
      </c>
      <c r="I25" s="71">
        <v>5634.0</v>
      </c>
      <c r="J25" s="71">
        <v>1199.0</v>
      </c>
      <c r="K25" s="71">
        <v>19060.0</v>
      </c>
      <c r="L25" s="71">
        <v>3748.0</v>
      </c>
      <c r="M25" s="121">
        <v>3748.0</v>
      </c>
      <c r="N25" s="64">
        <f t="shared" si="76"/>
        <v>71897</v>
      </c>
      <c r="O25" s="74">
        <v>65000.0</v>
      </c>
      <c r="P25" s="75">
        <f t="shared" si="77"/>
        <v>6897</v>
      </c>
      <c r="Q25" s="142" t="s">
        <v>107</v>
      </c>
      <c r="R25" s="125">
        <f t="shared" si="78"/>
        <v>5156.166667</v>
      </c>
      <c r="S25" s="123">
        <f t="shared" ref="S25:AC25" si="79">R25</f>
        <v>5156.166667</v>
      </c>
      <c r="T25" s="123">
        <f t="shared" si="79"/>
        <v>5156.166667</v>
      </c>
      <c r="U25" s="123">
        <f t="shared" si="79"/>
        <v>5156.166667</v>
      </c>
      <c r="V25" s="123">
        <f t="shared" si="79"/>
        <v>5156.166667</v>
      </c>
      <c r="W25" s="123">
        <f t="shared" si="79"/>
        <v>5156.166667</v>
      </c>
      <c r="X25" s="123">
        <f t="shared" si="79"/>
        <v>5156.166667</v>
      </c>
      <c r="Y25" s="123">
        <f t="shared" si="79"/>
        <v>5156.166667</v>
      </c>
      <c r="Z25" s="123">
        <f t="shared" si="79"/>
        <v>5156.166667</v>
      </c>
      <c r="AA25" s="123">
        <f t="shared" si="79"/>
        <v>5156.166667</v>
      </c>
      <c r="AB25" s="123">
        <f t="shared" si="79"/>
        <v>5156.166667</v>
      </c>
      <c r="AC25" s="123">
        <f t="shared" si="79"/>
        <v>5156.166667</v>
      </c>
      <c r="AD25" s="65">
        <f t="shared" si="80"/>
        <v>61874</v>
      </c>
      <c r="AE25" s="116">
        <v>61874.0</v>
      </c>
      <c r="AF25" s="117">
        <f t="shared" si="81"/>
        <v>0</v>
      </c>
      <c r="AG25" s="119" t="s">
        <v>108</v>
      </c>
      <c r="AH25" s="125">
        <f>(AD25/12)*(1+(Inflation!$F$5))</f>
        <v>5285.070833</v>
      </c>
      <c r="AI25" s="123">
        <f t="shared" ref="AI25:AS25" si="82">AH25</f>
        <v>5285.070833</v>
      </c>
      <c r="AJ25" s="123">
        <f t="shared" si="82"/>
        <v>5285.070833</v>
      </c>
      <c r="AK25" s="123">
        <f t="shared" si="82"/>
        <v>5285.070833</v>
      </c>
      <c r="AL25" s="123">
        <f t="shared" si="82"/>
        <v>5285.070833</v>
      </c>
      <c r="AM25" s="123">
        <f t="shared" si="82"/>
        <v>5285.070833</v>
      </c>
      <c r="AN25" s="123">
        <f t="shared" si="82"/>
        <v>5285.070833</v>
      </c>
      <c r="AO25" s="123">
        <f t="shared" si="82"/>
        <v>5285.070833</v>
      </c>
      <c r="AP25" s="123">
        <f t="shared" si="82"/>
        <v>5285.070833</v>
      </c>
      <c r="AQ25" s="123">
        <f t="shared" si="82"/>
        <v>5285.070833</v>
      </c>
      <c r="AR25" s="123">
        <f t="shared" si="82"/>
        <v>5285.070833</v>
      </c>
      <c r="AS25" s="123">
        <f t="shared" si="82"/>
        <v>5285.070833</v>
      </c>
      <c r="AT25" s="65">
        <f t="shared" si="83"/>
        <v>63420.85</v>
      </c>
      <c r="AU25" s="119" t="s">
        <v>108</v>
      </c>
      <c r="AV25" s="125">
        <f>(AT25/12)*(1+(Inflation!$F$5))</f>
        <v>5417.197604</v>
      </c>
      <c r="AW25" s="123">
        <f t="shared" ref="AW25:BG25" si="84">AV25</f>
        <v>5417.197604</v>
      </c>
      <c r="AX25" s="123">
        <f t="shared" si="84"/>
        <v>5417.197604</v>
      </c>
      <c r="AY25" s="123">
        <f t="shared" si="84"/>
        <v>5417.197604</v>
      </c>
      <c r="AZ25" s="123">
        <f t="shared" si="84"/>
        <v>5417.197604</v>
      </c>
      <c r="BA25" s="123">
        <f t="shared" si="84"/>
        <v>5417.197604</v>
      </c>
      <c r="BB25" s="123">
        <f t="shared" si="84"/>
        <v>5417.197604</v>
      </c>
      <c r="BC25" s="123">
        <f t="shared" si="84"/>
        <v>5417.197604</v>
      </c>
      <c r="BD25" s="123">
        <f t="shared" si="84"/>
        <v>5417.197604</v>
      </c>
      <c r="BE25" s="123">
        <f t="shared" si="84"/>
        <v>5417.197604</v>
      </c>
      <c r="BF25" s="123">
        <f t="shared" si="84"/>
        <v>5417.197604</v>
      </c>
      <c r="BG25" s="123">
        <f t="shared" si="84"/>
        <v>5417.197604</v>
      </c>
      <c r="BH25" s="65">
        <f t="shared" si="85"/>
        <v>65006.37125</v>
      </c>
      <c r="BI25" s="119" t="s">
        <v>108</v>
      </c>
      <c r="BJ25" s="125">
        <f>(BH25/12)*(1+(Inflation!$F$5))</f>
        <v>5552.627544</v>
      </c>
      <c r="BK25" s="123">
        <f t="shared" ref="BK25:BU25" si="86">BJ25</f>
        <v>5552.627544</v>
      </c>
      <c r="BL25" s="123">
        <f t="shared" si="86"/>
        <v>5552.627544</v>
      </c>
      <c r="BM25" s="123">
        <f t="shared" si="86"/>
        <v>5552.627544</v>
      </c>
      <c r="BN25" s="123">
        <f t="shared" si="86"/>
        <v>5552.627544</v>
      </c>
      <c r="BO25" s="123">
        <f t="shared" si="86"/>
        <v>5552.627544</v>
      </c>
      <c r="BP25" s="123">
        <f t="shared" si="86"/>
        <v>5552.627544</v>
      </c>
      <c r="BQ25" s="123">
        <f t="shared" si="86"/>
        <v>5552.627544</v>
      </c>
      <c r="BR25" s="123">
        <f t="shared" si="86"/>
        <v>5552.627544</v>
      </c>
      <c r="BS25" s="123">
        <f t="shared" si="86"/>
        <v>5552.627544</v>
      </c>
      <c r="BT25" s="123">
        <f t="shared" si="86"/>
        <v>5552.627544</v>
      </c>
      <c r="BU25" s="123">
        <f t="shared" si="86"/>
        <v>5552.627544</v>
      </c>
      <c r="BV25" s="65">
        <f t="shared" si="87"/>
        <v>66631.53053</v>
      </c>
      <c r="BW25" s="119" t="s">
        <v>108</v>
      </c>
      <c r="BX25" s="123">
        <f>BV25*(1+Inflation!$J$5)</f>
        <v>68297.31879</v>
      </c>
      <c r="BY25" s="123">
        <f>BX25*(1+Inflation!$J$5)</f>
        <v>70004.75176</v>
      </c>
      <c r="BZ25" s="123">
        <f>BY25*(1+Inflation!$J$5)</f>
        <v>71754.87056</v>
      </c>
      <c r="CA25" s="123">
        <f>BZ25*(1+Inflation!$J$5)</f>
        <v>73548.74232</v>
      </c>
      <c r="CB25" s="123">
        <f>CA25*(1+Inflation!$J$5)</f>
        <v>75387.46088</v>
      </c>
      <c r="CC25" s="123">
        <f>CB25*(1+Inflation!$J$5)</f>
        <v>77272.1474</v>
      </c>
      <c r="CD25" s="123">
        <f>CC25*(1+Inflation!$J$5)</f>
        <v>79203.95109</v>
      </c>
      <c r="CE25" s="123">
        <f>CD25*(1+Inflation!$J$5)</f>
        <v>81184.04986</v>
      </c>
      <c r="CF25" s="123">
        <f>CE25*(1+Inflation!$J$5)</f>
        <v>83213.65111</v>
      </c>
      <c r="CG25" s="123">
        <f>CF25*(1+Inflation!$J$5)</f>
        <v>85293.99239</v>
      </c>
      <c r="CH25" s="123">
        <f>CG25*(1+Inflation!$J$5)</f>
        <v>87426.3422</v>
      </c>
      <c r="CI25" s="123">
        <f>CH25*(1+Inflation!$J$5)</f>
        <v>89612.00075</v>
      </c>
      <c r="CJ25" s="123">
        <f>CI25*(1+Inflation!$J$5)</f>
        <v>91852.30077</v>
      </c>
      <c r="CK25" s="123">
        <f>CJ25*(1+Inflation!$J$5)</f>
        <v>94148.60829</v>
      </c>
      <c r="CL25" s="123">
        <f>CK25*(1+Inflation!$J$5)</f>
        <v>96502.3235</v>
      </c>
      <c r="CM25" s="123">
        <f>CL25*(1+Inflation!$J$5)</f>
        <v>98914.88159</v>
      </c>
      <c r="CN25" s="123">
        <f>CM25*(1+Inflation!$J$5)</f>
        <v>101387.7536</v>
      </c>
      <c r="CO25" s="123">
        <f>CN25*(1+Inflation!$J$5)</f>
        <v>103922.4475</v>
      </c>
      <c r="CP25" s="123">
        <f>CO25*(1+Inflation!$J$5)</f>
        <v>106520.5087</v>
      </c>
      <c r="CQ25" s="123">
        <f>CP25*(1+Inflation!$J$5)</f>
        <v>109183.5214</v>
      </c>
      <c r="CR25" s="123">
        <f>CQ25*(1+Inflation!$J$5)</f>
        <v>111913.1094</v>
      </c>
      <c r="CS25" s="123">
        <f>CR25*(1+Inflation!$J$5)</f>
        <v>114710.9371</v>
      </c>
      <c r="CT25" s="123">
        <f>CS25*(1+Inflation!$J$5)</f>
        <v>117578.7106</v>
      </c>
      <c r="CU25" s="123">
        <f>CT25*(1+Inflation!$J$5)</f>
        <v>120518.1783</v>
      </c>
      <c r="CV25" s="123">
        <f>CU25*(1+Inflation!$J$5)</f>
        <v>123531.1328</v>
      </c>
      <c r="CW25" s="123">
        <f>CV25*(1+Inflation!$J$5)</f>
        <v>126619.4111</v>
      </c>
      <c r="CX25" s="123">
        <f>CW25*(1+Inflation!$J$5)</f>
        <v>129784.8964</v>
      </c>
      <c r="CY25" s="61"/>
      <c r="CZ25" s="61"/>
      <c r="DA25" s="61"/>
      <c r="DB25" s="61"/>
      <c r="DC25" s="61"/>
      <c r="DD25" s="61"/>
      <c r="DE25" s="61"/>
      <c r="DF25" s="61"/>
      <c r="DG25" s="61"/>
      <c r="DH25" s="61"/>
      <c r="DI25" s="61"/>
      <c r="DJ25" s="61"/>
      <c r="DK25" s="61"/>
      <c r="DL25" s="61"/>
      <c r="DM25" s="61"/>
      <c r="DN25" s="61"/>
      <c r="DO25" s="61"/>
      <c r="DP25" s="61"/>
    </row>
    <row r="26" ht="18.75" customHeight="1">
      <c r="A26" s="142" t="s">
        <v>109</v>
      </c>
      <c r="B26" s="71">
        <v>19878.0</v>
      </c>
      <c r="C26" s="71">
        <v>256.0</v>
      </c>
      <c r="D26" s="71">
        <v>7540.0</v>
      </c>
      <c r="E26" s="71">
        <v>366.0</v>
      </c>
      <c r="F26" s="71">
        <v>365.0</v>
      </c>
      <c r="G26" s="71">
        <v>139.0</v>
      </c>
      <c r="H26" s="71">
        <v>12669.0</v>
      </c>
      <c r="I26" s="71">
        <v>2939.0</v>
      </c>
      <c r="J26" s="71">
        <v>13845.0</v>
      </c>
      <c r="K26" s="71">
        <v>14929.0</v>
      </c>
      <c r="L26" s="71">
        <v>0.0</v>
      </c>
      <c r="M26" s="121">
        <f>(sum($C26:$H26)/6)</f>
        <v>3555.833333</v>
      </c>
      <c r="N26" s="64">
        <f t="shared" si="76"/>
        <v>76481.83333</v>
      </c>
      <c r="O26" s="74">
        <v>60820.0</v>
      </c>
      <c r="P26" s="75">
        <f t="shared" si="77"/>
        <v>15661.83333</v>
      </c>
      <c r="Q26" s="142" t="s">
        <v>109</v>
      </c>
      <c r="R26" s="126">
        <v>5991.0</v>
      </c>
      <c r="S26" s="125">
        <f t="shared" ref="S26:AC26" si="88">R26</f>
        <v>5991</v>
      </c>
      <c r="T26" s="125">
        <f t="shared" si="88"/>
        <v>5991</v>
      </c>
      <c r="U26" s="125">
        <f t="shared" si="88"/>
        <v>5991</v>
      </c>
      <c r="V26" s="125">
        <f t="shared" si="88"/>
        <v>5991</v>
      </c>
      <c r="W26" s="125">
        <f t="shared" si="88"/>
        <v>5991</v>
      </c>
      <c r="X26" s="125">
        <f t="shared" si="88"/>
        <v>5991</v>
      </c>
      <c r="Y26" s="125">
        <f t="shared" si="88"/>
        <v>5991</v>
      </c>
      <c r="Z26" s="125">
        <f t="shared" si="88"/>
        <v>5991</v>
      </c>
      <c r="AA26" s="125">
        <f t="shared" si="88"/>
        <v>5991</v>
      </c>
      <c r="AB26" s="125">
        <f t="shared" si="88"/>
        <v>5991</v>
      </c>
      <c r="AC26" s="125">
        <f t="shared" si="88"/>
        <v>5991</v>
      </c>
      <c r="AD26" s="65">
        <f t="shared" si="80"/>
        <v>71892</v>
      </c>
      <c r="AE26" s="116">
        <v>71892.0</v>
      </c>
      <c r="AF26" s="117">
        <f t="shared" si="81"/>
        <v>0</v>
      </c>
      <c r="AG26" s="142" t="s">
        <v>109</v>
      </c>
      <c r="AH26" s="125">
        <f>(AC26)*(1+(Inflation!$F$2))</f>
        <v>6212.667</v>
      </c>
      <c r="AI26" s="125">
        <f t="shared" ref="AI26:AS26" si="89">AH26</f>
        <v>6212.667</v>
      </c>
      <c r="AJ26" s="125">
        <f t="shared" si="89"/>
        <v>6212.667</v>
      </c>
      <c r="AK26" s="125">
        <f t="shared" si="89"/>
        <v>6212.667</v>
      </c>
      <c r="AL26" s="125">
        <f t="shared" si="89"/>
        <v>6212.667</v>
      </c>
      <c r="AM26" s="125">
        <f t="shared" si="89"/>
        <v>6212.667</v>
      </c>
      <c r="AN26" s="125">
        <f t="shared" si="89"/>
        <v>6212.667</v>
      </c>
      <c r="AO26" s="125">
        <f t="shared" si="89"/>
        <v>6212.667</v>
      </c>
      <c r="AP26" s="125">
        <f t="shared" si="89"/>
        <v>6212.667</v>
      </c>
      <c r="AQ26" s="125">
        <f t="shared" si="89"/>
        <v>6212.667</v>
      </c>
      <c r="AR26" s="125">
        <f t="shared" si="89"/>
        <v>6212.667</v>
      </c>
      <c r="AS26" s="125">
        <f t="shared" si="89"/>
        <v>6212.667</v>
      </c>
      <c r="AT26" s="65">
        <f t="shared" si="83"/>
        <v>74552.004</v>
      </c>
      <c r="AU26" s="142" t="s">
        <v>109</v>
      </c>
      <c r="AV26" s="125">
        <f>(AS26)*(1+(Inflation!$F$2))</f>
        <v>6442.535679</v>
      </c>
      <c r="AW26" s="125">
        <f t="shared" ref="AW26:BG26" si="90">AV26</f>
        <v>6442.535679</v>
      </c>
      <c r="AX26" s="125">
        <f t="shared" si="90"/>
        <v>6442.535679</v>
      </c>
      <c r="AY26" s="125">
        <f t="shared" si="90"/>
        <v>6442.535679</v>
      </c>
      <c r="AZ26" s="125">
        <f t="shared" si="90"/>
        <v>6442.535679</v>
      </c>
      <c r="BA26" s="125">
        <f t="shared" si="90"/>
        <v>6442.535679</v>
      </c>
      <c r="BB26" s="125">
        <f t="shared" si="90"/>
        <v>6442.535679</v>
      </c>
      <c r="BC26" s="125">
        <f t="shared" si="90"/>
        <v>6442.535679</v>
      </c>
      <c r="BD26" s="125">
        <f t="shared" si="90"/>
        <v>6442.535679</v>
      </c>
      <c r="BE26" s="125">
        <f t="shared" si="90"/>
        <v>6442.535679</v>
      </c>
      <c r="BF26" s="125">
        <f t="shared" si="90"/>
        <v>6442.535679</v>
      </c>
      <c r="BG26" s="125">
        <f t="shared" si="90"/>
        <v>6442.535679</v>
      </c>
      <c r="BH26" s="65">
        <f t="shared" si="85"/>
        <v>77310.42815</v>
      </c>
      <c r="BI26" s="142" t="s">
        <v>109</v>
      </c>
      <c r="BJ26" s="125">
        <f>(BG26)*(1+(Inflation!$F$2))</f>
        <v>6680.909499</v>
      </c>
      <c r="BK26" s="125">
        <f t="shared" ref="BK26:BU26" si="91">BJ26</f>
        <v>6680.909499</v>
      </c>
      <c r="BL26" s="125">
        <f t="shared" si="91"/>
        <v>6680.909499</v>
      </c>
      <c r="BM26" s="125">
        <f t="shared" si="91"/>
        <v>6680.909499</v>
      </c>
      <c r="BN26" s="125">
        <f t="shared" si="91"/>
        <v>6680.909499</v>
      </c>
      <c r="BO26" s="125">
        <f t="shared" si="91"/>
        <v>6680.909499</v>
      </c>
      <c r="BP26" s="125">
        <f t="shared" si="91"/>
        <v>6680.909499</v>
      </c>
      <c r="BQ26" s="125">
        <f t="shared" si="91"/>
        <v>6680.909499</v>
      </c>
      <c r="BR26" s="125">
        <f t="shared" si="91"/>
        <v>6680.909499</v>
      </c>
      <c r="BS26" s="125">
        <f t="shared" si="91"/>
        <v>6680.909499</v>
      </c>
      <c r="BT26" s="125">
        <f t="shared" si="91"/>
        <v>6680.909499</v>
      </c>
      <c r="BU26" s="125">
        <f t="shared" si="91"/>
        <v>6680.909499</v>
      </c>
      <c r="BV26" s="65">
        <f t="shared" si="87"/>
        <v>80170.91399</v>
      </c>
      <c r="BW26" s="142" t="s">
        <v>109</v>
      </c>
      <c r="BX26" s="123">
        <f>BV26*(1+(Inflation!$F$2))</f>
        <v>83137.23781</v>
      </c>
      <c r="BY26" s="123">
        <f>BX26*(1+(Inflation!$F$2))</f>
        <v>86213.31561</v>
      </c>
      <c r="BZ26" s="123">
        <f>BY26*(1+Inflation!$J$4)</f>
        <v>88972.14171</v>
      </c>
      <c r="CA26" s="123">
        <f>BZ26*(1+Inflation!$J$4)</f>
        <v>91819.25024</v>
      </c>
      <c r="CB26" s="123">
        <f>CA26*(1+Inflation!$J$4)</f>
        <v>94757.46625</v>
      </c>
      <c r="CC26" s="123">
        <f>CB26*(1+Inflation!$J$4)</f>
        <v>97789.70517</v>
      </c>
      <c r="CD26" s="123">
        <f>CC26*(1+Inflation!$J$4)</f>
        <v>100918.9757</v>
      </c>
      <c r="CE26" s="123">
        <f>CD26*(1+Inflation!$J$4)</f>
        <v>104148.383</v>
      </c>
      <c r="CF26" s="123">
        <f>CE26*(1+Inflation!$J$4)</f>
        <v>107481.1312</v>
      </c>
      <c r="CG26" s="123">
        <f>CF26*(1+Inflation!$J$4)</f>
        <v>110920.5274</v>
      </c>
      <c r="CH26" s="123">
        <f>CG26*(1+Inflation!$J$4)</f>
        <v>114469.9843</v>
      </c>
      <c r="CI26" s="123">
        <f>CH26*(1+Inflation!$J$4)</f>
        <v>118133.0238</v>
      </c>
      <c r="CJ26" s="123">
        <f>CI26*(1+Inflation!$J$4)</f>
        <v>121913.2805</v>
      </c>
      <c r="CK26" s="123">
        <f>CJ26*(1+Inflation!$J$4)</f>
        <v>125814.5055</v>
      </c>
      <c r="CL26" s="123">
        <f>CK26*(1+Inflation!$J$4)</f>
        <v>129840.5697</v>
      </c>
      <c r="CM26" s="123">
        <f>CL26*(1+Inflation!$J$4)</f>
        <v>133995.4679</v>
      </c>
      <c r="CN26" s="123">
        <f>CM26*(1+Inflation!$J$4)</f>
        <v>138283.3229</v>
      </c>
      <c r="CO26" s="123">
        <f>CN26*(1+Inflation!$J$4)</f>
        <v>142708.3892</v>
      </c>
      <c r="CP26" s="123">
        <f>CO26*(1+Inflation!$J$4)</f>
        <v>147275.0577</v>
      </c>
      <c r="CQ26" s="123">
        <f>CP26*(1+Inflation!$J$4)</f>
        <v>151987.8595</v>
      </c>
      <c r="CR26" s="123">
        <f>CQ26*(1+Inflation!$J$4)</f>
        <v>156851.471</v>
      </c>
      <c r="CS26" s="123">
        <f>CR26*(1+Inflation!$J$4)</f>
        <v>161870.7181</v>
      </c>
      <c r="CT26" s="123">
        <f>CS26*(1+Inflation!$J$4)</f>
        <v>167050.5811</v>
      </c>
      <c r="CU26" s="123">
        <f>CT26*(1+Inflation!$J$4)</f>
        <v>172396.1997</v>
      </c>
      <c r="CV26" s="123">
        <f>CU26*(1+Inflation!$J$4)</f>
        <v>177912.8781</v>
      </c>
      <c r="CW26" s="123">
        <f>CV26*(1+Inflation!$J$4)</f>
        <v>183606.0902</v>
      </c>
      <c r="CX26" s="123">
        <f>CW26*(1+Inflation!$J$4)</f>
        <v>189481.4851</v>
      </c>
      <c r="CY26" s="113"/>
      <c r="CZ26" s="113"/>
      <c r="DA26" s="113"/>
      <c r="DB26" s="113"/>
      <c r="DC26" s="113"/>
      <c r="DD26" s="113"/>
      <c r="DE26" s="113"/>
      <c r="DF26" s="113"/>
      <c r="DG26" s="113"/>
      <c r="DH26" s="113"/>
      <c r="DI26" s="113"/>
      <c r="DJ26" s="113"/>
      <c r="DK26" s="113"/>
      <c r="DL26" s="113"/>
      <c r="DM26" s="113"/>
      <c r="DN26" s="113"/>
      <c r="DO26" s="113"/>
      <c r="DP26" s="113"/>
    </row>
    <row r="27" ht="18.75" customHeight="1">
      <c r="A27" s="148" t="s">
        <v>110</v>
      </c>
      <c r="B27" s="149">
        <f t="shared" ref="B27:M27" si="92">B82</f>
        <v>27685</v>
      </c>
      <c r="C27" s="149">
        <f t="shared" si="92"/>
        <v>0</v>
      </c>
      <c r="D27" s="149">
        <f t="shared" si="92"/>
        <v>25659.5</v>
      </c>
      <c r="E27" s="149">
        <f t="shared" si="92"/>
        <v>0</v>
      </c>
      <c r="F27" s="149">
        <f t="shared" si="92"/>
        <v>0</v>
      </c>
      <c r="G27" s="149">
        <f t="shared" si="92"/>
        <v>10000</v>
      </c>
      <c r="H27" s="149">
        <f t="shared" si="92"/>
        <v>170108</v>
      </c>
      <c r="I27" s="149">
        <f t="shared" si="92"/>
        <v>90246</v>
      </c>
      <c r="J27" s="149">
        <f t="shared" si="92"/>
        <v>0</v>
      </c>
      <c r="K27" s="149">
        <f t="shared" si="92"/>
        <v>40246</v>
      </c>
      <c r="L27" s="71">
        <f t="shared" si="92"/>
        <v>137937</v>
      </c>
      <c r="M27" s="150">
        <f t="shared" si="92"/>
        <v>134702.2665</v>
      </c>
      <c r="N27" s="151">
        <f t="shared" si="76"/>
        <v>636583.7665</v>
      </c>
      <c r="O27" s="144">
        <v>807000.0</v>
      </c>
      <c r="P27" s="75">
        <f t="shared" si="77"/>
        <v>-170416.2335</v>
      </c>
      <c r="Q27" s="152" t="s">
        <v>111</v>
      </c>
      <c r="R27" s="153">
        <f t="shared" ref="R27:AC27" si="93">R82</f>
        <v>0</v>
      </c>
      <c r="S27" s="153">
        <f t="shared" si="93"/>
        <v>0</v>
      </c>
      <c r="T27" s="153">
        <f t="shared" si="93"/>
        <v>0</v>
      </c>
      <c r="U27" s="153">
        <f t="shared" si="93"/>
        <v>0</v>
      </c>
      <c r="V27" s="153">
        <f t="shared" si="93"/>
        <v>10000</v>
      </c>
      <c r="W27" s="153">
        <f t="shared" si="93"/>
        <v>191226</v>
      </c>
      <c r="X27" s="153">
        <f t="shared" si="93"/>
        <v>114983.6429</v>
      </c>
      <c r="Y27" s="153">
        <f t="shared" si="93"/>
        <v>72575.56015</v>
      </c>
      <c r="Z27" s="153">
        <f t="shared" si="93"/>
        <v>99292.84586</v>
      </c>
      <c r="AA27" s="153">
        <f t="shared" si="93"/>
        <v>112446.9511</v>
      </c>
      <c r="AB27" s="153">
        <f t="shared" si="93"/>
        <v>48000</v>
      </c>
      <c r="AC27" s="153">
        <f t="shared" si="93"/>
        <v>0</v>
      </c>
      <c r="AD27" s="154">
        <f t="shared" si="80"/>
        <v>648525</v>
      </c>
      <c r="AE27" s="155">
        <v>566158.0</v>
      </c>
      <c r="AF27" s="156">
        <f t="shared" si="81"/>
        <v>82367</v>
      </c>
      <c r="AG27" s="152" t="s">
        <v>111</v>
      </c>
      <c r="AH27" s="153">
        <f t="shared" ref="AH27:AS27" si="94">AH82</f>
        <v>0</v>
      </c>
      <c r="AI27" s="153">
        <f t="shared" si="94"/>
        <v>0</v>
      </c>
      <c r="AJ27" s="153">
        <f t="shared" si="94"/>
        <v>0</v>
      </c>
      <c r="AK27" s="153">
        <f t="shared" si="94"/>
        <v>27855.39677</v>
      </c>
      <c r="AL27" s="153">
        <f t="shared" si="94"/>
        <v>32870.20602</v>
      </c>
      <c r="AM27" s="153">
        <f t="shared" si="94"/>
        <v>156810.5995</v>
      </c>
      <c r="AN27" s="153">
        <f t="shared" si="94"/>
        <v>48000</v>
      </c>
      <c r="AO27" s="153">
        <f t="shared" si="94"/>
        <v>6000</v>
      </c>
      <c r="AP27" s="153">
        <f t="shared" si="94"/>
        <v>0</v>
      </c>
      <c r="AQ27" s="153">
        <f t="shared" si="94"/>
        <v>5000</v>
      </c>
      <c r="AR27" s="153">
        <f t="shared" si="94"/>
        <v>0</v>
      </c>
      <c r="AS27" s="153">
        <f t="shared" si="94"/>
        <v>0</v>
      </c>
      <c r="AT27" s="154">
        <f t="shared" si="83"/>
        <v>276536.2023</v>
      </c>
      <c r="AU27" s="152" t="s">
        <v>111</v>
      </c>
      <c r="AV27" s="153">
        <f t="shared" ref="AV27:BG27" si="95">AV82</f>
        <v>0</v>
      </c>
      <c r="AW27" s="153">
        <f t="shared" si="95"/>
        <v>0</v>
      </c>
      <c r="AX27" s="153">
        <f t="shared" si="95"/>
        <v>0</v>
      </c>
      <c r="AY27" s="153">
        <f t="shared" si="95"/>
        <v>16019.02598</v>
      </c>
      <c r="AZ27" s="153">
        <f t="shared" si="95"/>
        <v>152076.6571</v>
      </c>
      <c r="BA27" s="153">
        <f t="shared" si="95"/>
        <v>0</v>
      </c>
      <c r="BB27" s="153">
        <f t="shared" si="95"/>
        <v>0</v>
      </c>
      <c r="BC27" s="153">
        <f t="shared" si="95"/>
        <v>628.0958347</v>
      </c>
      <c r="BD27" s="153">
        <f t="shared" si="95"/>
        <v>5471.970912</v>
      </c>
      <c r="BE27" s="153">
        <f t="shared" si="95"/>
        <v>5175</v>
      </c>
      <c r="BF27" s="153">
        <f t="shared" si="95"/>
        <v>0</v>
      </c>
      <c r="BG27" s="153">
        <f t="shared" si="95"/>
        <v>0</v>
      </c>
      <c r="BH27" s="154">
        <f t="shared" si="85"/>
        <v>179370.7499</v>
      </c>
      <c r="BI27" s="152" t="s">
        <v>111</v>
      </c>
      <c r="BJ27" s="153">
        <f t="shared" ref="BJ27:BU27" si="96">BJ82</f>
        <v>0</v>
      </c>
      <c r="BK27" s="153">
        <f t="shared" si="96"/>
        <v>0</v>
      </c>
      <c r="BL27" s="153">
        <f t="shared" si="96"/>
        <v>0</v>
      </c>
      <c r="BM27" s="153">
        <f t="shared" si="96"/>
        <v>16531.63482</v>
      </c>
      <c r="BN27" s="153">
        <f t="shared" si="96"/>
        <v>0</v>
      </c>
      <c r="BO27" s="153">
        <f t="shared" si="96"/>
        <v>0</v>
      </c>
      <c r="BP27" s="153">
        <f t="shared" si="96"/>
        <v>0</v>
      </c>
      <c r="BQ27" s="153">
        <f t="shared" si="96"/>
        <v>650.6254671</v>
      </c>
      <c r="BR27" s="153">
        <f t="shared" si="96"/>
        <v>0</v>
      </c>
      <c r="BS27" s="153">
        <f t="shared" si="96"/>
        <v>5356.125</v>
      </c>
      <c r="BT27" s="153">
        <f t="shared" si="96"/>
        <v>0</v>
      </c>
      <c r="BU27" s="153">
        <f t="shared" si="96"/>
        <v>0</v>
      </c>
      <c r="BV27" s="154">
        <f t="shared" si="87"/>
        <v>22538.38528</v>
      </c>
      <c r="BW27" s="152" t="s">
        <v>111</v>
      </c>
      <c r="BX27" s="153">
        <f t="shared" ref="BX27:CX27" si="97">BX82</f>
        <v>23606.17803</v>
      </c>
      <c r="BY27" s="153">
        <f t="shared" si="97"/>
        <v>24386.90521</v>
      </c>
      <c r="BZ27" s="153">
        <f t="shared" si="97"/>
        <v>147954.6848</v>
      </c>
      <c r="CA27" s="153">
        <f t="shared" si="97"/>
        <v>26026.8962</v>
      </c>
      <c r="CB27" s="153">
        <f t="shared" si="97"/>
        <v>26887.91098</v>
      </c>
      <c r="CC27" s="153">
        <f t="shared" si="97"/>
        <v>581253.1526</v>
      </c>
      <c r="CD27" s="153">
        <f t="shared" si="97"/>
        <v>565255.0563</v>
      </c>
      <c r="CE27" s="153">
        <f t="shared" si="97"/>
        <v>474289.914</v>
      </c>
      <c r="CF27" s="153">
        <f t="shared" si="97"/>
        <v>30627.25545</v>
      </c>
      <c r="CG27" s="153">
        <f t="shared" si="97"/>
        <v>223716.5808</v>
      </c>
      <c r="CH27" s="153">
        <f t="shared" si="97"/>
        <v>231653.5772</v>
      </c>
      <c r="CI27" s="153">
        <f t="shared" si="97"/>
        <v>587212.3582</v>
      </c>
      <c r="CJ27" s="153">
        <f t="shared" si="97"/>
        <v>435601.8774</v>
      </c>
      <c r="CK27" s="153">
        <f t="shared" si="97"/>
        <v>426008.073</v>
      </c>
      <c r="CL27" s="153">
        <f t="shared" si="97"/>
        <v>37236.74474</v>
      </c>
      <c r="CM27" s="153">
        <f t="shared" si="97"/>
        <v>232570.8517</v>
      </c>
      <c r="CN27" s="153">
        <f t="shared" si="97"/>
        <v>83154.08592</v>
      </c>
      <c r="CO27" s="153">
        <f t="shared" si="97"/>
        <v>86027.51824</v>
      </c>
      <c r="CP27" s="153">
        <f t="shared" si="97"/>
        <v>42420.1673</v>
      </c>
      <c r="CQ27" s="153">
        <f t="shared" si="97"/>
        <v>94006.60645</v>
      </c>
      <c r="CR27" s="153">
        <f t="shared" si="97"/>
        <v>365880.6831</v>
      </c>
      <c r="CS27" s="153">
        <f t="shared" si="97"/>
        <v>551708.2631</v>
      </c>
      <c r="CT27" s="153">
        <f t="shared" si="97"/>
        <v>548365.4922</v>
      </c>
      <c r="CU27" s="153">
        <f t="shared" si="97"/>
        <v>49928.83909</v>
      </c>
      <c r="CV27" s="153">
        <f t="shared" si="97"/>
        <v>51583.53174</v>
      </c>
      <c r="CW27" s="153">
        <f t="shared" si="97"/>
        <v>53293.21804</v>
      </c>
      <c r="CX27" s="153">
        <f t="shared" si="97"/>
        <v>55059.7311</v>
      </c>
      <c r="CY27" s="157"/>
      <c r="CZ27" s="157"/>
      <c r="DA27" s="157"/>
      <c r="DB27" s="157"/>
      <c r="DC27" s="157"/>
      <c r="DD27" s="157"/>
      <c r="DE27" s="157"/>
      <c r="DF27" s="157"/>
      <c r="DG27" s="157"/>
      <c r="DH27" s="157"/>
      <c r="DI27" s="157"/>
      <c r="DJ27" s="157"/>
      <c r="DK27" s="157"/>
      <c r="DL27" s="157"/>
      <c r="DM27" s="157"/>
      <c r="DN27" s="157"/>
      <c r="DO27" s="157"/>
      <c r="DP27" s="157"/>
    </row>
    <row r="28" ht="18.75" customHeight="1">
      <c r="A28" s="119" t="s">
        <v>112</v>
      </c>
      <c r="B28" s="158"/>
      <c r="C28" s="159"/>
      <c r="D28" s="160"/>
      <c r="E28" s="159"/>
      <c r="F28" s="71">
        <v>1900.0</v>
      </c>
      <c r="G28" s="71">
        <v>1581.0</v>
      </c>
      <c r="H28" s="161">
        <v>1746.0</v>
      </c>
      <c r="I28" s="124">
        <v>2500.0</v>
      </c>
      <c r="J28" s="71">
        <v>886.0</v>
      </c>
      <c r="K28" s="159"/>
      <c r="L28" s="62">
        <v>711.0</v>
      </c>
      <c r="M28" s="159"/>
      <c r="N28" s="64">
        <f t="shared" si="76"/>
        <v>9324</v>
      </c>
      <c r="O28" s="74">
        <v>10000.0</v>
      </c>
      <c r="P28" s="75">
        <f t="shared" si="77"/>
        <v>-676</v>
      </c>
      <c r="Q28" s="119" t="s">
        <v>112</v>
      </c>
      <c r="R28" s="125"/>
      <c r="S28" s="123"/>
      <c r="T28" s="123"/>
      <c r="U28" s="123"/>
      <c r="V28" s="123">
        <f>(AE28/4)</f>
        <v>2212.5</v>
      </c>
      <c r="W28" s="123">
        <f t="shared" ref="W28:Y28" si="98">V28</f>
        <v>2212.5</v>
      </c>
      <c r="X28" s="123">
        <f t="shared" si="98"/>
        <v>2212.5</v>
      </c>
      <c r="Y28" s="123">
        <f t="shared" si="98"/>
        <v>2212.5</v>
      </c>
      <c r="Z28" s="123"/>
      <c r="AA28" s="123"/>
      <c r="AB28" s="123"/>
      <c r="AC28" s="123"/>
      <c r="AD28" s="65">
        <f t="shared" si="80"/>
        <v>8850</v>
      </c>
      <c r="AE28" s="116">
        <v>8850.0</v>
      </c>
      <c r="AF28" s="117">
        <f t="shared" si="81"/>
        <v>0</v>
      </c>
      <c r="AG28" s="119" t="s">
        <v>112</v>
      </c>
      <c r="AH28" s="125"/>
      <c r="AI28" s="123"/>
      <c r="AJ28" s="123"/>
      <c r="AK28" s="123"/>
      <c r="AL28" s="123">
        <f>(AD28/4)*(1+Inflation!$D$4)</f>
        <v>2273.34375</v>
      </c>
      <c r="AM28" s="123">
        <f t="shared" ref="AM28:AO28" si="99">AL28</f>
        <v>2273.34375</v>
      </c>
      <c r="AN28" s="123">
        <f t="shared" si="99"/>
        <v>2273.34375</v>
      </c>
      <c r="AO28" s="123">
        <f t="shared" si="99"/>
        <v>2273.34375</v>
      </c>
      <c r="AP28" s="123"/>
      <c r="AQ28" s="123"/>
      <c r="AR28" s="123"/>
      <c r="AS28" s="123"/>
      <c r="AT28" s="65">
        <f t="shared" si="83"/>
        <v>9093.375</v>
      </c>
      <c r="AU28" s="119" t="s">
        <v>112</v>
      </c>
      <c r="AV28" s="125"/>
      <c r="AW28" s="123"/>
      <c r="AX28" s="123"/>
      <c r="AY28" s="123"/>
      <c r="AZ28" s="123">
        <f>(AT28/4)*(1+Inflation!$D$4)</f>
        <v>2335.860703</v>
      </c>
      <c r="BA28" s="123">
        <f t="shared" ref="BA28:BC28" si="100">AZ28</f>
        <v>2335.860703</v>
      </c>
      <c r="BB28" s="123">
        <f t="shared" si="100"/>
        <v>2335.860703</v>
      </c>
      <c r="BC28" s="123">
        <f t="shared" si="100"/>
        <v>2335.860703</v>
      </c>
      <c r="BD28" s="123"/>
      <c r="BE28" s="123"/>
      <c r="BF28" s="123"/>
      <c r="BG28" s="123"/>
      <c r="BH28" s="65">
        <f t="shared" si="85"/>
        <v>9343.442813</v>
      </c>
      <c r="BI28" s="119" t="s">
        <v>112</v>
      </c>
      <c r="BJ28" s="125"/>
      <c r="BK28" s="123"/>
      <c r="BL28" s="123"/>
      <c r="BM28" s="123"/>
      <c r="BN28" s="123">
        <f>(BH28/4)*(1+Inflation!$D$4)</f>
        <v>2400.096872</v>
      </c>
      <c r="BO28" s="123">
        <f t="shared" ref="BO28:BQ28" si="101">BN28</f>
        <v>2400.096872</v>
      </c>
      <c r="BP28" s="123">
        <f t="shared" si="101"/>
        <v>2400.096872</v>
      </c>
      <c r="BQ28" s="123">
        <f t="shared" si="101"/>
        <v>2400.096872</v>
      </c>
      <c r="BR28" s="123"/>
      <c r="BS28" s="123"/>
      <c r="BT28" s="123"/>
      <c r="BU28" s="123"/>
      <c r="BV28" s="65">
        <f t="shared" si="87"/>
        <v>9600.38749</v>
      </c>
      <c r="BW28" s="119" t="s">
        <v>112</v>
      </c>
      <c r="BX28" s="123">
        <f>BV28*(1+Inflation!$J$4)</f>
        <v>9907.59989</v>
      </c>
      <c r="BY28" s="123">
        <f>BX28*(1+Inflation!$J$4)</f>
        <v>10224.64309</v>
      </c>
      <c r="BZ28" s="123">
        <f>BY28*(1+Inflation!$J$4)</f>
        <v>10551.83166</v>
      </c>
      <c r="CA28" s="123">
        <f>BZ28*(1+Inflation!$J$4)</f>
        <v>10889.49028</v>
      </c>
      <c r="CB28" s="123">
        <f>CA28*(1+Inflation!$J$4)</f>
        <v>11237.95397</v>
      </c>
      <c r="CC28" s="123">
        <f>CB28*(1+Inflation!$J$4)</f>
        <v>11597.56849</v>
      </c>
      <c r="CD28" s="123">
        <f>CC28*(1+Inflation!$J$4)</f>
        <v>11968.69069</v>
      </c>
      <c r="CE28" s="123">
        <f>CD28*(1+Inflation!$J$4)</f>
        <v>12351.68879</v>
      </c>
      <c r="CF28" s="123">
        <f>CE28*(1+Inflation!$J$4)</f>
        <v>12746.94283</v>
      </c>
      <c r="CG28" s="123">
        <f>CF28*(1+Inflation!$J$4)</f>
        <v>13154.845</v>
      </c>
      <c r="CH28" s="123">
        <f>CG28*(1+Inflation!$J$4)</f>
        <v>13575.80004</v>
      </c>
      <c r="CI28" s="123">
        <f>CH28*(1+Inflation!$J$4)</f>
        <v>14010.22564</v>
      </c>
      <c r="CJ28" s="123">
        <f>CI28*(1+Inflation!$J$4)</f>
        <v>14458.55286</v>
      </c>
      <c r="CK28" s="123">
        <f>CJ28*(1+Inflation!$J$4)</f>
        <v>14921.22655</v>
      </c>
      <c r="CL28" s="123">
        <f>CK28*(1+Inflation!$J$4)</f>
        <v>15398.7058</v>
      </c>
      <c r="CM28" s="123">
        <f>CL28*(1+Inflation!$J$4)</f>
        <v>15891.46439</v>
      </c>
      <c r="CN28" s="123">
        <f>CM28*(1+Inflation!$J$4)</f>
        <v>16399.99125</v>
      </c>
      <c r="CO28" s="123">
        <f>CN28*(1+Inflation!$J$4)</f>
        <v>16924.79097</v>
      </c>
      <c r="CP28" s="123">
        <f>CO28*(1+Inflation!$J$4)</f>
        <v>17466.38428</v>
      </c>
      <c r="CQ28" s="123">
        <f>CP28*(1+Inflation!$J$4)</f>
        <v>18025.30858</v>
      </c>
      <c r="CR28" s="123">
        <f>CQ28*(1+Inflation!$J$4)</f>
        <v>18602.11845</v>
      </c>
      <c r="CS28" s="123">
        <f>CR28*(1+Inflation!$J$4)</f>
        <v>19197.38624</v>
      </c>
      <c r="CT28" s="123">
        <f>CS28*(1+Inflation!$J$4)</f>
        <v>19811.7026</v>
      </c>
      <c r="CU28" s="123">
        <f>CT28*(1+Inflation!$J$4)</f>
        <v>20445.67708</v>
      </c>
      <c r="CV28" s="123">
        <f>CU28*(1+Inflation!$J$4)</f>
        <v>21099.93875</v>
      </c>
      <c r="CW28" s="123">
        <f>CV28*(1+Inflation!$J$4)</f>
        <v>21775.13679</v>
      </c>
      <c r="CX28" s="123">
        <f>CW28*(1+Inflation!$J$4)</f>
        <v>22471.94117</v>
      </c>
      <c r="CY28" s="61"/>
      <c r="CZ28" s="61"/>
      <c r="DA28" s="61"/>
      <c r="DB28" s="61"/>
      <c r="DC28" s="61"/>
      <c r="DD28" s="61"/>
      <c r="DE28" s="61"/>
      <c r="DF28" s="61"/>
      <c r="DG28" s="61"/>
      <c r="DH28" s="61"/>
      <c r="DI28" s="61"/>
      <c r="DJ28" s="61"/>
      <c r="DK28" s="61"/>
      <c r="DL28" s="61"/>
      <c r="DM28" s="61"/>
      <c r="DN28" s="61"/>
      <c r="DO28" s="61"/>
      <c r="DP28" s="61"/>
    </row>
    <row r="29" ht="18.75" customHeight="1">
      <c r="A29" s="119" t="s">
        <v>113</v>
      </c>
      <c r="B29" s="71">
        <v>5798.0</v>
      </c>
      <c r="C29" s="71">
        <v>1438.0</v>
      </c>
      <c r="D29" s="71">
        <v>288.0</v>
      </c>
      <c r="E29" s="71">
        <v>0.0</v>
      </c>
      <c r="F29" s="162">
        <v>125.0</v>
      </c>
      <c r="G29" s="163">
        <v>0.0</v>
      </c>
      <c r="H29" s="161">
        <v>71.0</v>
      </c>
      <c r="I29" s="162">
        <v>125.0</v>
      </c>
      <c r="J29" s="163">
        <v>0.0</v>
      </c>
      <c r="K29" s="162">
        <v>125.0</v>
      </c>
      <c r="L29" s="163">
        <v>0.0</v>
      </c>
      <c r="M29" s="162">
        <v>125.0</v>
      </c>
      <c r="N29" s="64">
        <f t="shared" si="76"/>
        <v>8095</v>
      </c>
      <c r="O29" s="74">
        <v>1500.0</v>
      </c>
      <c r="P29" s="75">
        <f t="shared" si="77"/>
        <v>6595</v>
      </c>
      <c r="Q29" s="119" t="s">
        <v>113</v>
      </c>
      <c r="R29" s="125">
        <f>AE29/12</f>
        <v>128.1666667</v>
      </c>
      <c r="S29" s="164">
        <f t="shared" ref="S29:AC29" si="102">R29</f>
        <v>128.1666667</v>
      </c>
      <c r="T29" s="164">
        <f t="shared" si="102"/>
        <v>128.1666667</v>
      </c>
      <c r="U29" s="164">
        <f t="shared" si="102"/>
        <v>128.1666667</v>
      </c>
      <c r="V29" s="164">
        <f t="shared" si="102"/>
        <v>128.1666667</v>
      </c>
      <c r="W29" s="164">
        <f t="shared" si="102"/>
        <v>128.1666667</v>
      </c>
      <c r="X29" s="164">
        <f t="shared" si="102"/>
        <v>128.1666667</v>
      </c>
      <c r="Y29" s="164">
        <f t="shared" si="102"/>
        <v>128.1666667</v>
      </c>
      <c r="Z29" s="164">
        <f t="shared" si="102"/>
        <v>128.1666667</v>
      </c>
      <c r="AA29" s="164">
        <f t="shared" si="102"/>
        <v>128.1666667</v>
      </c>
      <c r="AB29" s="164">
        <f t="shared" si="102"/>
        <v>128.1666667</v>
      </c>
      <c r="AC29" s="164">
        <f t="shared" si="102"/>
        <v>128.1666667</v>
      </c>
      <c r="AD29" s="65">
        <f t="shared" si="80"/>
        <v>1538</v>
      </c>
      <c r="AE29" s="116">
        <v>1538.0</v>
      </c>
      <c r="AF29" s="117">
        <f t="shared" si="81"/>
        <v>0</v>
      </c>
      <c r="AG29" s="119" t="s">
        <v>113</v>
      </c>
      <c r="AH29" s="125">
        <f>AC29*(1+(Inflation!$F$6))</f>
        <v>131.3708333</v>
      </c>
      <c r="AI29" s="164">
        <f t="shared" ref="AI29:AS29" si="103">AH29</f>
        <v>131.3708333</v>
      </c>
      <c r="AJ29" s="164">
        <f t="shared" si="103"/>
        <v>131.3708333</v>
      </c>
      <c r="AK29" s="164">
        <f t="shared" si="103"/>
        <v>131.3708333</v>
      </c>
      <c r="AL29" s="164">
        <f t="shared" si="103"/>
        <v>131.3708333</v>
      </c>
      <c r="AM29" s="164">
        <f t="shared" si="103"/>
        <v>131.3708333</v>
      </c>
      <c r="AN29" s="164">
        <f t="shared" si="103"/>
        <v>131.3708333</v>
      </c>
      <c r="AO29" s="164">
        <f t="shared" si="103"/>
        <v>131.3708333</v>
      </c>
      <c r="AP29" s="164">
        <f t="shared" si="103"/>
        <v>131.3708333</v>
      </c>
      <c r="AQ29" s="164">
        <f t="shared" si="103"/>
        <v>131.3708333</v>
      </c>
      <c r="AR29" s="164">
        <f t="shared" si="103"/>
        <v>131.3708333</v>
      </c>
      <c r="AS29" s="164">
        <f t="shared" si="103"/>
        <v>131.3708333</v>
      </c>
      <c r="AT29" s="65">
        <f t="shared" si="83"/>
        <v>1576.45</v>
      </c>
      <c r="AU29" s="119" t="s">
        <v>113</v>
      </c>
      <c r="AV29" s="125">
        <f>AS29*(1+(Inflation!$F$6))</f>
        <v>134.6551042</v>
      </c>
      <c r="AW29" s="164">
        <f t="shared" ref="AW29:BG29" si="104">AV29</f>
        <v>134.6551042</v>
      </c>
      <c r="AX29" s="164">
        <f t="shared" si="104"/>
        <v>134.6551042</v>
      </c>
      <c r="AY29" s="164">
        <f t="shared" si="104"/>
        <v>134.6551042</v>
      </c>
      <c r="AZ29" s="164">
        <f t="shared" si="104"/>
        <v>134.6551042</v>
      </c>
      <c r="BA29" s="164">
        <f t="shared" si="104"/>
        <v>134.6551042</v>
      </c>
      <c r="BB29" s="164">
        <f t="shared" si="104"/>
        <v>134.6551042</v>
      </c>
      <c r="BC29" s="164">
        <f t="shared" si="104"/>
        <v>134.6551042</v>
      </c>
      <c r="BD29" s="164">
        <f t="shared" si="104"/>
        <v>134.6551042</v>
      </c>
      <c r="BE29" s="164">
        <f t="shared" si="104"/>
        <v>134.6551042</v>
      </c>
      <c r="BF29" s="164">
        <f t="shared" si="104"/>
        <v>134.6551042</v>
      </c>
      <c r="BG29" s="164">
        <f t="shared" si="104"/>
        <v>134.6551042</v>
      </c>
      <c r="BH29" s="65">
        <f t="shared" si="85"/>
        <v>1615.86125</v>
      </c>
      <c r="BI29" s="119" t="s">
        <v>113</v>
      </c>
      <c r="BJ29" s="125">
        <f>BG29*(1+(Inflation!$F$6))</f>
        <v>138.0214818</v>
      </c>
      <c r="BK29" s="164">
        <f t="shared" ref="BK29:BU29" si="105">BJ29</f>
        <v>138.0214818</v>
      </c>
      <c r="BL29" s="164">
        <f t="shared" si="105"/>
        <v>138.0214818</v>
      </c>
      <c r="BM29" s="164">
        <f t="shared" si="105"/>
        <v>138.0214818</v>
      </c>
      <c r="BN29" s="164">
        <f t="shared" si="105"/>
        <v>138.0214818</v>
      </c>
      <c r="BO29" s="164">
        <f t="shared" si="105"/>
        <v>138.0214818</v>
      </c>
      <c r="BP29" s="164">
        <f t="shared" si="105"/>
        <v>138.0214818</v>
      </c>
      <c r="BQ29" s="164">
        <f t="shared" si="105"/>
        <v>138.0214818</v>
      </c>
      <c r="BR29" s="164">
        <f t="shared" si="105"/>
        <v>138.0214818</v>
      </c>
      <c r="BS29" s="164">
        <f t="shared" si="105"/>
        <v>138.0214818</v>
      </c>
      <c r="BT29" s="164">
        <f t="shared" si="105"/>
        <v>138.0214818</v>
      </c>
      <c r="BU29" s="164">
        <f t="shared" si="105"/>
        <v>138.0214818</v>
      </c>
      <c r="BV29" s="65">
        <f t="shared" si="87"/>
        <v>1656.257781</v>
      </c>
      <c r="BW29" s="119" t="s">
        <v>113</v>
      </c>
      <c r="BX29" s="123">
        <f>BV29*(1+Inflation!$J$4)</f>
        <v>1709.25803</v>
      </c>
      <c r="BY29" s="123">
        <f>BX29*(1+Inflation!$J$4)</f>
        <v>1763.954287</v>
      </c>
      <c r="BZ29" s="123">
        <f>BY29*(1+Inflation!$J$4)</f>
        <v>1820.400824</v>
      </c>
      <c r="CA29" s="123">
        <f>BZ29*(1+Inflation!$J$4)</f>
        <v>1878.653651</v>
      </c>
      <c r="CB29" s="123">
        <f>CA29*(1+Inflation!$J$4)</f>
        <v>1938.770568</v>
      </c>
      <c r="CC29" s="123">
        <f>CB29*(1+Inflation!$J$4)</f>
        <v>2000.811226</v>
      </c>
      <c r="CD29" s="123">
        <f>CC29*(1+Inflation!$J$4)</f>
        <v>2064.837185</v>
      </c>
      <c r="CE29" s="123">
        <f>CD29*(1+Inflation!$J$4)</f>
        <v>2130.911975</v>
      </c>
      <c r="CF29" s="123">
        <f>CE29*(1+Inflation!$J$4)</f>
        <v>2199.101158</v>
      </c>
      <c r="CG29" s="123">
        <f>CF29*(1+Inflation!$J$4)</f>
        <v>2269.472395</v>
      </c>
      <c r="CH29" s="123">
        <f>CG29*(1+Inflation!$J$4)</f>
        <v>2342.095512</v>
      </c>
      <c r="CI29" s="123">
        <f>CH29*(1+Inflation!$J$4)</f>
        <v>2417.042568</v>
      </c>
      <c r="CJ29" s="123">
        <f>CI29*(1+Inflation!$J$4)</f>
        <v>2494.38793</v>
      </c>
      <c r="CK29" s="123">
        <f>CJ29*(1+Inflation!$J$4)</f>
        <v>2574.208344</v>
      </c>
      <c r="CL29" s="123">
        <f>CK29*(1+Inflation!$J$4)</f>
        <v>2656.583011</v>
      </c>
      <c r="CM29" s="123">
        <f>CL29*(1+Inflation!$J$4)</f>
        <v>2741.593668</v>
      </c>
      <c r="CN29" s="123">
        <f>CM29*(1+Inflation!$J$4)</f>
        <v>2829.324665</v>
      </c>
      <c r="CO29" s="123">
        <f>CN29*(1+Inflation!$J$4)</f>
        <v>2919.863054</v>
      </c>
      <c r="CP29" s="123">
        <f>CO29*(1+Inflation!$J$4)</f>
        <v>3013.298672</v>
      </c>
      <c r="CQ29" s="123">
        <f>CP29*(1+Inflation!$J$4)</f>
        <v>3109.724229</v>
      </c>
      <c r="CR29" s="123">
        <f>CQ29*(1+Inflation!$J$4)</f>
        <v>3209.235405</v>
      </c>
      <c r="CS29" s="123">
        <f>CR29*(1+Inflation!$J$4)</f>
        <v>3311.930938</v>
      </c>
      <c r="CT29" s="123">
        <f>CS29*(1+Inflation!$J$4)</f>
        <v>3417.912728</v>
      </c>
      <c r="CU29" s="123">
        <f>CT29*(1+Inflation!$J$4)</f>
        <v>3527.285935</v>
      </c>
      <c r="CV29" s="123">
        <f>CU29*(1+Inflation!$J$4)</f>
        <v>3640.159085</v>
      </c>
      <c r="CW29" s="123">
        <f>CV29*(1+Inflation!$J$4)</f>
        <v>3756.644176</v>
      </c>
      <c r="CX29" s="123">
        <f>CW29*(1+Inflation!$J$4)</f>
        <v>3876.856789</v>
      </c>
      <c r="CY29" s="61"/>
      <c r="CZ29" s="61"/>
      <c r="DA29" s="61"/>
      <c r="DB29" s="61"/>
      <c r="DC29" s="61"/>
      <c r="DD29" s="61"/>
      <c r="DE29" s="61"/>
      <c r="DF29" s="61"/>
      <c r="DG29" s="61"/>
      <c r="DH29" s="61"/>
      <c r="DI29" s="61"/>
      <c r="DJ29" s="61"/>
      <c r="DK29" s="61"/>
      <c r="DL29" s="61"/>
      <c r="DM29" s="61"/>
      <c r="DN29" s="61"/>
      <c r="DO29" s="61"/>
      <c r="DP29" s="61"/>
    </row>
    <row r="30" ht="18.75" customHeight="1">
      <c r="A30" s="119" t="s">
        <v>114</v>
      </c>
      <c r="B30" s="71">
        <v>0.0</v>
      </c>
      <c r="C30" s="71">
        <v>0.0</v>
      </c>
      <c r="D30" s="71">
        <v>2802.0</v>
      </c>
      <c r="E30" s="71">
        <v>10276.0</v>
      </c>
      <c r="F30" s="159"/>
      <c r="G30" s="159"/>
      <c r="H30" s="159"/>
      <c r="I30" s="159"/>
      <c r="J30" s="159"/>
      <c r="K30" s="159"/>
      <c r="L30" s="159"/>
      <c r="M30" s="111">
        <v>4595.0</v>
      </c>
      <c r="N30" s="64">
        <f t="shared" si="76"/>
        <v>17673</v>
      </c>
      <c r="O30" s="74">
        <v>18380.0</v>
      </c>
      <c r="P30" s="75">
        <f t="shared" si="77"/>
        <v>-707</v>
      </c>
      <c r="Q30" s="119" t="s">
        <v>114</v>
      </c>
      <c r="R30" s="125">
        <f>(AE30/4)</f>
        <v>4809.75</v>
      </c>
      <c r="S30" s="164">
        <f t="shared" ref="S30:T30" si="106">R30</f>
        <v>4809.75</v>
      </c>
      <c r="T30" s="164">
        <f t="shared" si="106"/>
        <v>4809.75</v>
      </c>
      <c r="U30" s="123"/>
      <c r="V30" s="123"/>
      <c r="W30" s="123"/>
      <c r="X30" s="123"/>
      <c r="Y30" s="123"/>
      <c r="Z30" s="123"/>
      <c r="AA30" s="123"/>
      <c r="AB30" s="123"/>
      <c r="AC30" s="125">
        <f>T30</f>
        <v>4809.75</v>
      </c>
      <c r="AD30" s="65">
        <f t="shared" si="80"/>
        <v>19239</v>
      </c>
      <c r="AE30" s="116">
        <v>19239.0</v>
      </c>
      <c r="AF30" s="117">
        <f t="shared" si="81"/>
        <v>0</v>
      </c>
      <c r="AG30" s="119" t="s">
        <v>114</v>
      </c>
      <c r="AH30" s="125">
        <f>(AD30/4)*(1+Inflation!$G$4)+1000</f>
        <v>5963.662</v>
      </c>
      <c r="AI30" s="165">
        <f>(AD30/4)*(1+Inflation!$G$4)</f>
        <v>4963.662</v>
      </c>
      <c r="AJ30" s="123">
        <f>AI30</f>
        <v>4963.662</v>
      </c>
      <c r="AK30" s="123"/>
      <c r="AL30" s="123"/>
      <c r="AM30" s="123"/>
      <c r="AN30" s="123"/>
      <c r="AO30" s="123"/>
      <c r="AP30" s="123"/>
      <c r="AQ30" s="123"/>
      <c r="AR30" s="123"/>
      <c r="AS30" s="125">
        <f>AJ30</f>
        <v>4963.662</v>
      </c>
      <c r="AT30" s="65">
        <f t="shared" si="83"/>
        <v>20854.648</v>
      </c>
      <c r="AU30" s="119" t="s">
        <v>114</v>
      </c>
      <c r="AV30" s="125">
        <f>(AT30/4)*(1+Inflation!$H$4)+1000</f>
        <v>6380.499184</v>
      </c>
      <c r="AW30" s="165">
        <f>(AT30/4)*(1+Inflation!$H$4)</f>
        <v>5380.499184</v>
      </c>
      <c r="AX30" s="123">
        <f>AW30</f>
        <v>5380.499184</v>
      </c>
      <c r="AY30" s="123"/>
      <c r="AZ30" s="123"/>
      <c r="BA30" s="123"/>
      <c r="BB30" s="123"/>
      <c r="BC30" s="123"/>
      <c r="BD30" s="123"/>
      <c r="BE30" s="123"/>
      <c r="BF30" s="123"/>
      <c r="BG30" s="125">
        <f>AX30</f>
        <v>5380.499184</v>
      </c>
      <c r="BH30" s="65">
        <f t="shared" si="85"/>
        <v>22521.99674</v>
      </c>
      <c r="BI30" s="119" t="s">
        <v>114</v>
      </c>
      <c r="BJ30" s="125">
        <f>(BH30/4)*(1+Inflation!$I$4)+1000</f>
        <v>6810.675158</v>
      </c>
      <c r="BK30" s="165">
        <f>(BH30/4)*(1+Inflation!$H$4)</f>
        <v>5810.675158</v>
      </c>
      <c r="BL30" s="123">
        <f>BK30</f>
        <v>5810.675158</v>
      </c>
      <c r="BM30" s="123"/>
      <c r="BN30" s="123"/>
      <c r="BO30" s="123"/>
      <c r="BP30" s="123"/>
      <c r="BQ30" s="123"/>
      <c r="BR30" s="123"/>
      <c r="BS30" s="123"/>
      <c r="BT30" s="123"/>
      <c r="BU30" s="125">
        <f>BL30</f>
        <v>5810.675158</v>
      </c>
      <c r="BV30" s="65">
        <f t="shared" si="87"/>
        <v>24242.70063</v>
      </c>
      <c r="BW30" s="119" t="s">
        <v>114</v>
      </c>
      <c r="BX30" s="123">
        <f>BV30*(1+Inflation!$J$4)</f>
        <v>25018.46705</v>
      </c>
      <c r="BY30" s="123">
        <f>BX30*(1+Inflation!$J$4)</f>
        <v>25819.058</v>
      </c>
      <c r="BZ30" s="123">
        <f>BY30*(1+Inflation!$J$4)</f>
        <v>26645.26785</v>
      </c>
      <c r="CA30" s="123">
        <f>BZ30*(1+Inflation!$J$4)</f>
        <v>27497.91642</v>
      </c>
      <c r="CB30" s="123">
        <f>CA30*(1+Inflation!$J$4)</f>
        <v>28377.84975</v>
      </c>
      <c r="CC30" s="123">
        <f>CB30*(1+Inflation!$J$4)</f>
        <v>29285.94094</v>
      </c>
      <c r="CD30" s="123">
        <f>CC30*(1+Inflation!$J$4)</f>
        <v>30223.09105</v>
      </c>
      <c r="CE30" s="123">
        <f>CD30*(1+Inflation!$J$4)</f>
        <v>31190.22997</v>
      </c>
      <c r="CF30" s="123">
        <f>CE30*(1+Inflation!$J$4)</f>
        <v>32188.31732</v>
      </c>
      <c r="CG30" s="123">
        <f>CF30*(1+Inflation!$J$4)</f>
        <v>33218.34348</v>
      </c>
      <c r="CH30" s="123">
        <f>CG30*(1+Inflation!$J$4)</f>
        <v>34281.33047</v>
      </c>
      <c r="CI30" s="123">
        <f>CH30*(1+Inflation!$J$4)</f>
        <v>35378.33305</v>
      </c>
      <c r="CJ30" s="123">
        <f>CI30*(1+Inflation!$J$4)</f>
        <v>36510.4397</v>
      </c>
      <c r="CK30" s="123">
        <f>CJ30*(1+Inflation!$J$4)</f>
        <v>37678.77377</v>
      </c>
      <c r="CL30" s="123">
        <f>CK30*(1+Inflation!$J$4)</f>
        <v>38884.49453</v>
      </c>
      <c r="CM30" s="123">
        <f>CL30*(1+Inflation!$J$4)</f>
        <v>40128.79836</v>
      </c>
      <c r="CN30" s="123">
        <f>CM30*(1+Inflation!$J$4)</f>
        <v>41412.91991</v>
      </c>
      <c r="CO30" s="123">
        <f>CN30*(1+Inflation!$J$4)</f>
        <v>42738.13334</v>
      </c>
      <c r="CP30" s="123">
        <f>CO30*(1+Inflation!$J$4)</f>
        <v>44105.75361</v>
      </c>
      <c r="CQ30" s="123">
        <f>CP30*(1+Inflation!$J$4)</f>
        <v>45517.13773</v>
      </c>
      <c r="CR30" s="123">
        <f>CQ30*(1+Inflation!$J$4)</f>
        <v>46973.68613</v>
      </c>
      <c r="CS30" s="123">
        <f>CR30*(1+Inflation!$J$4)</f>
        <v>48476.84409</v>
      </c>
      <c r="CT30" s="123">
        <f>CS30*(1+Inflation!$J$4)</f>
        <v>50028.1031</v>
      </c>
      <c r="CU30" s="123">
        <f>CT30*(1+Inflation!$J$4)</f>
        <v>51629.0024</v>
      </c>
      <c r="CV30" s="123">
        <f>CU30*(1+Inflation!$J$4)</f>
        <v>53281.13048</v>
      </c>
      <c r="CW30" s="123">
        <f>CV30*(1+Inflation!$J$4)</f>
        <v>54986.12665</v>
      </c>
      <c r="CX30" s="123">
        <f>CW30*(1+Inflation!$J$4)</f>
        <v>56745.68271</v>
      </c>
      <c r="CY30" s="61"/>
      <c r="CZ30" s="61"/>
      <c r="DA30" s="61"/>
      <c r="DB30" s="61"/>
      <c r="DC30" s="61"/>
      <c r="DD30" s="61"/>
      <c r="DE30" s="61"/>
      <c r="DF30" s="61"/>
      <c r="DG30" s="61"/>
      <c r="DH30" s="61"/>
      <c r="DI30" s="61"/>
      <c r="DJ30" s="61"/>
      <c r="DK30" s="61"/>
      <c r="DL30" s="61"/>
      <c r="DM30" s="61"/>
      <c r="DN30" s="61"/>
      <c r="DO30" s="61"/>
      <c r="DP30" s="61"/>
    </row>
    <row r="31" ht="18.75" customHeight="1">
      <c r="A31" s="104" t="s">
        <v>102</v>
      </c>
      <c r="B31" s="166">
        <f t="shared" ref="B31:M31" si="107">SUM(B24:B30)</f>
        <v>53361</v>
      </c>
      <c r="C31" s="166">
        <f t="shared" si="107"/>
        <v>5450</v>
      </c>
      <c r="D31" s="167">
        <f t="shared" si="107"/>
        <v>47557.5</v>
      </c>
      <c r="E31" s="166">
        <f t="shared" si="107"/>
        <v>15034</v>
      </c>
      <c r="F31" s="166">
        <f t="shared" si="107"/>
        <v>2390</v>
      </c>
      <c r="G31" s="166">
        <f t="shared" si="107"/>
        <v>19293</v>
      </c>
      <c r="H31" s="166">
        <f t="shared" si="107"/>
        <v>196971</v>
      </c>
      <c r="I31" s="166">
        <f t="shared" si="107"/>
        <v>101972</v>
      </c>
      <c r="J31" s="166">
        <f t="shared" si="107"/>
        <v>16035</v>
      </c>
      <c r="K31" s="166">
        <f t="shared" si="107"/>
        <v>75223</v>
      </c>
      <c r="L31" s="166">
        <f t="shared" si="107"/>
        <v>142501</v>
      </c>
      <c r="M31" s="166">
        <f t="shared" si="107"/>
        <v>146836.0998</v>
      </c>
      <c r="N31" s="64">
        <f t="shared" si="76"/>
        <v>822623.5998</v>
      </c>
      <c r="O31" s="144">
        <f>SUM(O24:O30)</f>
        <v>963965</v>
      </c>
      <c r="P31" s="75">
        <f t="shared" si="77"/>
        <v>-141341.4002</v>
      </c>
      <c r="Q31" s="104" t="s">
        <v>102</v>
      </c>
      <c r="R31" s="168">
        <f t="shared" ref="R31:AC31" si="108">SUM(R24:R30)</f>
        <v>16249.16667</v>
      </c>
      <c r="S31" s="168">
        <f t="shared" si="108"/>
        <v>16249.16667</v>
      </c>
      <c r="T31" s="168">
        <f t="shared" si="108"/>
        <v>16249.16667</v>
      </c>
      <c r="U31" s="168">
        <f t="shared" si="108"/>
        <v>11439.41667</v>
      </c>
      <c r="V31" s="168">
        <f t="shared" si="108"/>
        <v>23651.91667</v>
      </c>
      <c r="W31" s="168">
        <f t="shared" si="108"/>
        <v>204877.9167</v>
      </c>
      <c r="X31" s="168">
        <f t="shared" si="108"/>
        <v>128635.5595</v>
      </c>
      <c r="Y31" s="168">
        <f t="shared" si="108"/>
        <v>86227.47682</v>
      </c>
      <c r="Z31" s="168">
        <f t="shared" si="108"/>
        <v>110732.2625</v>
      </c>
      <c r="AA31" s="168">
        <f t="shared" si="108"/>
        <v>123886.3678</v>
      </c>
      <c r="AB31" s="168">
        <f t="shared" si="108"/>
        <v>59439.41667</v>
      </c>
      <c r="AC31" s="168">
        <f t="shared" si="108"/>
        <v>16249.16667</v>
      </c>
      <c r="AD31" s="65">
        <f t="shared" si="80"/>
        <v>813887</v>
      </c>
      <c r="AE31" s="145">
        <f>SUM(AE24:AE30)</f>
        <v>731520</v>
      </c>
      <c r="AF31" s="146">
        <f t="shared" si="81"/>
        <v>82367</v>
      </c>
      <c r="AG31" s="104" t="s">
        <v>102</v>
      </c>
      <c r="AH31" s="168">
        <f t="shared" ref="AH31:AS31" si="109">SUM(AH24:AH30)</f>
        <v>17760.95608</v>
      </c>
      <c r="AI31" s="168">
        <f t="shared" si="109"/>
        <v>16760.95608</v>
      </c>
      <c r="AJ31" s="168">
        <f t="shared" si="109"/>
        <v>16760.95608</v>
      </c>
      <c r="AK31" s="168">
        <f t="shared" si="109"/>
        <v>39652.69085</v>
      </c>
      <c r="AL31" s="168">
        <f t="shared" si="109"/>
        <v>46940.84386</v>
      </c>
      <c r="AM31" s="168">
        <f t="shared" si="109"/>
        <v>170881.2374</v>
      </c>
      <c r="AN31" s="168">
        <f t="shared" si="109"/>
        <v>62070.63783</v>
      </c>
      <c r="AO31" s="168">
        <f t="shared" si="109"/>
        <v>20070.63783</v>
      </c>
      <c r="AP31" s="168">
        <f t="shared" si="109"/>
        <v>11797.29408</v>
      </c>
      <c r="AQ31" s="168">
        <f t="shared" si="109"/>
        <v>16797.29408</v>
      </c>
      <c r="AR31" s="168">
        <f t="shared" si="109"/>
        <v>11797.29408</v>
      </c>
      <c r="AS31" s="168">
        <f t="shared" si="109"/>
        <v>16760.95608</v>
      </c>
      <c r="AT31" s="65">
        <f t="shared" si="83"/>
        <v>448051.7543</v>
      </c>
      <c r="AU31" s="104" t="s">
        <v>102</v>
      </c>
      <c r="AV31" s="168">
        <f t="shared" ref="AV31:BG31" si="110">SUM(AV24:AV30)</f>
        <v>18547.27762</v>
      </c>
      <c r="AW31" s="168">
        <f t="shared" si="110"/>
        <v>17547.27762</v>
      </c>
      <c r="AX31" s="168">
        <f t="shared" si="110"/>
        <v>17547.27762</v>
      </c>
      <c r="AY31" s="168">
        <f t="shared" si="110"/>
        <v>28185.80442</v>
      </c>
      <c r="AZ31" s="168">
        <f t="shared" si="110"/>
        <v>166579.2963</v>
      </c>
      <c r="BA31" s="168">
        <f t="shared" si="110"/>
        <v>14502.63914</v>
      </c>
      <c r="BB31" s="168">
        <f t="shared" si="110"/>
        <v>14502.63914</v>
      </c>
      <c r="BC31" s="168">
        <f t="shared" si="110"/>
        <v>15130.73498</v>
      </c>
      <c r="BD31" s="168">
        <f t="shared" si="110"/>
        <v>17638.74935</v>
      </c>
      <c r="BE31" s="168">
        <f t="shared" si="110"/>
        <v>17341.77844</v>
      </c>
      <c r="BF31" s="168">
        <f t="shared" si="110"/>
        <v>12166.77844</v>
      </c>
      <c r="BG31" s="168">
        <f t="shared" si="110"/>
        <v>17547.27762</v>
      </c>
      <c r="BH31" s="65">
        <f t="shared" si="85"/>
        <v>357237.5307</v>
      </c>
      <c r="BI31" s="104" t="s">
        <v>102</v>
      </c>
      <c r="BJ31" s="168">
        <f t="shared" ref="BJ31:BU31" si="111">SUM(BJ24:BJ30)</f>
        <v>19358.93349</v>
      </c>
      <c r="BK31" s="168">
        <f t="shared" si="111"/>
        <v>18358.93349</v>
      </c>
      <c r="BL31" s="168">
        <f t="shared" si="111"/>
        <v>18358.93349</v>
      </c>
      <c r="BM31" s="168">
        <f t="shared" si="111"/>
        <v>29079.89314</v>
      </c>
      <c r="BN31" s="168">
        <f t="shared" si="111"/>
        <v>14948.3552</v>
      </c>
      <c r="BO31" s="168">
        <f t="shared" si="111"/>
        <v>14948.3552</v>
      </c>
      <c r="BP31" s="168">
        <f t="shared" si="111"/>
        <v>14948.3552</v>
      </c>
      <c r="BQ31" s="168">
        <f t="shared" si="111"/>
        <v>15598.98067</v>
      </c>
      <c r="BR31" s="168">
        <f t="shared" si="111"/>
        <v>12548.25833</v>
      </c>
      <c r="BS31" s="168">
        <f t="shared" si="111"/>
        <v>17904.38333</v>
      </c>
      <c r="BT31" s="168">
        <f t="shared" si="111"/>
        <v>12548.25833</v>
      </c>
      <c r="BU31" s="168">
        <f t="shared" si="111"/>
        <v>18358.93349</v>
      </c>
      <c r="BV31" s="65">
        <f t="shared" si="87"/>
        <v>206960.5733</v>
      </c>
      <c r="BW31" s="104" t="s">
        <v>102</v>
      </c>
      <c r="BX31" s="168">
        <f t="shared" ref="BX31:CX31" si="112">SUM(BX24:BX30)</f>
        <v>213864.31</v>
      </c>
      <c r="BY31" s="168">
        <f t="shared" si="112"/>
        <v>220670.9023</v>
      </c>
      <c r="BZ31" s="168">
        <f t="shared" si="112"/>
        <v>350029.7366</v>
      </c>
      <c r="CA31" s="168">
        <f t="shared" si="112"/>
        <v>234066.0655</v>
      </c>
      <c r="CB31" s="168">
        <f t="shared" si="112"/>
        <v>241069.4925</v>
      </c>
      <c r="CC31" s="168">
        <f t="shared" si="112"/>
        <v>801760.8325</v>
      </c>
      <c r="CD31" s="168">
        <f t="shared" si="112"/>
        <v>792278.0769</v>
      </c>
      <c r="CE31" s="168">
        <f t="shared" si="112"/>
        <v>708023.2437</v>
      </c>
      <c r="CF31" s="168">
        <f t="shared" si="112"/>
        <v>271271.7633</v>
      </c>
      <c r="CG31" s="168">
        <f t="shared" si="112"/>
        <v>471479.2174</v>
      </c>
      <c r="CH31" s="168">
        <f t="shared" si="112"/>
        <v>486747.5602</v>
      </c>
      <c r="CI31" s="168">
        <f t="shared" si="112"/>
        <v>849857.3642</v>
      </c>
      <c r="CJ31" s="168">
        <f t="shared" si="112"/>
        <v>706024.2396</v>
      </c>
      <c r="CK31" s="168">
        <f t="shared" si="112"/>
        <v>704440.9848</v>
      </c>
      <c r="CL31" s="168">
        <f t="shared" si="112"/>
        <v>323920.4694</v>
      </c>
      <c r="CM31" s="168">
        <f t="shared" si="112"/>
        <v>527752.9393</v>
      </c>
      <c r="CN31" s="168">
        <f t="shared" si="112"/>
        <v>387089.5961</v>
      </c>
      <c r="CO31" s="168">
        <f t="shared" si="112"/>
        <v>398979.2505</v>
      </c>
      <c r="CP31" s="168">
        <f t="shared" si="112"/>
        <v>364658.8978</v>
      </c>
      <c r="CQ31" s="168">
        <f t="shared" si="112"/>
        <v>425811.3328</v>
      </c>
      <c r="CR31" s="168">
        <f t="shared" si="112"/>
        <v>707538.8761</v>
      </c>
      <c r="CS31" s="168">
        <f t="shared" si="112"/>
        <v>903516.1265</v>
      </c>
      <c r="CT31" s="168">
        <f t="shared" si="112"/>
        <v>910628.2306</v>
      </c>
      <c r="CU31" s="168">
        <f t="shared" si="112"/>
        <v>422960.9342</v>
      </c>
      <c r="CV31" s="168">
        <f t="shared" si="112"/>
        <v>435709.0266</v>
      </c>
      <c r="CW31" s="168">
        <f t="shared" si="112"/>
        <v>448846.0108</v>
      </c>
      <c r="CX31" s="168">
        <f t="shared" si="112"/>
        <v>462383.8774</v>
      </c>
      <c r="CY31" s="61"/>
      <c r="CZ31" s="61"/>
      <c r="DA31" s="61"/>
      <c r="DB31" s="61"/>
      <c r="DC31" s="61"/>
      <c r="DD31" s="61"/>
      <c r="DE31" s="61"/>
      <c r="DF31" s="61"/>
      <c r="DG31" s="61"/>
      <c r="DH31" s="61"/>
      <c r="DI31" s="61"/>
      <c r="DJ31" s="61"/>
      <c r="DK31" s="61"/>
      <c r="DL31" s="61"/>
      <c r="DM31" s="61"/>
      <c r="DN31" s="61"/>
      <c r="DO31" s="61"/>
      <c r="DP31" s="61"/>
    </row>
    <row r="32" ht="18.75" customHeight="1">
      <c r="A32" s="104" t="s">
        <v>115</v>
      </c>
      <c r="B32" s="159"/>
      <c r="C32" s="138"/>
      <c r="D32" s="139"/>
      <c r="E32" s="138"/>
      <c r="F32" s="138"/>
      <c r="G32" s="138"/>
      <c r="H32" s="138"/>
      <c r="I32" s="138"/>
      <c r="J32" s="138"/>
      <c r="K32" s="138"/>
      <c r="L32" s="138"/>
      <c r="M32" s="138"/>
      <c r="N32" s="138"/>
      <c r="O32" s="108"/>
      <c r="P32" s="108"/>
      <c r="Q32" s="104" t="s">
        <v>115</v>
      </c>
      <c r="R32" s="123"/>
      <c r="S32" s="140"/>
      <c r="T32" s="140"/>
      <c r="U32" s="140"/>
      <c r="V32" s="140"/>
      <c r="W32" s="140"/>
      <c r="X32" s="140"/>
      <c r="Y32" s="140"/>
      <c r="Z32" s="140"/>
      <c r="AA32" s="140"/>
      <c r="AB32" s="140"/>
      <c r="AC32" s="140"/>
      <c r="AD32" s="140"/>
      <c r="AE32" s="137"/>
      <c r="AF32" s="104"/>
      <c r="AG32" s="104" t="s">
        <v>115</v>
      </c>
      <c r="AH32" s="123"/>
      <c r="AI32" s="140"/>
      <c r="AJ32" s="140"/>
      <c r="AK32" s="140"/>
      <c r="AL32" s="140"/>
      <c r="AM32" s="140"/>
      <c r="AN32" s="140"/>
      <c r="AO32" s="140"/>
      <c r="AP32" s="140"/>
      <c r="AQ32" s="140"/>
      <c r="AR32" s="140"/>
      <c r="AS32" s="140"/>
      <c r="AT32" s="140"/>
      <c r="AU32" s="104" t="s">
        <v>115</v>
      </c>
      <c r="AV32" s="123"/>
      <c r="AW32" s="140"/>
      <c r="AX32" s="140"/>
      <c r="AY32" s="140"/>
      <c r="AZ32" s="140"/>
      <c r="BA32" s="140"/>
      <c r="BB32" s="140"/>
      <c r="BC32" s="140"/>
      <c r="BD32" s="140"/>
      <c r="BE32" s="140"/>
      <c r="BF32" s="140"/>
      <c r="BG32" s="140"/>
      <c r="BH32" s="140"/>
      <c r="BI32" s="104" t="s">
        <v>115</v>
      </c>
      <c r="BJ32" s="123"/>
      <c r="BK32" s="140"/>
      <c r="BL32" s="140"/>
      <c r="BM32" s="140"/>
      <c r="BN32" s="140"/>
      <c r="BO32" s="140"/>
      <c r="BP32" s="140"/>
      <c r="BQ32" s="140"/>
      <c r="BR32" s="140"/>
      <c r="BS32" s="140"/>
      <c r="BT32" s="140"/>
      <c r="BU32" s="140"/>
      <c r="BV32" s="140"/>
      <c r="BW32" s="104" t="s">
        <v>115</v>
      </c>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c r="CY32" s="113"/>
      <c r="CZ32" s="113"/>
      <c r="DA32" s="113"/>
      <c r="DB32" s="113"/>
      <c r="DC32" s="113"/>
      <c r="DD32" s="113"/>
      <c r="DE32" s="113"/>
      <c r="DF32" s="113"/>
      <c r="DG32" s="113"/>
      <c r="DH32" s="113"/>
      <c r="DI32" s="113"/>
      <c r="DJ32" s="113"/>
      <c r="DK32" s="113"/>
      <c r="DL32" s="113"/>
      <c r="DM32" s="113"/>
      <c r="DN32" s="113"/>
      <c r="DO32" s="113"/>
      <c r="DP32" s="113"/>
    </row>
    <row r="33" ht="18.75" customHeight="1">
      <c r="A33" s="119" t="s">
        <v>116</v>
      </c>
      <c r="B33" s="71">
        <v>2131.0</v>
      </c>
      <c r="C33" s="169">
        <v>1227.0</v>
      </c>
      <c r="D33" s="169">
        <v>4727.0</v>
      </c>
      <c r="E33" s="169">
        <v>996.0</v>
      </c>
      <c r="F33" s="169">
        <v>1942.0</v>
      </c>
      <c r="G33" s="169">
        <v>2508.0</v>
      </c>
      <c r="H33" s="169">
        <v>8824.0</v>
      </c>
      <c r="I33" s="162">
        <v>3121.0</v>
      </c>
      <c r="J33" s="162">
        <v>3121.0</v>
      </c>
      <c r="K33" s="162">
        <v>3121.0</v>
      </c>
      <c r="L33" s="62">
        <v>3193.0</v>
      </c>
      <c r="M33" s="162">
        <v>3193.0</v>
      </c>
      <c r="N33" s="64">
        <f t="shared" ref="N33:N36" si="117">SUM(B33:M33)</f>
        <v>38104</v>
      </c>
      <c r="O33" s="74">
        <v>37447.0</v>
      </c>
      <c r="P33" s="75">
        <f t="shared" ref="P33:P36" si="118">N33-O33</f>
        <v>657</v>
      </c>
      <c r="Q33" s="119" t="s">
        <v>116</v>
      </c>
      <c r="R33" s="125">
        <f>AE33/12</f>
        <v>4116.666667</v>
      </c>
      <c r="S33" s="164">
        <f t="shared" ref="S33:AC33" si="113">R33</f>
        <v>4116.666667</v>
      </c>
      <c r="T33" s="164">
        <f t="shared" si="113"/>
        <v>4116.666667</v>
      </c>
      <c r="U33" s="164">
        <f t="shared" si="113"/>
        <v>4116.666667</v>
      </c>
      <c r="V33" s="164">
        <f t="shared" si="113"/>
        <v>4116.666667</v>
      </c>
      <c r="W33" s="164">
        <f t="shared" si="113"/>
        <v>4116.666667</v>
      </c>
      <c r="X33" s="164">
        <f t="shared" si="113"/>
        <v>4116.666667</v>
      </c>
      <c r="Y33" s="164">
        <f t="shared" si="113"/>
        <v>4116.666667</v>
      </c>
      <c r="Z33" s="164">
        <f t="shared" si="113"/>
        <v>4116.666667</v>
      </c>
      <c r="AA33" s="164">
        <f t="shared" si="113"/>
        <v>4116.666667</v>
      </c>
      <c r="AB33" s="164">
        <f t="shared" si="113"/>
        <v>4116.666667</v>
      </c>
      <c r="AC33" s="164">
        <f t="shared" si="113"/>
        <v>4116.666667</v>
      </c>
      <c r="AD33" s="65">
        <f t="shared" ref="AD33:AD36" si="120">SUM(R33:AC33)</f>
        <v>49400</v>
      </c>
      <c r="AE33" s="116">
        <v>49400.0</v>
      </c>
      <c r="AF33" s="117">
        <f t="shared" ref="AF33:AF36" si="121">AD33-AE33</f>
        <v>0</v>
      </c>
      <c r="AG33" s="119" t="s">
        <v>116</v>
      </c>
      <c r="AH33" s="125">
        <f>AC33*(1+(Inflation!$G$6))</f>
        <v>4219.583333</v>
      </c>
      <c r="AI33" s="164">
        <f t="shared" ref="AI33:AS33" si="114">AH33</f>
        <v>4219.583333</v>
      </c>
      <c r="AJ33" s="164">
        <f t="shared" si="114"/>
        <v>4219.583333</v>
      </c>
      <c r="AK33" s="164">
        <f t="shared" si="114"/>
        <v>4219.583333</v>
      </c>
      <c r="AL33" s="164">
        <f t="shared" si="114"/>
        <v>4219.583333</v>
      </c>
      <c r="AM33" s="164">
        <f t="shared" si="114"/>
        <v>4219.583333</v>
      </c>
      <c r="AN33" s="164">
        <f t="shared" si="114"/>
        <v>4219.583333</v>
      </c>
      <c r="AO33" s="164">
        <f t="shared" si="114"/>
        <v>4219.583333</v>
      </c>
      <c r="AP33" s="164">
        <f t="shared" si="114"/>
        <v>4219.583333</v>
      </c>
      <c r="AQ33" s="164">
        <f t="shared" si="114"/>
        <v>4219.583333</v>
      </c>
      <c r="AR33" s="164">
        <f t="shared" si="114"/>
        <v>4219.583333</v>
      </c>
      <c r="AS33" s="164">
        <f t="shared" si="114"/>
        <v>4219.583333</v>
      </c>
      <c r="AT33" s="65">
        <f t="shared" ref="AT33:AT36" si="123">SUM(AH33:AS33)</f>
        <v>50635</v>
      </c>
      <c r="AU33" s="119" t="s">
        <v>116</v>
      </c>
      <c r="AV33" s="125">
        <f>AS33*(1+(Inflation!$H$6))</f>
        <v>4325.072917</v>
      </c>
      <c r="AW33" s="164">
        <f t="shared" ref="AW33:BG33" si="115">AV33</f>
        <v>4325.072917</v>
      </c>
      <c r="AX33" s="164">
        <f t="shared" si="115"/>
        <v>4325.072917</v>
      </c>
      <c r="AY33" s="164">
        <f t="shared" si="115"/>
        <v>4325.072917</v>
      </c>
      <c r="AZ33" s="164">
        <f t="shared" si="115"/>
        <v>4325.072917</v>
      </c>
      <c r="BA33" s="164">
        <f t="shared" si="115"/>
        <v>4325.072917</v>
      </c>
      <c r="BB33" s="164">
        <f t="shared" si="115"/>
        <v>4325.072917</v>
      </c>
      <c r="BC33" s="164">
        <f t="shared" si="115"/>
        <v>4325.072917</v>
      </c>
      <c r="BD33" s="164">
        <f t="shared" si="115"/>
        <v>4325.072917</v>
      </c>
      <c r="BE33" s="164">
        <f t="shared" si="115"/>
        <v>4325.072917</v>
      </c>
      <c r="BF33" s="164">
        <f t="shared" si="115"/>
        <v>4325.072917</v>
      </c>
      <c r="BG33" s="164">
        <f t="shared" si="115"/>
        <v>4325.072917</v>
      </c>
      <c r="BH33" s="65">
        <f t="shared" ref="BH33:BH36" si="125">SUM(AV33:BG33)</f>
        <v>51900.875</v>
      </c>
      <c r="BI33" s="119" t="s">
        <v>116</v>
      </c>
      <c r="BJ33" s="125">
        <f>BG33*(1+(Inflation!$I$6))</f>
        <v>4433.19974</v>
      </c>
      <c r="BK33" s="164">
        <f t="shared" ref="BK33:BU33" si="116">BJ33</f>
        <v>4433.19974</v>
      </c>
      <c r="BL33" s="164">
        <f t="shared" si="116"/>
        <v>4433.19974</v>
      </c>
      <c r="BM33" s="164">
        <f t="shared" si="116"/>
        <v>4433.19974</v>
      </c>
      <c r="BN33" s="164">
        <f t="shared" si="116"/>
        <v>4433.19974</v>
      </c>
      <c r="BO33" s="164">
        <f t="shared" si="116"/>
        <v>4433.19974</v>
      </c>
      <c r="BP33" s="164">
        <f t="shared" si="116"/>
        <v>4433.19974</v>
      </c>
      <c r="BQ33" s="164">
        <f t="shared" si="116"/>
        <v>4433.19974</v>
      </c>
      <c r="BR33" s="164">
        <f t="shared" si="116"/>
        <v>4433.19974</v>
      </c>
      <c r="BS33" s="164">
        <f t="shared" si="116"/>
        <v>4433.19974</v>
      </c>
      <c r="BT33" s="164">
        <f t="shared" si="116"/>
        <v>4433.19974</v>
      </c>
      <c r="BU33" s="164">
        <f t="shared" si="116"/>
        <v>4433.19974</v>
      </c>
      <c r="BV33" s="65">
        <f t="shared" ref="BV33:BV36" si="127">SUM(BJ33:BU33)</f>
        <v>53198.39688</v>
      </c>
      <c r="BW33" s="119" t="s">
        <v>116</v>
      </c>
      <c r="BX33" s="123">
        <f>BV33*(1+Inflation!$J$5)</f>
        <v>54528.3568</v>
      </c>
      <c r="BY33" s="123">
        <f>BX33*(1+Inflation!$J$4)</f>
        <v>56273.26421</v>
      </c>
      <c r="BZ33" s="123">
        <f>BY33*(1+Inflation!$J$4)</f>
        <v>58074.00867</v>
      </c>
      <c r="CA33" s="123">
        <f>BZ33*(1+Inflation!$J$4)</f>
        <v>59932.37695</v>
      </c>
      <c r="CB33" s="123">
        <f>CA33*(1+Inflation!$J$4)</f>
        <v>61850.21301</v>
      </c>
      <c r="CC33" s="123">
        <f>CB33*(1+Inflation!$J$4)</f>
        <v>63829.41983</v>
      </c>
      <c r="CD33" s="123">
        <f>CC33*(1+Inflation!$J$4)</f>
        <v>65871.96126</v>
      </c>
      <c r="CE33" s="123">
        <f>CD33*(1+Inflation!$J$4)</f>
        <v>67979.86402</v>
      </c>
      <c r="CF33" s="123">
        <f>CE33*(1+Inflation!$J$4)</f>
        <v>70155.21967</v>
      </c>
      <c r="CG33" s="123">
        <f>CF33*(1+Inflation!$J$4)</f>
        <v>72400.1867</v>
      </c>
      <c r="CH33" s="123">
        <f>CG33*(1+Inflation!$J$4)</f>
        <v>74716.99267</v>
      </c>
      <c r="CI33" s="123">
        <f>CH33*(1+Inflation!$J$4)</f>
        <v>77107.93644</v>
      </c>
      <c r="CJ33" s="123">
        <f>CI33*(1+Inflation!$J$4)</f>
        <v>79575.3904</v>
      </c>
      <c r="CK33" s="123">
        <f>CJ33*(1+Inflation!$J$4)</f>
        <v>82121.8029</v>
      </c>
      <c r="CL33" s="123">
        <f>CK33*(1+Inflation!$J$4)</f>
        <v>84749.70059</v>
      </c>
      <c r="CM33" s="123">
        <f>CL33*(1+Inflation!$J$4)</f>
        <v>87461.69101</v>
      </c>
      <c r="CN33" s="123">
        <f>CM33*(1+Inflation!$J$4)</f>
        <v>90260.46512</v>
      </c>
      <c r="CO33" s="123">
        <f>CN33*(1+Inflation!$J$4)</f>
        <v>93148.8</v>
      </c>
      <c r="CP33" s="123">
        <f>CO33*(1+Inflation!$J$4)</f>
        <v>96129.5616</v>
      </c>
      <c r="CQ33" s="123">
        <f>CP33*(1+Inflation!$J$4)</f>
        <v>99205.70758</v>
      </c>
      <c r="CR33" s="123">
        <f>CQ33*(1+Inflation!$J$4)</f>
        <v>102380.2902</v>
      </c>
      <c r="CS33" s="123">
        <f>CR33*(1+Inflation!$J$4)</f>
        <v>105656.4595</v>
      </c>
      <c r="CT33" s="123">
        <f>CS33*(1+Inflation!$J$4)</f>
        <v>109037.4662</v>
      </c>
      <c r="CU33" s="123">
        <f>CT33*(1+Inflation!$J$4)</f>
        <v>112526.6651</v>
      </c>
      <c r="CV33" s="123">
        <f>CU33*(1+Inflation!$J$4)</f>
        <v>116127.5184</v>
      </c>
      <c r="CW33" s="123">
        <f>CV33*(1+Inflation!$J$4)</f>
        <v>119843.599</v>
      </c>
      <c r="CX33" s="123">
        <f>CW33*(1+Inflation!$J$4)</f>
        <v>123678.5942</v>
      </c>
      <c r="CY33" s="61"/>
      <c r="CZ33" s="61"/>
      <c r="DA33" s="61"/>
      <c r="DB33" s="61"/>
      <c r="DC33" s="61"/>
      <c r="DD33" s="61"/>
      <c r="DE33" s="61"/>
      <c r="DF33" s="61"/>
      <c r="DG33" s="61"/>
      <c r="DH33" s="61"/>
      <c r="DI33" s="61"/>
      <c r="DJ33" s="61"/>
      <c r="DK33" s="61"/>
      <c r="DL33" s="61"/>
      <c r="DM33" s="61"/>
      <c r="DN33" s="61"/>
      <c r="DO33" s="61"/>
      <c r="DP33" s="61"/>
    </row>
    <row r="34" ht="18.75" customHeight="1">
      <c r="A34" s="170" t="s">
        <v>117</v>
      </c>
      <c r="B34" s="71">
        <v>0.0</v>
      </c>
      <c r="C34" s="169">
        <v>0.0</v>
      </c>
      <c r="D34" s="171">
        <v>0.0</v>
      </c>
      <c r="E34" s="172">
        <v>0.0</v>
      </c>
      <c r="F34" s="169">
        <v>0.0</v>
      </c>
      <c r="G34" s="169">
        <v>0.0</v>
      </c>
      <c r="H34" s="169">
        <v>1037.0</v>
      </c>
      <c r="I34" s="162">
        <v>0.0</v>
      </c>
      <c r="J34" s="162">
        <v>0.0</v>
      </c>
      <c r="K34" s="162">
        <v>0.0</v>
      </c>
      <c r="L34" s="162">
        <v>0.0</v>
      </c>
      <c r="M34" s="162">
        <v>0.0</v>
      </c>
      <c r="N34" s="64">
        <f t="shared" si="117"/>
        <v>1037</v>
      </c>
      <c r="O34" s="74"/>
      <c r="P34" s="75">
        <f t="shared" si="118"/>
        <v>1037</v>
      </c>
      <c r="Q34" s="170" t="s">
        <v>117</v>
      </c>
      <c r="R34" s="125">
        <f>M34*(1+(Inflation!$F$6))</f>
        <v>0</v>
      </c>
      <c r="S34" s="164">
        <f t="shared" ref="S34:AC34" si="119">R34</f>
        <v>0</v>
      </c>
      <c r="T34" s="164">
        <f t="shared" si="119"/>
        <v>0</v>
      </c>
      <c r="U34" s="164">
        <f t="shared" si="119"/>
        <v>0</v>
      </c>
      <c r="V34" s="164">
        <f t="shared" si="119"/>
        <v>0</v>
      </c>
      <c r="W34" s="164">
        <f t="shared" si="119"/>
        <v>0</v>
      </c>
      <c r="X34" s="164">
        <f t="shared" si="119"/>
        <v>0</v>
      </c>
      <c r="Y34" s="164">
        <f t="shared" si="119"/>
        <v>0</v>
      </c>
      <c r="Z34" s="164">
        <f t="shared" si="119"/>
        <v>0</v>
      </c>
      <c r="AA34" s="164">
        <f t="shared" si="119"/>
        <v>0</v>
      </c>
      <c r="AB34" s="164">
        <f t="shared" si="119"/>
        <v>0</v>
      </c>
      <c r="AC34" s="164">
        <f t="shared" si="119"/>
        <v>0</v>
      </c>
      <c r="AD34" s="65">
        <f t="shared" si="120"/>
        <v>0</v>
      </c>
      <c r="AE34" s="116">
        <v>0.0</v>
      </c>
      <c r="AF34" s="117">
        <f t="shared" si="121"/>
        <v>0</v>
      </c>
      <c r="AG34" s="170" t="s">
        <v>117</v>
      </c>
      <c r="AH34" s="125">
        <f>AC34*(1+(Inflation!$G$6))</f>
        <v>0</v>
      </c>
      <c r="AI34" s="164">
        <f t="shared" ref="AI34:AS34" si="122">AH34</f>
        <v>0</v>
      </c>
      <c r="AJ34" s="164">
        <f t="shared" si="122"/>
        <v>0</v>
      </c>
      <c r="AK34" s="164">
        <f t="shared" si="122"/>
        <v>0</v>
      </c>
      <c r="AL34" s="164">
        <f t="shared" si="122"/>
        <v>0</v>
      </c>
      <c r="AM34" s="164">
        <f t="shared" si="122"/>
        <v>0</v>
      </c>
      <c r="AN34" s="164">
        <f t="shared" si="122"/>
        <v>0</v>
      </c>
      <c r="AO34" s="164">
        <f t="shared" si="122"/>
        <v>0</v>
      </c>
      <c r="AP34" s="164">
        <f t="shared" si="122"/>
        <v>0</v>
      </c>
      <c r="AQ34" s="164">
        <f t="shared" si="122"/>
        <v>0</v>
      </c>
      <c r="AR34" s="164">
        <f t="shared" si="122"/>
        <v>0</v>
      </c>
      <c r="AS34" s="164">
        <f t="shared" si="122"/>
        <v>0</v>
      </c>
      <c r="AT34" s="65">
        <f t="shared" si="123"/>
        <v>0</v>
      </c>
      <c r="AU34" s="170" t="s">
        <v>117</v>
      </c>
      <c r="AV34" s="125">
        <f>AS34*(1+(Inflation!$H$6))</f>
        <v>0</v>
      </c>
      <c r="AW34" s="164">
        <f t="shared" ref="AW34:BG34" si="124">AV34</f>
        <v>0</v>
      </c>
      <c r="AX34" s="164">
        <f t="shared" si="124"/>
        <v>0</v>
      </c>
      <c r="AY34" s="164">
        <f t="shared" si="124"/>
        <v>0</v>
      </c>
      <c r="AZ34" s="164">
        <f t="shared" si="124"/>
        <v>0</v>
      </c>
      <c r="BA34" s="164">
        <f t="shared" si="124"/>
        <v>0</v>
      </c>
      <c r="BB34" s="164">
        <f t="shared" si="124"/>
        <v>0</v>
      </c>
      <c r="BC34" s="164">
        <f t="shared" si="124"/>
        <v>0</v>
      </c>
      <c r="BD34" s="164">
        <f t="shared" si="124"/>
        <v>0</v>
      </c>
      <c r="BE34" s="164">
        <f t="shared" si="124"/>
        <v>0</v>
      </c>
      <c r="BF34" s="164">
        <f t="shared" si="124"/>
        <v>0</v>
      </c>
      <c r="BG34" s="164">
        <f t="shared" si="124"/>
        <v>0</v>
      </c>
      <c r="BH34" s="65">
        <f t="shared" si="125"/>
        <v>0</v>
      </c>
      <c r="BI34" s="170" t="s">
        <v>117</v>
      </c>
      <c r="BJ34" s="125">
        <f>BG34*(1+(Inflation!$I$6))</f>
        <v>0</v>
      </c>
      <c r="BK34" s="164">
        <f t="shared" ref="BK34:BU34" si="126">BJ34</f>
        <v>0</v>
      </c>
      <c r="BL34" s="164">
        <f t="shared" si="126"/>
        <v>0</v>
      </c>
      <c r="BM34" s="164">
        <f t="shared" si="126"/>
        <v>0</v>
      </c>
      <c r="BN34" s="164">
        <f t="shared" si="126"/>
        <v>0</v>
      </c>
      <c r="BO34" s="164">
        <f t="shared" si="126"/>
        <v>0</v>
      </c>
      <c r="BP34" s="164">
        <f t="shared" si="126"/>
        <v>0</v>
      </c>
      <c r="BQ34" s="164">
        <f t="shared" si="126"/>
        <v>0</v>
      </c>
      <c r="BR34" s="164">
        <f t="shared" si="126"/>
        <v>0</v>
      </c>
      <c r="BS34" s="164">
        <f t="shared" si="126"/>
        <v>0</v>
      </c>
      <c r="BT34" s="164">
        <f t="shared" si="126"/>
        <v>0</v>
      </c>
      <c r="BU34" s="164">
        <f t="shared" si="126"/>
        <v>0</v>
      </c>
      <c r="BV34" s="65">
        <f t="shared" si="127"/>
        <v>0</v>
      </c>
      <c r="BW34" s="170" t="s">
        <v>117</v>
      </c>
      <c r="BX34" s="123">
        <f>BV34*(1+Inflation!$J$5)</f>
        <v>0</v>
      </c>
      <c r="BY34" s="123">
        <f>BX34*(1+Inflation!$J$4)</f>
        <v>0</v>
      </c>
      <c r="BZ34" s="123">
        <f>BY34*(1+Inflation!$J$4)</f>
        <v>0</v>
      </c>
      <c r="CA34" s="123">
        <f>BZ34*(1+Inflation!$J$4)</f>
        <v>0</v>
      </c>
      <c r="CB34" s="123">
        <f>CA34*(1+Inflation!$J$4)</f>
        <v>0</v>
      </c>
      <c r="CC34" s="123">
        <f>CB34*(1+Inflation!$J$4)</f>
        <v>0</v>
      </c>
      <c r="CD34" s="123">
        <f>CC34*(1+Inflation!$J$4)</f>
        <v>0</v>
      </c>
      <c r="CE34" s="123">
        <f>CD34*(1+Inflation!$J$4)</f>
        <v>0</v>
      </c>
      <c r="CF34" s="123">
        <f>CE34*(1+Inflation!$J$4)</f>
        <v>0</v>
      </c>
      <c r="CG34" s="123">
        <f>CF34*(1+Inflation!$J$4)</f>
        <v>0</v>
      </c>
      <c r="CH34" s="123">
        <f>CG34*(1+Inflation!$J$4)</f>
        <v>0</v>
      </c>
      <c r="CI34" s="123">
        <f>CH34*(1+Inflation!$J$4)</f>
        <v>0</v>
      </c>
      <c r="CJ34" s="123">
        <f>CI34*(1+Inflation!$J$4)</f>
        <v>0</v>
      </c>
      <c r="CK34" s="123">
        <f>CJ34*(1+Inflation!$J$4)</f>
        <v>0</v>
      </c>
      <c r="CL34" s="123">
        <f>CK34*(1+Inflation!$J$4)</f>
        <v>0</v>
      </c>
      <c r="CM34" s="123">
        <f>CL34*(1+Inflation!$J$4)</f>
        <v>0</v>
      </c>
      <c r="CN34" s="123">
        <f>CM34*(1+Inflation!$J$4)</f>
        <v>0</v>
      </c>
      <c r="CO34" s="123">
        <f>CN34*(1+Inflation!$J$4)</f>
        <v>0</v>
      </c>
      <c r="CP34" s="123">
        <f>CO34*(1+Inflation!$J$4)</f>
        <v>0</v>
      </c>
      <c r="CQ34" s="123">
        <f>CP34*(1+Inflation!$J$4)</f>
        <v>0</v>
      </c>
      <c r="CR34" s="123">
        <f>CQ34*(1+Inflation!$J$4)</f>
        <v>0</v>
      </c>
      <c r="CS34" s="123">
        <f>CR34*(1+Inflation!$J$4)</f>
        <v>0</v>
      </c>
      <c r="CT34" s="123">
        <f>CS34*(1+Inflation!$J$4)</f>
        <v>0</v>
      </c>
      <c r="CU34" s="123">
        <f>CT34*(1+Inflation!$J$4)</f>
        <v>0</v>
      </c>
      <c r="CV34" s="123">
        <f>CU34*(1+Inflation!$J$4)</f>
        <v>0</v>
      </c>
      <c r="CW34" s="123">
        <f>CV34*(1+Inflation!$J$4)</f>
        <v>0</v>
      </c>
      <c r="CX34" s="123">
        <f>CW34*(1+Inflation!$J$4)</f>
        <v>0</v>
      </c>
      <c r="CY34" s="61"/>
      <c r="CZ34" s="61"/>
      <c r="DA34" s="61"/>
      <c r="DB34" s="61"/>
      <c r="DC34" s="61"/>
      <c r="DD34" s="61"/>
      <c r="DE34" s="61"/>
      <c r="DF34" s="61"/>
      <c r="DG34" s="61"/>
      <c r="DH34" s="61"/>
      <c r="DI34" s="61"/>
      <c r="DJ34" s="61"/>
      <c r="DK34" s="61"/>
      <c r="DL34" s="61"/>
      <c r="DM34" s="61"/>
      <c r="DN34" s="61"/>
      <c r="DO34" s="61"/>
      <c r="DP34" s="61"/>
    </row>
    <row r="35" ht="18.75" customHeight="1">
      <c r="A35" s="142" t="s">
        <v>118</v>
      </c>
      <c r="B35" s="71">
        <v>711.0</v>
      </c>
      <c r="C35" s="71">
        <v>686.0</v>
      </c>
      <c r="D35" s="71">
        <v>546.0</v>
      </c>
      <c r="E35" s="71">
        <v>861.0</v>
      </c>
      <c r="F35" s="71">
        <v>274.0</v>
      </c>
      <c r="G35" s="71">
        <v>788.0</v>
      </c>
      <c r="H35" s="71">
        <v>951.0</v>
      </c>
      <c r="I35" s="111">
        <v>271.0</v>
      </c>
      <c r="J35" s="71">
        <v>993.0</v>
      </c>
      <c r="K35" s="111">
        <v>271.0</v>
      </c>
      <c r="L35" s="111">
        <v>271.0</v>
      </c>
      <c r="M35" s="62">
        <v>649.0</v>
      </c>
      <c r="N35" s="64">
        <f t="shared" si="117"/>
        <v>7272</v>
      </c>
      <c r="O35" s="74">
        <v>3250.0</v>
      </c>
      <c r="P35" s="75">
        <f t="shared" si="118"/>
        <v>4022</v>
      </c>
      <c r="Q35" s="119" t="s">
        <v>119</v>
      </c>
      <c r="R35" s="68">
        <v>1240.0</v>
      </c>
      <c r="S35" s="68">
        <v>880.0</v>
      </c>
      <c r="T35" s="164">
        <f>AE35/12</f>
        <v>354.8333333</v>
      </c>
      <c r="U35" s="164">
        <f t="shared" ref="U35:AC35" si="128">T35</f>
        <v>354.8333333</v>
      </c>
      <c r="V35" s="164">
        <f t="shared" si="128"/>
        <v>354.8333333</v>
      </c>
      <c r="W35" s="164">
        <f t="shared" si="128"/>
        <v>354.8333333</v>
      </c>
      <c r="X35" s="164">
        <f t="shared" si="128"/>
        <v>354.8333333</v>
      </c>
      <c r="Y35" s="164">
        <f t="shared" si="128"/>
        <v>354.8333333</v>
      </c>
      <c r="Z35" s="164">
        <f t="shared" si="128"/>
        <v>354.8333333</v>
      </c>
      <c r="AA35" s="164">
        <f t="shared" si="128"/>
        <v>354.8333333</v>
      </c>
      <c r="AB35" s="164">
        <f t="shared" si="128"/>
        <v>354.8333333</v>
      </c>
      <c r="AC35" s="164">
        <f t="shared" si="128"/>
        <v>354.8333333</v>
      </c>
      <c r="AD35" s="65">
        <f t="shared" si="120"/>
        <v>5668.333333</v>
      </c>
      <c r="AE35" s="116">
        <v>4258.0</v>
      </c>
      <c r="AF35" s="117">
        <f t="shared" si="121"/>
        <v>1410.333333</v>
      </c>
      <c r="AG35" s="119" t="s">
        <v>119</v>
      </c>
      <c r="AH35" s="125">
        <f>AC35*(1+(Inflation!$G$6))</f>
        <v>363.7041667</v>
      </c>
      <c r="AI35" s="164">
        <f t="shared" ref="AI35:AS35" si="129">AH35</f>
        <v>363.7041667</v>
      </c>
      <c r="AJ35" s="164">
        <f t="shared" si="129"/>
        <v>363.7041667</v>
      </c>
      <c r="AK35" s="164">
        <f t="shared" si="129"/>
        <v>363.7041667</v>
      </c>
      <c r="AL35" s="164">
        <f t="shared" si="129"/>
        <v>363.7041667</v>
      </c>
      <c r="AM35" s="164">
        <f t="shared" si="129"/>
        <v>363.7041667</v>
      </c>
      <c r="AN35" s="164">
        <f t="shared" si="129"/>
        <v>363.7041667</v>
      </c>
      <c r="AO35" s="164">
        <f t="shared" si="129"/>
        <v>363.7041667</v>
      </c>
      <c r="AP35" s="164">
        <f t="shared" si="129"/>
        <v>363.7041667</v>
      </c>
      <c r="AQ35" s="164">
        <f t="shared" si="129"/>
        <v>363.7041667</v>
      </c>
      <c r="AR35" s="164">
        <f t="shared" si="129"/>
        <v>363.7041667</v>
      </c>
      <c r="AS35" s="164">
        <f t="shared" si="129"/>
        <v>363.7041667</v>
      </c>
      <c r="AT35" s="65">
        <f t="shared" si="123"/>
        <v>4364.45</v>
      </c>
      <c r="AU35" s="119" t="s">
        <v>119</v>
      </c>
      <c r="AV35" s="125">
        <f>AS35*(1+(Inflation!$H$6))</f>
        <v>372.7967708</v>
      </c>
      <c r="AW35" s="164">
        <f t="shared" ref="AW35:BG35" si="130">AV35</f>
        <v>372.7967708</v>
      </c>
      <c r="AX35" s="164">
        <f t="shared" si="130"/>
        <v>372.7967708</v>
      </c>
      <c r="AY35" s="164">
        <f t="shared" si="130"/>
        <v>372.7967708</v>
      </c>
      <c r="AZ35" s="164">
        <f t="shared" si="130"/>
        <v>372.7967708</v>
      </c>
      <c r="BA35" s="164">
        <f t="shared" si="130"/>
        <v>372.7967708</v>
      </c>
      <c r="BB35" s="164">
        <f t="shared" si="130"/>
        <v>372.7967708</v>
      </c>
      <c r="BC35" s="164">
        <f t="shared" si="130"/>
        <v>372.7967708</v>
      </c>
      <c r="BD35" s="164">
        <f t="shared" si="130"/>
        <v>372.7967708</v>
      </c>
      <c r="BE35" s="164">
        <f t="shared" si="130"/>
        <v>372.7967708</v>
      </c>
      <c r="BF35" s="164">
        <f t="shared" si="130"/>
        <v>372.7967708</v>
      </c>
      <c r="BG35" s="164">
        <f t="shared" si="130"/>
        <v>372.7967708</v>
      </c>
      <c r="BH35" s="65">
        <f t="shared" si="125"/>
        <v>4473.56125</v>
      </c>
      <c r="BI35" s="119" t="s">
        <v>119</v>
      </c>
      <c r="BJ35" s="125">
        <f>BG35*(1+(Inflation!$I$6))</f>
        <v>382.1166901</v>
      </c>
      <c r="BK35" s="164">
        <f t="shared" ref="BK35:BU35" si="131">BJ35</f>
        <v>382.1166901</v>
      </c>
      <c r="BL35" s="164">
        <f t="shared" si="131"/>
        <v>382.1166901</v>
      </c>
      <c r="BM35" s="164">
        <f t="shared" si="131"/>
        <v>382.1166901</v>
      </c>
      <c r="BN35" s="164">
        <f t="shared" si="131"/>
        <v>382.1166901</v>
      </c>
      <c r="BO35" s="164">
        <f t="shared" si="131"/>
        <v>382.1166901</v>
      </c>
      <c r="BP35" s="164">
        <f t="shared" si="131"/>
        <v>382.1166901</v>
      </c>
      <c r="BQ35" s="164">
        <f t="shared" si="131"/>
        <v>382.1166901</v>
      </c>
      <c r="BR35" s="164">
        <f t="shared" si="131"/>
        <v>382.1166901</v>
      </c>
      <c r="BS35" s="164">
        <f t="shared" si="131"/>
        <v>382.1166901</v>
      </c>
      <c r="BT35" s="164">
        <f t="shared" si="131"/>
        <v>382.1166901</v>
      </c>
      <c r="BU35" s="164">
        <f t="shared" si="131"/>
        <v>382.1166901</v>
      </c>
      <c r="BV35" s="65">
        <f t="shared" si="127"/>
        <v>4585.400281</v>
      </c>
      <c r="BW35" s="119" t="s">
        <v>119</v>
      </c>
      <c r="BX35" s="123">
        <f>BV35*(1+Inflation!$J$5)</f>
        <v>4700.035288</v>
      </c>
      <c r="BY35" s="123">
        <f>BX35*(1+Inflation!$J$4)</f>
        <v>4850.436418</v>
      </c>
      <c r="BZ35" s="123">
        <f>BY35*(1+Inflation!$J$4)</f>
        <v>5005.650383</v>
      </c>
      <c r="CA35" s="123">
        <f>BZ35*(1+Inflation!$J$4)</f>
        <v>5165.831195</v>
      </c>
      <c r="CB35" s="123">
        <f>CA35*(1+Inflation!$J$4)</f>
        <v>5331.137793</v>
      </c>
      <c r="CC35" s="123">
        <f>CB35*(1+Inflation!$J$4)</f>
        <v>5501.734203</v>
      </c>
      <c r="CD35" s="123">
        <f>CC35*(1+Inflation!$J$4)</f>
        <v>5677.789697</v>
      </c>
      <c r="CE35" s="123">
        <f>CD35*(1+Inflation!$J$4)</f>
        <v>5859.478968</v>
      </c>
      <c r="CF35" s="123">
        <f>CE35*(1+Inflation!$J$4)</f>
        <v>6046.982295</v>
      </c>
      <c r="CG35" s="123">
        <f>CF35*(1+Inflation!$J$4)</f>
        <v>6240.485728</v>
      </c>
      <c r="CH35" s="123">
        <f>CG35*(1+Inflation!$J$4)</f>
        <v>6440.181271</v>
      </c>
      <c r="CI35" s="123">
        <f>CH35*(1+Inflation!$J$4)</f>
        <v>6646.267072</v>
      </c>
      <c r="CJ35" s="123">
        <f>CI35*(1+Inflation!$J$4)</f>
        <v>6858.947618</v>
      </c>
      <c r="CK35" s="123">
        <f>CJ35*(1+Inflation!$J$4)</f>
        <v>7078.433942</v>
      </c>
      <c r="CL35" s="123">
        <f>CK35*(1+Inflation!$J$4)</f>
        <v>7304.943828</v>
      </c>
      <c r="CM35" s="123">
        <f>CL35*(1+Inflation!$J$4)</f>
        <v>7538.702031</v>
      </c>
      <c r="CN35" s="123">
        <f>CM35*(1+Inflation!$J$4)</f>
        <v>7779.940496</v>
      </c>
      <c r="CO35" s="123">
        <f>CN35*(1+Inflation!$J$4)</f>
        <v>8028.898591</v>
      </c>
      <c r="CP35" s="123">
        <f>CO35*(1+Inflation!$J$4)</f>
        <v>8285.823346</v>
      </c>
      <c r="CQ35" s="123">
        <f>CP35*(1+Inflation!$J$4)</f>
        <v>8550.969693</v>
      </c>
      <c r="CR35" s="123">
        <f>CQ35*(1+Inflation!$J$4)</f>
        <v>8824.600724</v>
      </c>
      <c r="CS35" s="123">
        <f>CR35*(1+Inflation!$J$4)</f>
        <v>9106.987947</v>
      </c>
      <c r="CT35" s="123">
        <f>CS35*(1+Inflation!$J$4)</f>
        <v>9398.411561</v>
      </c>
      <c r="CU35" s="123">
        <f>CT35*(1+Inflation!$J$4)</f>
        <v>9699.160731</v>
      </c>
      <c r="CV35" s="123">
        <f>CU35*(1+Inflation!$J$4)</f>
        <v>10009.53387</v>
      </c>
      <c r="CW35" s="123">
        <f>CV35*(1+Inflation!$J$4)</f>
        <v>10329.83896</v>
      </c>
      <c r="CX35" s="123">
        <f>CW35*(1+Inflation!$J$4)</f>
        <v>10660.39381</v>
      </c>
      <c r="CY35" s="61"/>
      <c r="CZ35" s="61"/>
      <c r="DA35" s="61"/>
      <c r="DB35" s="61"/>
      <c r="DC35" s="61"/>
      <c r="DD35" s="61"/>
      <c r="DE35" s="61"/>
      <c r="DF35" s="61"/>
      <c r="DG35" s="61"/>
      <c r="DH35" s="61"/>
      <c r="DI35" s="61"/>
      <c r="DJ35" s="61"/>
      <c r="DK35" s="61"/>
      <c r="DL35" s="61"/>
      <c r="DM35" s="61"/>
      <c r="DN35" s="61"/>
      <c r="DO35" s="61"/>
      <c r="DP35" s="61"/>
    </row>
    <row r="36" ht="18.75" customHeight="1">
      <c r="A36" s="104" t="s">
        <v>102</v>
      </c>
      <c r="B36" s="112">
        <f t="shared" ref="B36:M36" si="132">SUM(B33:B35)</f>
        <v>2842</v>
      </c>
      <c r="C36" s="112">
        <f t="shared" si="132"/>
        <v>1913</v>
      </c>
      <c r="D36" s="143">
        <f t="shared" si="132"/>
        <v>5273</v>
      </c>
      <c r="E36" s="112">
        <f t="shared" si="132"/>
        <v>1857</v>
      </c>
      <c r="F36" s="112">
        <f t="shared" si="132"/>
        <v>2216</v>
      </c>
      <c r="G36" s="112">
        <f t="shared" si="132"/>
        <v>3296</v>
      </c>
      <c r="H36" s="112">
        <f t="shared" si="132"/>
        <v>10812</v>
      </c>
      <c r="I36" s="112">
        <f t="shared" si="132"/>
        <v>3392</v>
      </c>
      <c r="J36" s="112">
        <f t="shared" si="132"/>
        <v>4114</v>
      </c>
      <c r="K36" s="112">
        <f t="shared" si="132"/>
        <v>3392</v>
      </c>
      <c r="L36" s="112">
        <f t="shared" si="132"/>
        <v>3464</v>
      </c>
      <c r="M36" s="112">
        <f t="shared" si="132"/>
        <v>3842</v>
      </c>
      <c r="N36" s="64">
        <f t="shared" si="117"/>
        <v>46413</v>
      </c>
      <c r="O36" s="144">
        <f>SUM(O33:O35)</f>
        <v>40697</v>
      </c>
      <c r="P36" s="75">
        <f t="shared" si="118"/>
        <v>5716</v>
      </c>
      <c r="Q36" s="104" t="s">
        <v>102</v>
      </c>
      <c r="R36" s="115">
        <f t="shared" ref="R36:AC36" si="133">SUM(R33:R35)</f>
        <v>5356.666667</v>
      </c>
      <c r="S36" s="115">
        <f t="shared" si="133"/>
        <v>4996.666667</v>
      </c>
      <c r="T36" s="115">
        <f t="shared" si="133"/>
        <v>4471.5</v>
      </c>
      <c r="U36" s="115">
        <f t="shared" si="133"/>
        <v>4471.5</v>
      </c>
      <c r="V36" s="115">
        <f t="shared" si="133"/>
        <v>4471.5</v>
      </c>
      <c r="W36" s="115">
        <f t="shared" si="133"/>
        <v>4471.5</v>
      </c>
      <c r="X36" s="115">
        <f t="shared" si="133"/>
        <v>4471.5</v>
      </c>
      <c r="Y36" s="115">
        <f t="shared" si="133"/>
        <v>4471.5</v>
      </c>
      <c r="Z36" s="115">
        <f t="shared" si="133"/>
        <v>4471.5</v>
      </c>
      <c r="AA36" s="115">
        <f t="shared" si="133"/>
        <v>4471.5</v>
      </c>
      <c r="AB36" s="115">
        <f t="shared" si="133"/>
        <v>4471.5</v>
      </c>
      <c r="AC36" s="115">
        <f t="shared" si="133"/>
        <v>4471.5</v>
      </c>
      <c r="AD36" s="65">
        <f t="shared" si="120"/>
        <v>55068.33333</v>
      </c>
      <c r="AE36" s="145">
        <f>SUM(AE33:AE35)</f>
        <v>53658</v>
      </c>
      <c r="AF36" s="146">
        <f t="shared" si="121"/>
        <v>1410.333333</v>
      </c>
      <c r="AG36" s="104" t="s">
        <v>102</v>
      </c>
      <c r="AH36" s="115">
        <f t="shared" ref="AH36:AS36" si="134">SUM(AH33:AH35)</f>
        <v>4583.2875</v>
      </c>
      <c r="AI36" s="115">
        <f t="shared" si="134"/>
        <v>4583.2875</v>
      </c>
      <c r="AJ36" s="115">
        <f t="shared" si="134"/>
        <v>4583.2875</v>
      </c>
      <c r="AK36" s="115">
        <f t="shared" si="134"/>
        <v>4583.2875</v>
      </c>
      <c r="AL36" s="115">
        <f t="shared" si="134"/>
        <v>4583.2875</v>
      </c>
      <c r="AM36" s="115">
        <f t="shared" si="134"/>
        <v>4583.2875</v>
      </c>
      <c r="AN36" s="115">
        <f t="shared" si="134"/>
        <v>4583.2875</v>
      </c>
      <c r="AO36" s="115">
        <f t="shared" si="134"/>
        <v>4583.2875</v>
      </c>
      <c r="AP36" s="115">
        <f t="shared" si="134"/>
        <v>4583.2875</v>
      </c>
      <c r="AQ36" s="115">
        <f t="shared" si="134"/>
        <v>4583.2875</v>
      </c>
      <c r="AR36" s="115">
        <f t="shared" si="134"/>
        <v>4583.2875</v>
      </c>
      <c r="AS36" s="115">
        <f t="shared" si="134"/>
        <v>4583.2875</v>
      </c>
      <c r="AT36" s="65">
        <f t="shared" si="123"/>
        <v>54999.45</v>
      </c>
      <c r="AU36" s="104" t="s">
        <v>102</v>
      </c>
      <c r="AV36" s="115">
        <f t="shared" ref="AV36:BG36" si="135">SUM(AV33:AV35)</f>
        <v>4697.869688</v>
      </c>
      <c r="AW36" s="115">
        <f t="shared" si="135"/>
        <v>4697.869688</v>
      </c>
      <c r="AX36" s="115">
        <f t="shared" si="135"/>
        <v>4697.869688</v>
      </c>
      <c r="AY36" s="115">
        <f t="shared" si="135"/>
        <v>4697.869688</v>
      </c>
      <c r="AZ36" s="115">
        <f t="shared" si="135"/>
        <v>4697.869688</v>
      </c>
      <c r="BA36" s="115">
        <f t="shared" si="135"/>
        <v>4697.869688</v>
      </c>
      <c r="BB36" s="115">
        <f t="shared" si="135"/>
        <v>4697.869688</v>
      </c>
      <c r="BC36" s="115">
        <f t="shared" si="135"/>
        <v>4697.869688</v>
      </c>
      <c r="BD36" s="115">
        <f t="shared" si="135"/>
        <v>4697.869688</v>
      </c>
      <c r="BE36" s="115">
        <f t="shared" si="135"/>
        <v>4697.869688</v>
      </c>
      <c r="BF36" s="115">
        <f t="shared" si="135"/>
        <v>4697.869688</v>
      </c>
      <c r="BG36" s="115">
        <f t="shared" si="135"/>
        <v>4697.869688</v>
      </c>
      <c r="BH36" s="65">
        <f t="shared" si="125"/>
        <v>56374.43625</v>
      </c>
      <c r="BI36" s="104" t="s">
        <v>102</v>
      </c>
      <c r="BJ36" s="115">
        <f t="shared" ref="BJ36:BU36" si="136">SUM(BJ33:BJ35)</f>
        <v>4815.31643</v>
      </c>
      <c r="BK36" s="115">
        <f t="shared" si="136"/>
        <v>4815.31643</v>
      </c>
      <c r="BL36" s="115">
        <f t="shared" si="136"/>
        <v>4815.31643</v>
      </c>
      <c r="BM36" s="115">
        <f t="shared" si="136"/>
        <v>4815.31643</v>
      </c>
      <c r="BN36" s="115">
        <f t="shared" si="136"/>
        <v>4815.31643</v>
      </c>
      <c r="BO36" s="115">
        <f t="shared" si="136"/>
        <v>4815.31643</v>
      </c>
      <c r="BP36" s="115">
        <f t="shared" si="136"/>
        <v>4815.31643</v>
      </c>
      <c r="BQ36" s="115">
        <f t="shared" si="136"/>
        <v>4815.31643</v>
      </c>
      <c r="BR36" s="115">
        <f t="shared" si="136"/>
        <v>4815.31643</v>
      </c>
      <c r="BS36" s="115">
        <f t="shared" si="136"/>
        <v>4815.31643</v>
      </c>
      <c r="BT36" s="115">
        <f t="shared" si="136"/>
        <v>4815.31643</v>
      </c>
      <c r="BU36" s="115">
        <f t="shared" si="136"/>
        <v>4815.31643</v>
      </c>
      <c r="BV36" s="65">
        <f t="shared" si="127"/>
        <v>57783.79716</v>
      </c>
      <c r="BW36" s="104" t="s">
        <v>102</v>
      </c>
      <c r="BX36" s="115">
        <f t="shared" ref="BX36:CX36" si="137">SUM(BX33:BX35)</f>
        <v>59228.39209</v>
      </c>
      <c r="BY36" s="65">
        <f t="shared" si="137"/>
        <v>61123.70063</v>
      </c>
      <c r="BZ36" s="65">
        <f t="shared" si="137"/>
        <v>63079.65905</v>
      </c>
      <c r="CA36" s="65">
        <f t="shared" si="137"/>
        <v>65098.20814</v>
      </c>
      <c r="CB36" s="65">
        <f t="shared" si="137"/>
        <v>67181.3508</v>
      </c>
      <c r="CC36" s="65">
        <f t="shared" si="137"/>
        <v>69331.15403</v>
      </c>
      <c r="CD36" s="65">
        <f t="shared" si="137"/>
        <v>71549.75096</v>
      </c>
      <c r="CE36" s="65">
        <f t="shared" si="137"/>
        <v>73839.34299</v>
      </c>
      <c r="CF36" s="65">
        <f t="shared" si="137"/>
        <v>76202.20196</v>
      </c>
      <c r="CG36" s="65">
        <f t="shared" si="137"/>
        <v>78640.67243</v>
      </c>
      <c r="CH36" s="65">
        <f t="shared" si="137"/>
        <v>81157.17394</v>
      </c>
      <c r="CI36" s="65">
        <f t="shared" si="137"/>
        <v>83754.20351</v>
      </c>
      <c r="CJ36" s="65">
        <f t="shared" si="137"/>
        <v>86434.33802</v>
      </c>
      <c r="CK36" s="65">
        <f t="shared" si="137"/>
        <v>89200.23684</v>
      </c>
      <c r="CL36" s="65">
        <f t="shared" si="137"/>
        <v>92054.64442</v>
      </c>
      <c r="CM36" s="65">
        <f t="shared" si="137"/>
        <v>95000.39304</v>
      </c>
      <c r="CN36" s="65">
        <f t="shared" si="137"/>
        <v>98040.40562</v>
      </c>
      <c r="CO36" s="65">
        <f t="shared" si="137"/>
        <v>101177.6986</v>
      </c>
      <c r="CP36" s="65">
        <f t="shared" si="137"/>
        <v>104415.385</v>
      </c>
      <c r="CQ36" s="65">
        <f t="shared" si="137"/>
        <v>107756.6773</v>
      </c>
      <c r="CR36" s="65">
        <f t="shared" si="137"/>
        <v>111204.8909</v>
      </c>
      <c r="CS36" s="65">
        <f t="shared" si="137"/>
        <v>114763.4475</v>
      </c>
      <c r="CT36" s="65">
        <f t="shared" si="137"/>
        <v>118435.8778</v>
      </c>
      <c r="CU36" s="65">
        <f t="shared" si="137"/>
        <v>122225.8259</v>
      </c>
      <c r="CV36" s="65">
        <f t="shared" si="137"/>
        <v>126137.0523</v>
      </c>
      <c r="CW36" s="65">
        <f t="shared" si="137"/>
        <v>130173.438</v>
      </c>
      <c r="CX36" s="65">
        <f t="shared" si="137"/>
        <v>134338.988</v>
      </c>
      <c r="CY36" s="61"/>
      <c r="CZ36" s="61"/>
      <c r="DA36" s="61"/>
      <c r="DB36" s="61"/>
      <c r="DC36" s="61"/>
      <c r="DD36" s="61"/>
      <c r="DE36" s="61"/>
      <c r="DF36" s="61"/>
      <c r="DG36" s="61"/>
      <c r="DH36" s="61"/>
      <c r="DI36" s="61"/>
      <c r="DJ36" s="61"/>
      <c r="DK36" s="61"/>
      <c r="DL36" s="61"/>
      <c r="DM36" s="61"/>
      <c r="DN36" s="61"/>
      <c r="DO36" s="61"/>
      <c r="DP36" s="61"/>
    </row>
    <row r="37" ht="18.75" customHeight="1">
      <c r="A37" s="104" t="s">
        <v>120</v>
      </c>
      <c r="B37" s="159"/>
      <c r="C37" s="138"/>
      <c r="D37" s="139"/>
      <c r="E37" s="138"/>
      <c r="F37" s="138"/>
      <c r="G37" s="138"/>
      <c r="H37" s="138"/>
      <c r="I37" s="138"/>
      <c r="J37" s="138"/>
      <c r="K37" s="138"/>
      <c r="L37" s="138"/>
      <c r="M37" s="138"/>
      <c r="N37" s="138"/>
      <c r="O37" s="108"/>
      <c r="P37" s="108"/>
      <c r="Q37" s="104" t="s">
        <v>120</v>
      </c>
      <c r="R37" s="123"/>
      <c r="S37" s="140"/>
      <c r="T37" s="140"/>
      <c r="U37" s="140"/>
      <c r="V37" s="140"/>
      <c r="W37" s="140"/>
      <c r="X37" s="140"/>
      <c r="Y37" s="140"/>
      <c r="Z37" s="140"/>
      <c r="AA37" s="140"/>
      <c r="AB37" s="140"/>
      <c r="AC37" s="140"/>
      <c r="AD37" s="140"/>
      <c r="AE37" s="137"/>
      <c r="AF37" s="104"/>
      <c r="AG37" s="104" t="s">
        <v>120</v>
      </c>
      <c r="AH37" s="123"/>
      <c r="AI37" s="140"/>
      <c r="AJ37" s="140"/>
      <c r="AK37" s="140"/>
      <c r="AL37" s="140"/>
      <c r="AM37" s="140"/>
      <c r="AN37" s="140"/>
      <c r="AO37" s="140"/>
      <c r="AP37" s="140"/>
      <c r="AQ37" s="140"/>
      <c r="AR37" s="140"/>
      <c r="AS37" s="140"/>
      <c r="AT37" s="140"/>
      <c r="AU37" s="104" t="s">
        <v>120</v>
      </c>
      <c r="AV37" s="123"/>
      <c r="AW37" s="140"/>
      <c r="AX37" s="140"/>
      <c r="AY37" s="140"/>
      <c r="AZ37" s="140"/>
      <c r="BA37" s="140"/>
      <c r="BB37" s="140"/>
      <c r="BC37" s="140"/>
      <c r="BD37" s="140"/>
      <c r="BE37" s="140"/>
      <c r="BF37" s="140"/>
      <c r="BG37" s="140"/>
      <c r="BH37" s="140"/>
      <c r="BI37" s="104" t="s">
        <v>120</v>
      </c>
      <c r="BJ37" s="123"/>
      <c r="BK37" s="140"/>
      <c r="BL37" s="140"/>
      <c r="BM37" s="140"/>
      <c r="BN37" s="140"/>
      <c r="BO37" s="140"/>
      <c r="BP37" s="140"/>
      <c r="BQ37" s="140"/>
      <c r="BR37" s="140"/>
      <c r="BS37" s="140"/>
      <c r="BT37" s="140"/>
      <c r="BU37" s="140"/>
      <c r="BV37" s="140"/>
      <c r="BW37" s="104" t="s">
        <v>120</v>
      </c>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c r="CY37" s="113"/>
      <c r="CZ37" s="113"/>
      <c r="DA37" s="113"/>
      <c r="DB37" s="113"/>
      <c r="DC37" s="113"/>
      <c r="DD37" s="113"/>
      <c r="DE37" s="113"/>
      <c r="DF37" s="113"/>
      <c r="DG37" s="113"/>
      <c r="DH37" s="113"/>
      <c r="DI37" s="113"/>
      <c r="DJ37" s="113"/>
      <c r="DK37" s="113"/>
      <c r="DL37" s="113"/>
      <c r="DM37" s="113"/>
      <c r="DN37" s="113"/>
      <c r="DO37" s="113"/>
      <c r="DP37" s="113"/>
    </row>
    <row r="38" ht="18.75" customHeight="1">
      <c r="A38" s="119" t="s">
        <v>121</v>
      </c>
      <c r="B38" s="71">
        <v>174.0</v>
      </c>
      <c r="C38" s="71">
        <v>259.0</v>
      </c>
      <c r="D38" s="71">
        <v>204.0</v>
      </c>
      <c r="E38" s="71">
        <v>0.0</v>
      </c>
      <c r="F38" s="71">
        <v>0.0</v>
      </c>
      <c r="G38" s="71">
        <v>163.0</v>
      </c>
      <c r="H38" s="71">
        <v>83.0</v>
      </c>
      <c r="I38" s="71">
        <v>43.0</v>
      </c>
      <c r="J38" s="110">
        <v>95.0</v>
      </c>
      <c r="K38" s="111">
        <v>83.0</v>
      </c>
      <c r="L38" s="111">
        <v>83.0</v>
      </c>
      <c r="M38" s="110">
        <v>87.0</v>
      </c>
      <c r="N38" s="64">
        <f t="shared" ref="N38:N41" si="139">SUM(B38:M38)</f>
        <v>1274</v>
      </c>
      <c r="O38" s="74">
        <v>1000.0</v>
      </c>
      <c r="P38" s="75">
        <f t="shared" ref="P38:P41" si="140">N38-O38</f>
        <v>274</v>
      </c>
      <c r="Q38" s="119" t="s">
        <v>121</v>
      </c>
      <c r="R38" s="125">
        <f>AE38/12</f>
        <v>108.8333333</v>
      </c>
      <c r="S38" s="164">
        <f t="shared" ref="S38:AC38" si="138">R38</f>
        <v>108.8333333</v>
      </c>
      <c r="T38" s="164">
        <f t="shared" si="138"/>
        <v>108.8333333</v>
      </c>
      <c r="U38" s="164">
        <f t="shared" si="138"/>
        <v>108.8333333</v>
      </c>
      <c r="V38" s="164">
        <f t="shared" si="138"/>
        <v>108.8333333</v>
      </c>
      <c r="W38" s="164">
        <f t="shared" si="138"/>
        <v>108.8333333</v>
      </c>
      <c r="X38" s="164">
        <f t="shared" si="138"/>
        <v>108.8333333</v>
      </c>
      <c r="Y38" s="164">
        <f t="shared" si="138"/>
        <v>108.8333333</v>
      </c>
      <c r="Z38" s="164">
        <f t="shared" si="138"/>
        <v>108.8333333</v>
      </c>
      <c r="AA38" s="164">
        <f t="shared" si="138"/>
        <v>108.8333333</v>
      </c>
      <c r="AB38" s="164">
        <f t="shared" si="138"/>
        <v>108.8333333</v>
      </c>
      <c r="AC38" s="164">
        <f t="shared" si="138"/>
        <v>108.8333333</v>
      </c>
      <c r="AD38" s="65">
        <f t="shared" ref="AD38:AD41" si="142">SUM(R38:AC38)</f>
        <v>1306</v>
      </c>
      <c r="AE38" s="116">
        <v>1306.0</v>
      </c>
      <c r="AF38" s="117">
        <f t="shared" ref="AF38:AF41" si="143">AD38-AE38</f>
        <v>0</v>
      </c>
      <c r="AG38" s="119" t="s">
        <v>121</v>
      </c>
      <c r="AH38" s="125">
        <f>R38*(1+Inflation!$G$6)</f>
        <v>111.5541667</v>
      </c>
      <c r="AI38" s="125">
        <f>S38*(1+Inflation!$G$6)</f>
        <v>111.5541667</v>
      </c>
      <c r="AJ38" s="125">
        <f>T38*(1+Inflation!$G$6)</f>
        <v>111.5541667</v>
      </c>
      <c r="AK38" s="125">
        <f>U38*(1+Inflation!$G$6)</f>
        <v>111.5541667</v>
      </c>
      <c r="AL38" s="125">
        <f>V38*(1+Inflation!$G$6)</f>
        <v>111.5541667</v>
      </c>
      <c r="AM38" s="125">
        <f>W38*(1+Inflation!$G$6)</f>
        <v>111.5541667</v>
      </c>
      <c r="AN38" s="125">
        <f>X38*(1+Inflation!$G$6)</f>
        <v>111.5541667</v>
      </c>
      <c r="AO38" s="125">
        <f>Y38*(1+Inflation!$G$6)</f>
        <v>111.5541667</v>
      </c>
      <c r="AP38" s="125">
        <f>Z38*(1+Inflation!$G$6)</f>
        <v>111.5541667</v>
      </c>
      <c r="AQ38" s="125">
        <f>AA38*(1+Inflation!$G$6)</f>
        <v>111.5541667</v>
      </c>
      <c r="AR38" s="125">
        <f>AB38*(1+Inflation!$G$6)</f>
        <v>111.5541667</v>
      </c>
      <c r="AS38" s="125">
        <f>AC38*(1+Inflation!$G$6)</f>
        <v>111.5541667</v>
      </c>
      <c r="AT38" s="65">
        <f t="shared" ref="AT38:AT41" si="144">SUM(AH38:AS38)</f>
        <v>1338.65</v>
      </c>
      <c r="AU38" s="119" t="s">
        <v>121</v>
      </c>
      <c r="AV38" s="125">
        <f>AH38*(1+Inflation!$H$6)</f>
        <v>114.3430208</v>
      </c>
      <c r="AW38" s="125">
        <f>AI38*(1+Inflation!$H$6)</f>
        <v>114.3430208</v>
      </c>
      <c r="AX38" s="125">
        <f>AJ38*(1+Inflation!$H$6)</f>
        <v>114.3430208</v>
      </c>
      <c r="AY38" s="125">
        <f>AK38*(1+Inflation!$H$6)</f>
        <v>114.3430208</v>
      </c>
      <c r="AZ38" s="125">
        <f>AL38*(1+Inflation!$H$6)</f>
        <v>114.3430208</v>
      </c>
      <c r="BA38" s="125">
        <f>AM38*(1+Inflation!$H$6)</f>
        <v>114.3430208</v>
      </c>
      <c r="BB38" s="125">
        <f>AN38*(1+Inflation!$H$6)</f>
        <v>114.3430208</v>
      </c>
      <c r="BC38" s="125">
        <f>AO38*(1+Inflation!$H$6)</f>
        <v>114.3430208</v>
      </c>
      <c r="BD38" s="125">
        <f>AP38*(1+Inflation!$H$6)</f>
        <v>114.3430208</v>
      </c>
      <c r="BE38" s="125">
        <f>AQ38*(1+Inflation!$H$6)</f>
        <v>114.3430208</v>
      </c>
      <c r="BF38" s="125">
        <f>AR38*(1+Inflation!$H$6)</f>
        <v>114.3430208</v>
      </c>
      <c r="BG38" s="125">
        <f>AS38*(1+Inflation!$H$6)</f>
        <v>114.3430208</v>
      </c>
      <c r="BH38" s="65">
        <f t="shared" ref="BH38:BH41" si="145">SUM(AV38:BG38)</f>
        <v>1372.11625</v>
      </c>
      <c r="BI38" s="119" t="s">
        <v>121</v>
      </c>
      <c r="BJ38" s="125">
        <f>AV38*(1+Inflation!$I$6)</f>
        <v>117.2015964</v>
      </c>
      <c r="BK38" s="125">
        <f>AW38*(1+Inflation!$H$6)</f>
        <v>117.2015964</v>
      </c>
      <c r="BL38" s="125">
        <f>AX38*(1+Inflation!$H$6)</f>
        <v>117.2015964</v>
      </c>
      <c r="BM38" s="125">
        <f>AY38*(1+Inflation!$H$6)</f>
        <v>117.2015964</v>
      </c>
      <c r="BN38" s="125">
        <f>AZ38*(1+Inflation!$H$6)</f>
        <v>117.2015964</v>
      </c>
      <c r="BO38" s="125">
        <f>BA38*(1+Inflation!$H$6)</f>
        <v>117.2015964</v>
      </c>
      <c r="BP38" s="125">
        <f>BB38*(1+Inflation!$H$6)</f>
        <v>117.2015964</v>
      </c>
      <c r="BQ38" s="125">
        <f>BC38*(1+Inflation!$H$6)</f>
        <v>117.2015964</v>
      </c>
      <c r="BR38" s="125">
        <f>BD38*(1+Inflation!$H$6)</f>
        <v>117.2015964</v>
      </c>
      <c r="BS38" s="125">
        <f>BE38*(1+Inflation!$H$6)</f>
        <v>117.2015964</v>
      </c>
      <c r="BT38" s="125">
        <f>BF38*(1+Inflation!$H$6)</f>
        <v>117.2015964</v>
      </c>
      <c r="BU38" s="125">
        <f>BG38*(1+Inflation!$H$6)</f>
        <v>117.2015964</v>
      </c>
      <c r="BV38" s="65">
        <f t="shared" ref="BV38:BV41" si="146">SUM(BJ38:BU38)</f>
        <v>1406.419156</v>
      </c>
      <c r="BW38" s="119" t="s">
        <v>121</v>
      </c>
      <c r="BX38" s="123">
        <f>BV38*(1+Inflation!$J$5)</f>
        <v>1441.579635</v>
      </c>
      <c r="BY38" s="123">
        <f>BX38*(1+Inflation!$J$4)</f>
        <v>1487.710183</v>
      </c>
      <c r="BZ38" s="123">
        <f>BY38*(1+Inflation!$J$4)</f>
        <v>1535.316909</v>
      </c>
      <c r="CA38" s="123">
        <f>BZ38*(1+Inflation!$J$4)</f>
        <v>1584.44705</v>
      </c>
      <c r="CB38" s="123">
        <f>CA38*(1+Inflation!$J$4)</f>
        <v>1635.149356</v>
      </c>
      <c r="CC38" s="123">
        <f>CB38*(1+Inflation!$J$4)</f>
        <v>1687.474135</v>
      </c>
      <c r="CD38" s="123">
        <f>CC38*(1+Inflation!$J$4)</f>
        <v>1741.473308</v>
      </c>
      <c r="CE38" s="123">
        <f>CD38*(1+Inflation!$J$4)</f>
        <v>1797.200454</v>
      </c>
      <c r="CF38" s="123">
        <f>CE38*(1+Inflation!$J$4)</f>
        <v>1854.710868</v>
      </c>
      <c r="CG38" s="123">
        <f>CF38*(1+Inflation!$J$4)</f>
        <v>1914.061616</v>
      </c>
      <c r="CH38" s="123">
        <f>CG38*(1+Inflation!$J$4)</f>
        <v>1975.311588</v>
      </c>
      <c r="CI38" s="123">
        <f>CH38*(1+Inflation!$J$4)</f>
        <v>2038.521558</v>
      </c>
      <c r="CJ38" s="123">
        <f>CI38*(1+Inflation!$J$4)</f>
        <v>2103.754248</v>
      </c>
      <c r="CK38" s="123">
        <f>CJ38*(1+Inflation!$J$4)</f>
        <v>2171.074384</v>
      </c>
      <c r="CL38" s="123">
        <f>CK38*(1+Inflation!$J$4)</f>
        <v>2240.548765</v>
      </c>
      <c r="CM38" s="123">
        <f>CL38*(1+Inflation!$J$4)</f>
        <v>2312.246325</v>
      </c>
      <c r="CN38" s="123">
        <f>CM38*(1+Inflation!$J$4)</f>
        <v>2386.238207</v>
      </c>
      <c r="CO38" s="123">
        <f>CN38*(1+Inflation!$J$4)</f>
        <v>2462.59783</v>
      </c>
      <c r="CP38" s="123">
        <f>CO38*(1+Inflation!$J$4)</f>
        <v>2541.400961</v>
      </c>
      <c r="CQ38" s="123">
        <f>CP38*(1+Inflation!$J$4)</f>
        <v>2622.725791</v>
      </c>
      <c r="CR38" s="123">
        <f>CQ38*(1+Inflation!$J$4)</f>
        <v>2706.653017</v>
      </c>
      <c r="CS38" s="123">
        <f>CR38*(1+Inflation!$J$4)</f>
        <v>2793.265913</v>
      </c>
      <c r="CT38" s="123">
        <f>CS38*(1+Inflation!$J$4)</f>
        <v>2882.650422</v>
      </c>
      <c r="CU38" s="123">
        <f>CT38*(1+Inflation!$J$4)</f>
        <v>2974.895236</v>
      </c>
      <c r="CV38" s="123">
        <f>CU38*(1+Inflation!$J$4)</f>
        <v>3070.091884</v>
      </c>
      <c r="CW38" s="123">
        <f>CV38*(1+Inflation!$J$4)</f>
        <v>3168.334824</v>
      </c>
      <c r="CX38" s="123">
        <f>CW38*(1+Inflation!$J$4)</f>
        <v>3269.721538</v>
      </c>
      <c r="CY38" s="61"/>
      <c r="CZ38" s="61"/>
      <c r="DA38" s="61"/>
      <c r="DB38" s="61"/>
      <c r="DC38" s="61"/>
      <c r="DD38" s="61"/>
      <c r="DE38" s="61"/>
      <c r="DF38" s="61"/>
      <c r="DG38" s="61"/>
      <c r="DH38" s="61"/>
      <c r="DI38" s="61"/>
      <c r="DJ38" s="61"/>
      <c r="DK38" s="61"/>
      <c r="DL38" s="61"/>
      <c r="DM38" s="61"/>
      <c r="DN38" s="61"/>
      <c r="DO38" s="61"/>
      <c r="DP38" s="61"/>
    </row>
    <row r="39" ht="18.75" customHeight="1">
      <c r="A39" s="119" t="s">
        <v>122</v>
      </c>
      <c r="B39" s="71">
        <v>0.0</v>
      </c>
      <c r="C39" s="71">
        <v>0.0</v>
      </c>
      <c r="D39" s="71">
        <v>0.0</v>
      </c>
      <c r="E39" s="71">
        <v>0.0</v>
      </c>
      <c r="F39" s="71">
        <v>0.0</v>
      </c>
      <c r="G39" s="71">
        <v>0.0</v>
      </c>
      <c r="H39" s="71">
        <v>0.0</v>
      </c>
      <c r="I39" s="111">
        <v>29.0</v>
      </c>
      <c r="J39" s="111">
        <v>29.0</v>
      </c>
      <c r="K39" s="111">
        <v>29.0</v>
      </c>
      <c r="L39" s="111">
        <v>29.0</v>
      </c>
      <c r="M39" s="111">
        <v>29.0</v>
      </c>
      <c r="N39" s="64">
        <f t="shared" si="139"/>
        <v>145</v>
      </c>
      <c r="O39" s="74">
        <v>348.0</v>
      </c>
      <c r="P39" s="75">
        <f t="shared" si="140"/>
        <v>-203</v>
      </c>
      <c r="Q39" s="119" t="s">
        <v>122</v>
      </c>
      <c r="R39" s="68">
        <f>B39*(1+Inflation!$F$6)</f>
        <v>0</v>
      </c>
      <c r="S39" s="68">
        <v>78.0</v>
      </c>
      <c r="T39" s="125">
        <f>AE39/12</f>
        <v>12.41666667</v>
      </c>
      <c r="U39" s="164">
        <f t="shared" ref="U39:AC39" si="141">T39</f>
        <v>12.41666667</v>
      </c>
      <c r="V39" s="164">
        <f t="shared" si="141"/>
        <v>12.41666667</v>
      </c>
      <c r="W39" s="164">
        <f t="shared" si="141"/>
        <v>12.41666667</v>
      </c>
      <c r="X39" s="164">
        <f t="shared" si="141"/>
        <v>12.41666667</v>
      </c>
      <c r="Y39" s="164">
        <f t="shared" si="141"/>
        <v>12.41666667</v>
      </c>
      <c r="Z39" s="164">
        <f t="shared" si="141"/>
        <v>12.41666667</v>
      </c>
      <c r="AA39" s="164">
        <f t="shared" si="141"/>
        <v>12.41666667</v>
      </c>
      <c r="AB39" s="164">
        <f t="shared" si="141"/>
        <v>12.41666667</v>
      </c>
      <c r="AC39" s="164">
        <f t="shared" si="141"/>
        <v>12.41666667</v>
      </c>
      <c r="AD39" s="65">
        <f t="shared" si="142"/>
        <v>202.1666667</v>
      </c>
      <c r="AE39" s="116">
        <v>149.0</v>
      </c>
      <c r="AF39" s="117">
        <f t="shared" si="143"/>
        <v>53.16666667</v>
      </c>
      <c r="AG39" s="119" t="s">
        <v>122</v>
      </c>
      <c r="AH39" s="125">
        <f>R39*(1+Inflation!$G$6)</f>
        <v>0</v>
      </c>
      <c r="AI39" s="125">
        <f>S39*(1+Inflation!$G$6)</f>
        <v>79.95</v>
      </c>
      <c r="AJ39" s="125">
        <f>T39*(1+Inflation!$G$6)</f>
        <v>12.72708333</v>
      </c>
      <c r="AK39" s="125">
        <f>U39*(1+Inflation!$G$6)</f>
        <v>12.72708333</v>
      </c>
      <c r="AL39" s="125">
        <f>V39*(1+Inflation!$G$6)</f>
        <v>12.72708333</v>
      </c>
      <c r="AM39" s="125">
        <f>W39*(1+Inflation!$G$6)</f>
        <v>12.72708333</v>
      </c>
      <c r="AN39" s="125">
        <f>X39*(1+Inflation!$G$6)</f>
        <v>12.72708333</v>
      </c>
      <c r="AO39" s="125">
        <f>Y39*(1+Inflation!$G$6)</f>
        <v>12.72708333</v>
      </c>
      <c r="AP39" s="125">
        <f>Z39*(1+Inflation!$G$6)</f>
        <v>12.72708333</v>
      </c>
      <c r="AQ39" s="125">
        <f>AA39*(1+Inflation!$G$6)</f>
        <v>12.72708333</v>
      </c>
      <c r="AR39" s="125">
        <f>AB39*(1+Inflation!$G$6)</f>
        <v>12.72708333</v>
      </c>
      <c r="AS39" s="125">
        <f>AC39*(1+Inflation!$G$6)</f>
        <v>12.72708333</v>
      </c>
      <c r="AT39" s="65">
        <f t="shared" si="144"/>
        <v>207.2208333</v>
      </c>
      <c r="AU39" s="119" t="s">
        <v>122</v>
      </c>
      <c r="AV39" s="125">
        <f>AH39*(1+Inflation!$H$6)</f>
        <v>0</v>
      </c>
      <c r="AW39" s="125">
        <f>AI39*(1+Inflation!$H$6)</f>
        <v>81.94875</v>
      </c>
      <c r="AX39" s="125">
        <f>AJ39*(1+Inflation!$H$6)</f>
        <v>13.04526042</v>
      </c>
      <c r="AY39" s="125">
        <f>AK39*(1+Inflation!$H$6)</f>
        <v>13.04526042</v>
      </c>
      <c r="AZ39" s="125">
        <f>AL39*(1+Inflation!$H$6)</f>
        <v>13.04526042</v>
      </c>
      <c r="BA39" s="125">
        <f>AM39*(1+Inflation!$H$6)</f>
        <v>13.04526042</v>
      </c>
      <c r="BB39" s="125">
        <f>AN39*(1+Inflation!$H$6)</f>
        <v>13.04526042</v>
      </c>
      <c r="BC39" s="125">
        <f>AO39*(1+Inflation!$H$6)</f>
        <v>13.04526042</v>
      </c>
      <c r="BD39" s="125">
        <f>AP39*(1+Inflation!$H$6)</f>
        <v>13.04526042</v>
      </c>
      <c r="BE39" s="125">
        <f>AQ39*(1+Inflation!$H$6)</f>
        <v>13.04526042</v>
      </c>
      <c r="BF39" s="125">
        <f>AR39*(1+Inflation!$H$6)</f>
        <v>13.04526042</v>
      </c>
      <c r="BG39" s="125">
        <f>AS39*(1+Inflation!$H$6)</f>
        <v>13.04526042</v>
      </c>
      <c r="BH39" s="65">
        <f t="shared" si="145"/>
        <v>212.4013542</v>
      </c>
      <c r="BI39" s="119" t="s">
        <v>122</v>
      </c>
      <c r="BJ39" s="125">
        <f>AV39*(1+Inflation!$H$6)</f>
        <v>0</v>
      </c>
      <c r="BK39" s="125">
        <f>AW39*(1+Inflation!$H$6)</f>
        <v>83.99746875</v>
      </c>
      <c r="BL39" s="125">
        <f>AX39*(1+Inflation!$H$6)</f>
        <v>13.37139193</v>
      </c>
      <c r="BM39" s="125">
        <f>AY39*(1+Inflation!$H$6)</f>
        <v>13.37139193</v>
      </c>
      <c r="BN39" s="125">
        <f>AZ39*(1+Inflation!$H$6)</f>
        <v>13.37139193</v>
      </c>
      <c r="BO39" s="125">
        <f>BA39*(1+Inflation!$H$6)</f>
        <v>13.37139193</v>
      </c>
      <c r="BP39" s="125">
        <f>BB39*(1+Inflation!$H$6)</f>
        <v>13.37139193</v>
      </c>
      <c r="BQ39" s="125">
        <f>BC39*(1+Inflation!$H$6)</f>
        <v>13.37139193</v>
      </c>
      <c r="BR39" s="125">
        <f>BD39*(1+Inflation!$H$6)</f>
        <v>13.37139193</v>
      </c>
      <c r="BS39" s="125">
        <f>BE39*(1+Inflation!$H$6)</f>
        <v>13.37139193</v>
      </c>
      <c r="BT39" s="125">
        <f>BF39*(1+Inflation!$H$6)</f>
        <v>13.37139193</v>
      </c>
      <c r="BU39" s="125">
        <f>BG39*(1+Inflation!$H$6)</f>
        <v>13.37139193</v>
      </c>
      <c r="BV39" s="65">
        <f t="shared" si="146"/>
        <v>217.711388</v>
      </c>
      <c r="BW39" s="119" t="s">
        <v>122</v>
      </c>
      <c r="BX39" s="123">
        <f>BV39*(1+Inflation!$J$5)</f>
        <v>223.1541727</v>
      </c>
      <c r="BY39" s="123">
        <f>BX39*(1+Inflation!$J$4)</f>
        <v>230.2951062</v>
      </c>
      <c r="BZ39" s="123">
        <f>BY39*(1+Inflation!$J$4)</f>
        <v>237.6645496</v>
      </c>
      <c r="CA39" s="123">
        <f>BZ39*(1+Inflation!$J$4)</f>
        <v>245.2698152</v>
      </c>
      <c r="CB39" s="123">
        <f>CA39*(1+Inflation!$J$4)</f>
        <v>253.1184493</v>
      </c>
      <c r="CC39" s="123">
        <f>CB39*(1+Inflation!$J$4)</f>
        <v>261.2182397</v>
      </c>
      <c r="CD39" s="123">
        <f>CC39*(1+Inflation!$J$4)</f>
        <v>269.5772234</v>
      </c>
      <c r="CE39" s="123">
        <f>CD39*(1+Inflation!$J$4)</f>
        <v>278.2036945</v>
      </c>
      <c r="CF39" s="123">
        <f>CE39*(1+Inflation!$J$4)</f>
        <v>287.1062127</v>
      </c>
      <c r="CG39" s="123">
        <f>CF39*(1+Inflation!$J$4)</f>
        <v>296.2936116</v>
      </c>
      <c r="CH39" s="123">
        <f>CG39*(1+Inflation!$J$4)</f>
        <v>305.7750071</v>
      </c>
      <c r="CI39" s="123">
        <f>CH39*(1+Inflation!$J$4)</f>
        <v>315.5598074</v>
      </c>
      <c r="CJ39" s="123">
        <f>CI39*(1+Inflation!$J$4)</f>
        <v>325.6577212</v>
      </c>
      <c r="CK39" s="123">
        <f>CJ39*(1+Inflation!$J$4)</f>
        <v>336.0787683</v>
      </c>
      <c r="CL39" s="123">
        <f>CK39*(1+Inflation!$J$4)</f>
        <v>346.8332888</v>
      </c>
      <c r="CM39" s="123">
        <f>CL39*(1+Inflation!$J$4)</f>
        <v>357.9319541</v>
      </c>
      <c r="CN39" s="123">
        <f>CM39*(1+Inflation!$J$4)</f>
        <v>369.3857766</v>
      </c>
      <c r="CO39" s="123">
        <f>CN39*(1+Inflation!$J$4)</f>
        <v>381.2061215</v>
      </c>
      <c r="CP39" s="123">
        <f>CO39*(1+Inflation!$J$4)</f>
        <v>393.4047174</v>
      </c>
      <c r="CQ39" s="123">
        <f>CP39*(1+Inflation!$J$4)</f>
        <v>405.9936683</v>
      </c>
      <c r="CR39" s="123">
        <f>CQ39*(1+Inflation!$J$4)</f>
        <v>418.9854657</v>
      </c>
      <c r="CS39" s="123">
        <f>CR39*(1+Inflation!$J$4)</f>
        <v>432.3930006</v>
      </c>
      <c r="CT39" s="123">
        <f>CS39*(1+Inflation!$J$4)</f>
        <v>446.2295766</v>
      </c>
      <c r="CU39" s="123">
        <f>CT39*(1+Inflation!$J$4)</f>
        <v>460.5089231</v>
      </c>
      <c r="CV39" s="123">
        <f>CU39*(1+Inflation!$J$4)</f>
        <v>475.2452086</v>
      </c>
      <c r="CW39" s="123">
        <f>CV39*(1+Inflation!$J$4)</f>
        <v>490.4530553</v>
      </c>
      <c r="CX39" s="123">
        <f>CW39*(1+Inflation!$J$4)</f>
        <v>506.1475531</v>
      </c>
      <c r="CY39" s="61"/>
      <c r="CZ39" s="61"/>
      <c r="DA39" s="61"/>
      <c r="DB39" s="61"/>
      <c r="DC39" s="61"/>
      <c r="DD39" s="61"/>
      <c r="DE39" s="61"/>
      <c r="DF39" s="61"/>
      <c r="DG39" s="61"/>
      <c r="DH39" s="61"/>
      <c r="DI39" s="61"/>
      <c r="DJ39" s="61"/>
      <c r="DK39" s="61"/>
      <c r="DL39" s="61"/>
      <c r="DM39" s="61"/>
      <c r="DN39" s="61"/>
      <c r="DO39" s="61"/>
      <c r="DP39" s="61"/>
    </row>
    <row r="40" ht="18.75" customHeight="1">
      <c r="A40" s="119" t="s">
        <v>123</v>
      </c>
      <c r="B40" s="71">
        <v>0.0</v>
      </c>
      <c r="C40" s="71">
        <v>0.0</v>
      </c>
      <c r="D40" s="71">
        <v>0.0</v>
      </c>
      <c r="E40" s="71">
        <v>0.0</v>
      </c>
      <c r="F40" s="71">
        <v>0.0</v>
      </c>
      <c r="G40" s="71">
        <v>0.0</v>
      </c>
      <c r="H40" s="71">
        <v>0.0</v>
      </c>
      <c r="I40" s="111">
        <v>16.0</v>
      </c>
      <c r="J40" s="111">
        <v>16.0</v>
      </c>
      <c r="K40" s="111">
        <v>16.0</v>
      </c>
      <c r="L40" s="111">
        <v>16.0</v>
      </c>
      <c r="M40" s="110">
        <v>19.0</v>
      </c>
      <c r="N40" s="64">
        <f t="shared" si="139"/>
        <v>83</v>
      </c>
      <c r="O40" s="74">
        <v>195.0</v>
      </c>
      <c r="P40" s="75">
        <f t="shared" si="140"/>
        <v>-112</v>
      </c>
      <c r="Q40" s="119" t="s">
        <v>123</v>
      </c>
      <c r="R40" s="125">
        <f>AE40/12</f>
        <v>7.083333333</v>
      </c>
      <c r="S40" s="164">
        <f t="shared" ref="S40:AC40" si="147">R40</f>
        <v>7.083333333</v>
      </c>
      <c r="T40" s="164">
        <f t="shared" si="147"/>
        <v>7.083333333</v>
      </c>
      <c r="U40" s="164">
        <f t="shared" si="147"/>
        <v>7.083333333</v>
      </c>
      <c r="V40" s="164">
        <f t="shared" si="147"/>
        <v>7.083333333</v>
      </c>
      <c r="W40" s="164">
        <f t="shared" si="147"/>
        <v>7.083333333</v>
      </c>
      <c r="X40" s="164">
        <f t="shared" si="147"/>
        <v>7.083333333</v>
      </c>
      <c r="Y40" s="164">
        <f t="shared" si="147"/>
        <v>7.083333333</v>
      </c>
      <c r="Z40" s="164">
        <f t="shared" si="147"/>
        <v>7.083333333</v>
      </c>
      <c r="AA40" s="164">
        <f t="shared" si="147"/>
        <v>7.083333333</v>
      </c>
      <c r="AB40" s="164">
        <f t="shared" si="147"/>
        <v>7.083333333</v>
      </c>
      <c r="AC40" s="164">
        <f t="shared" si="147"/>
        <v>7.083333333</v>
      </c>
      <c r="AD40" s="65">
        <f t="shared" si="142"/>
        <v>85</v>
      </c>
      <c r="AE40" s="116">
        <v>85.0</v>
      </c>
      <c r="AF40" s="117">
        <f t="shared" si="143"/>
        <v>0</v>
      </c>
      <c r="AG40" s="119" t="s">
        <v>123</v>
      </c>
      <c r="AH40" s="125">
        <f>R40*(1+Inflation!$G$6)</f>
        <v>7.260416667</v>
      </c>
      <c r="AI40" s="125">
        <f>S40*(1+Inflation!$G$6)</f>
        <v>7.260416667</v>
      </c>
      <c r="AJ40" s="125">
        <f>T40*(1+Inflation!$G$6)</f>
        <v>7.260416667</v>
      </c>
      <c r="AK40" s="125">
        <f>U40*(1+Inflation!$G$6)</f>
        <v>7.260416667</v>
      </c>
      <c r="AL40" s="125">
        <f>V40*(1+Inflation!$G$6)</f>
        <v>7.260416667</v>
      </c>
      <c r="AM40" s="125">
        <f>W40*(1+Inflation!$G$6)</f>
        <v>7.260416667</v>
      </c>
      <c r="AN40" s="125">
        <f>X40*(1+Inflation!$G$6)</f>
        <v>7.260416667</v>
      </c>
      <c r="AO40" s="125">
        <f>Y40*(1+Inflation!$G$6)</f>
        <v>7.260416667</v>
      </c>
      <c r="AP40" s="125">
        <f>Z40*(1+Inflation!$G$6)</f>
        <v>7.260416667</v>
      </c>
      <c r="AQ40" s="125">
        <f>AA40*(1+Inflation!$G$6)</f>
        <v>7.260416667</v>
      </c>
      <c r="AR40" s="125">
        <f>AB40*(1+Inflation!$G$6)</f>
        <v>7.260416667</v>
      </c>
      <c r="AS40" s="125">
        <f>AC40*(1+Inflation!$G$6)</f>
        <v>7.260416667</v>
      </c>
      <c r="AT40" s="65">
        <f t="shared" si="144"/>
        <v>87.125</v>
      </c>
      <c r="AU40" s="119" t="s">
        <v>123</v>
      </c>
      <c r="AV40" s="125">
        <f>AH40*(1+Inflation!$H$6)</f>
        <v>7.441927083</v>
      </c>
      <c r="AW40" s="125">
        <f>AI40*(1+Inflation!$H$6)</f>
        <v>7.441927083</v>
      </c>
      <c r="AX40" s="125">
        <f>AJ40*(1+Inflation!$H$6)</f>
        <v>7.441927083</v>
      </c>
      <c r="AY40" s="125">
        <f>AK40*(1+Inflation!$H$6)</f>
        <v>7.441927083</v>
      </c>
      <c r="AZ40" s="125">
        <f>AL40*(1+Inflation!$H$6)</f>
        <v>7.441927083</v>
      </c>
      <c r="BA40" s="125">
        <f>AM40*(1+Inflation!$H$6)</f>
        <v>7.441927083</v>
      </c>
      <c r="BB40" s="125">
        <f>AN40*(1+Inflation!$H$6)</f>
        <v>7.441927083</v>
      </c>
      <c r="BC40" s="125">
        <f>AO40*(1+Inflation!$H$6)</f>
        <v>7.441927083</v>
      </c>
      <c r="BD40" s="125">
        <f>AP40*(1+Inflation!$H$6)</f>
        <v>7.441927083</v>
      </c>
      <c r="BE40" s="125">
        <f>AQ40*(1+Inflation!$H$6)</f>
        <v>7.441927083</v>
      </c>
      <c r="BF40" s="125">
        <f>AR40*(1+Inflation!$H$6)</f>
        <v>7.441927083</v>
      </c>
      <c r="BG40" s="125">
        <f>AS40*(1+Inflation!$H$6)</f>
        <v>7.441927083</v>
      </c>
      <c r="BH40" s="65">
        <f t="shared" si="145"/>
        <v>89.303125</v>
      </c>
      <c r="BI40" s="119" t="s">
        <v>123</v>
      </c>
      <c r="BJ40" s="125">
        <f>AV40*(1+Inflation!$I$6)</f>
        <v>7.62797526</v>
      </c>
      <c r="BK40" s="125">
        <f>AW40*(1+Inflation!$H$6)</f>
        <v>7.62797526</v>
      </c>
      <c r="BL40" s="125">
        <f>AX40*(1+Inflation!$H$6)</f>
        <v>7.62797526</v>
      </c>
      <c r="BM40" s="125">
        <f>AY40*(1+Inflation!$H$6)</f>
        <v>7.62797526</v>
      </c>
      <c r="BN40" s="125">
        <f>AZ40*(1+Inflation!$H$6)</f>
        <v>7.62797526</v>
      </c>
      <c r="BO40" s="125">
        <f>BA40*(1+Inflation!$H$6)</f>
        <v>7.62797526</v>
      </c>
      <c r="BP40" s="125">
        <f>BB40*(1+Inflation!$H$6)</f>
        <v>7.62797526</v>
      </c>
      <c r="BQ40" s="125">
        <f>BC40*(1+Inflation!$H$6)</f>
        <v>7.62797526</v>
      </c>
      <c r="BR40" s="125">
        <f>BD40*(1+Inflation!$H$6)</f>
        <v>7.62797526</v>
      </c>
      <c r="BS40" s="125">
        <f>BE40*(1+Inflation!$H$6)</f>
        <v>7.62797526</v>
      </c>
      <c r="BT40" s="125">
        <f>BF40*(1+Inflation!$H$6)</f>
        <v>7.62797526</v>
      </c>
      <c r="BU40" s="125">
        <f>BG40*(1+Inflation!$H$6)</f>
        <v>7.62797526</v>
      </c>
      <c r="BV40" s="65">
        <f t="shared" si="146"/>
        <v>91.53570313</v>
      </c>
      <c r="BW40" s="119" t="s">
        <v>123</v>
      </c>
      <c r="BX40" s="123">
        <f>BV40*(1+Inflation!$J$5)</f>
        <v>93.8240957</v>
      </c>
      <c r="BY40" s="123">
        <f>BX40*(1+Inflation!$J$4)</f>
        <v>96.82646677</v>
      </c>
      <c r="BZ40" s="123">
        <f>BY40*(1+Inflation!$J$4)</f>
        <v>99.9249137</v>
      </c>
      <c r="CA40" s="123">
        <f>BZ40*(1+Inflation!$J$4)</f>
        <v>103.1225109</v>
      </c>
      <c r="CB40" s="123">
        <f>CA40*(1+Inflation!$J$4)</f>
        <v>106.4224313</v>
      </c>
      <c r="CC40" s="123">
        <f>CB40*(1+Inflation!$J$4)</f>
        <v>109.8279491</v>
      </c>
      <c r="CD40" s="123">
        <f>CC40*(1+Inflation!$J$4)</f>
        <v>113.3424435</v>
      </c>
      <c r="CE40" s="123">
        <f>CD40*(1+Inflation!$J$4)</f>
        <v>116.9694017</v>
      </c>
      <c r="CF40" s="123">
        <f>CE40*(1+Inflation!$J$4)</f>
        <v>120.7124225</v>
      </c>
      <c r="CG40" s="123">
        <f>CF40*(1+Inflation!$J$4)</f>
        <v>124.57522</v>
      </c>
      <c r="CH40" s="123">
        <f>CG40*(1+Inflation!$J$4)</f>
        <v>128.5616271</v>
      </c>
      <c r="CI40" s="123">
        <f>CH40*(1+Inflation!$J$4)</f>
        <v>132.6755991</v>
      </c>
      <c r="CJ40" s="123">
        <f>CI40*(1+Inflation!$J$4)</f>
        <v>136.9212183</v>
      </c>
      <c r="CK40" s="123">
        <f>CJ40*(1+Inflation!$J$4)</f>
        <v>141.3026973</v>
      </c>
      <c r="CL40" s="123">
        <f>CK40*(1+Inflation!$J$4)</f>
        <v>145.8243836</v>
      </c>
      <c r="CM40" s="123">
        <f>CL40*(1+Inflation!$J$4)</f>
        <v>150.4907639</v>
      </c>
      <c r="CN40" s="123">
        <f>CM40*(1+Inflation!$J$4)</f>
        <v>155.3064683</v>
      </c>
      <c r="CO40" s="123">
        <f>CN40*(1+Inflation!$J$4)</f>
        <v>160.2762753</v>
      </c>
      <c r="CP40" s="123">
        <f>CO40*(1+Inflation!$J$4)</f>
        <v>165.4051161</v>
      </c>
      <c r="CQ40" s="123">
        <f>CP40*(1+Inflation!$J$4)</f>
        <v>170.6980798</v>
      </c>
      <c r="CR40" s="123">
        <f>CQ40*(1+Inflation!$J$4)</f>
        <v>176.1604184</v>
      </c>
      <c r="CS40" s="123">
        <f>CR40*(1+Inflation!$J$4)</f>
        <v>181.7975518</v>
      </c>
      <c r="CT40" s="123">
        <f>CS40*(1+Inflation!$J$4)</f>
        <v>187.6150734</v>
      </c>
      <c r="CU40" s="123">
        <f>CT40*(1+Inflation!$J$4)</f>
        <v>193.6187558</v>
      </c>
      <c r="CV40" s="123">
        <f>CU40*(1+Inflation!$J$4)</f>
        <v>199.814556</v>
      </c>
      <c r="CW40" s="123">
        <f>CV40*(1+Inflation!$J$4)</f>
        <v>206.2086218</v>
      </c>
      <c r="CX40" s="123">
        <f>CW40*(1+Inflation!$J$4)</f>
        <v>212.8072977</v>
      </c>
      <c r="CY40" s="61"/>
      <c r="CZ40" s="61"/>
      <c r="DA40" s="61"/>
      <c r="DB40" s="61"/>
      <c r="DC40" s="61"/>
      <c r="DD40" s="61"/>
      <c r="DE40" s="61"/>
      <c r="DF40" s="61"/>
      <c r="DG40" s="61"/>
      <c r="DH40" s="61"/>
      <c r="DI40" s="61"/>
      <c r="DJ40" s="61"/>
      <c r="DK40" s="61"/>
      <c r="DL40" s="61"/>
      <c r="DM40" s="61"/>
      <c r="DN40" s="61"/>
      <c r="DO40" s="61"/>
      <c r="DP40" s="61"/>
    </row>
    <row r="41" ht="18.75" customHeight="1">
      <c r="A41" s="104" t="s">
        <v>102</v>
      </c>
      <c r="B41" s="166">
        <f t="shared" ref="B41:M41" si="148">SUM(B38:B40)</f>
        <v>174</v>
      </c>
      <c r="C41" s="166">
        <f t="shared" si="148"/>
        <v>259</v>
      </c>
      <c r="D41" s="167">
        <f t="shared" si="148"/>
        <v>204</v>
      </c>
      <c r="E41" s="166">
        <f t="shared" si="148"/>
        <v>0</v>
      </c>
      <c r="F41" s="166">
        <f t="shared" si="148"/>
        <v>0</v>
      </c>
      <c r="G41" s="166">
        <f t="shared" si="148"/>
        <v>163</v>
      </c>
      <c r="H41" s="166">
        <f t="shared" si="148"/>
        <v>83</v>
      </c>
      <c r="I41" s="166">
        <f t="shared" si="148"/>
        <v>88</v>
      </c>
      <c r="J41" s="166">
        <f t="shared" si="148"/>
        <v>140</v>
      </c>
      <c r="K41" s="166">
        <f t="shared" si="148"/>
        <v>128</v>
      </c>
      <c r="L41" s="166">
        <f t="shared" si="148"/>
        <v>128</v>
      </c>
      <c r="M41" s="166">
        <f t="shared" si="148"/>
        <v>135</v>
      </c>
      <c r="N41" s="64">
        <f t="shared" si="139"/>
        <v>1502</v>
      </c>
      <c r="O41" s="144">
        <f>SUM(O38:O40)</f>
        <v>1543</v>
      </c>
      <c r="P41" s="75">
        <f t="shared" si="140"/>
        <v>-41</v>
      </c>
      <c r="Q41" s="104" t="s">
        <v>102</v>
      </c>
      <c r="R41" s="168">
        <f t="shared" ref="R41:AC41" si="149">SUM(R38:R40)</f>
        <v>115.9166667</v>
      </c>
      <c r="S41" s="168">
        <f t="shared" si="149"/>
        <v>193.9166667</v>
      </c>
      <c r="T41" s="168">
        <f t="shared" si="149"/>
        <v>128.3333333</v>
      </c>
      <c r="U41" s="168">
        <f t="shared" si="149"/>
        <v>128.3333333</v>
      </c>
      <c r="V41" s="168">
        <f t="shared" si="149"/>
        <v>128.3333333</v>
      </c>
      <c r="W41" s="168">
        <f t="shared" si="149"/>
        <v>128.3333333</v>
      </c>
      <c r="X41" s="168">
        <f t="shared" si="149"/>
        <v>128.3333333</v>
      </c>
      <c r="Y41" s="168">
        <f t="shared" si="149"/>
        <v>128.3333333</v>
      </c>
      <c r="Z41" s="168">
        <f t="shared" si="149"/>
        <v>128.3333333</v>
      </c>
      <c r="AA41" s="168">
        <f t="shared" si="149"/>
        <v>128.3333333</v>
      </c>
      <c r="AB41" s="168">
        <f t="shared" si="149"/>
        <v>128.3333333</v>
      </c>
      <c r="AC41" s="168">
        <f t="shared" si="149"/>
        <v>128.3333333</v>
      </c>
      <c r="AD41" s="65">
        <f t="shared" si="142"/>
        <v>1593.166667</v>
      </c>
      <c r="AE41" s="145">
        <f>SUM(AE38:AE40)</f>
        <v>1540</v>
      </c>
      <c r="AF41" s="146">
        <f t="shared" si="143"/>
        <v>53.16666667</v>
      </c>
      <c r="AG41" s="104" t="s">
        <v>102</v>
      </c>
      <c r="AH41" s="168">
        <f t="shared" ref="AH41:AS41" si="150">SUM(AH38:AH40)</f>
        <v>118.8145833</v>
      </c>
      <c r="AI41" s="168">
        <f t="shared" si="150"/>
        <v>198.7645833</v>
      </c>
      <c r="AJ41" s="168">
        <f t="shared" si="150"/>
        <v>131.5416667</v>
      </c>
      <c r="AK41" s="168">
        <f t="shared" si="150"/>
        <v>131.5416667</v>
      </c>
      <c r="AL41" s="168">
        <f t="shared" si="150"/>
        <v>131.5416667</v>
      </c>
      <c r="AM41" s="168">
        <f t="shared" si="150"/>
        <v>131.5416667</v>
      </c>
      <c r="AN41" s="168">
        <f t="shared" si="150"/>
        <v>131.5416667</v>
      </c>
      <c r="AO41" s="168">
        <f t="shared" si="150"/>
        <v>131.5416667</v>
      </c>
      <c r="AP41" s="168">
        <f t="shared" si="150"/>
        <v>131.5416667</v>
      </c>
      <c r="AQ41" s="168">
        <f t="shared" si="150"/>
        <v>131.5416667</v>
      </c>
      <c r="AR41" s="168">
        <f t="shared" si="150"/>
        <v>131.5416667</v>
      </c>
      <c r="AS41" s="168">
        <f t="shared" si="150"/>
        <v>131.5416667</v>
      </c>
      <c r="AT41" s="65">
        <f t="shared" si="144"/>
        <v>1632.995833</v>
      </c>
      <c r="AU41" s="104" t="s">
        <v>102</v>
      </c>
      <c r="AV41" s="168">
        <f t="shared" ref="AV41:BG41" si="151">SUM(AV38:AV40)</f>
        <v>121.7849479</v>
      </c>
      <c r="AW41" s="168">
        <f t="shared" si="151"/>
        <v>203.7336979</v>
      </c>
      <c r="AX41" s="168">
        <f t="shared" si="151"/>
        <v>134.8302083</v>
      </c>
      <c r="AY41" s="168">
        <f t="shared" si="151"/>
        <v>134.8302083</v>
      </c>
      <c r="AZ41" s="168">
        <f t="shared" si="151"/>
        <v>134.8302083</v>
      </c>
      <c r="BA41" s="168">
        <f t="shared" si="151"/>
        <v>134.8302083</v>
      </c>
      <c r="BB41" s="168">
        <f t="shared" si="151"/>
        <v>134.8302083</v>
      </c>
      <c r="BC41" s="168">
        <f t="shared" si="151"/>
        <v>134.8302083</v>
      </c>
      <c r="BD41" s="168">
        <f t="shared" si="151"/>
        <v>134.8302083</v>
      </c>
      <c r="BE41" s="168">
        <f t="shared" si="151"/>
        <v>134.8302083</v>
      </c>
      <c r="BF41" s="168">
        <f t="shared" si="151"/>
        <v>134.8302083</v>
      </c>
      <c r="BG41" s="168">
        <f t="shared" si="151"/>
        <v>134.8302083</v>
      </c>
      <c r="BH41" s="65">
        <f t="shared" si="145"/>
        <v>1673.820729</v>
      </c>
      <c r="BI41" s="104" t="s">
        <v>102</v>
      </c>
      <c r="BJ41" s="168">
        <f t="shared" ref="BJ41:BU41" si="152">SUM(BJ38:BJ40)</f>
        <v>124.8295716</v>
      </c>
      <c r="BK41" s="168">
        <f t="shared" si="152"/>
        <v>208.8270404</v>
      </c>
      <c r="BL41" s="168">
        <f t="shared" si="152"/>
        <v>138.2009635</v>
      </c>
      <c r="BM41" s="168">
        <f t="shared" si="152"/>
        <v>138.2009635</v>
      </c>
      <c r="BN41" s="168">
        <f t="shared" si="152"/>
        <v>138.2009635</v>
      </c>
      <c r="BO41" s="168">
        <f t="shared" si="152"/>
        <v>138.2009635</v>
      </c>
      <c r="BP41" s="168">
        <f t="shared" si="152"/>
        <v>138.2009635</v>
      </c>
      <c r="BQ41" s="168">
        <f t="shared" si="152"/>
        <v>138.2009635</v>
      </c>
      <c r="BR41" s="168">
        <f t="shared" si="152"/>
        <v>138.2009635</v>
      </c>
      <c r="BS41" s="168">
        <f t="shared" si="152"/>
        <v>138.2009635</v>
      </c>
      <c r="BT41" s="168">
        <f t="shared" si="152"/>
        <v>138.2009635</v>
      </c>
      <c r="BU41" s="168">
        <f t="shared" si="152"/>
        <v>138.2009635</v>
      </c>
      <c r="BV41" s="65">
        <f t="shared" si="146"/>
        <v>1715.666247</v>
      </c>
      <c r="BW41" s="104" t="s">
        <v>102</v>
      </c>
      <c r="BX41" s="115">
        <f t="shared" ref="BX41:CX41" si="153">SUM(BX38:BX40)</f>
        <v>1758.557904</v>
      </c>
      <c r="BY41" s="65">
        <f t="shared" si="153"/>
        <v>1814.831756</v>
      </c>
      <c r="BZ41" s="65">
        <f t="shared" si="153"/>
        <v>1872.906373</v>
      </c>
      <c r="CA41" s="65">
        <f t="shared" si="153"/>
        <v>1932.839377</v>
      </c>
      <c r="CB41" s="65">
        <f t="shared" si="153"/>
        <v>1994.690237</v>
      </c>
      <c r="CC41" s="65">
        <f t="shared" si="153"/>
        <v>2058.520324</v>
      </c>
      <c r="CD41" s="65">
        <f t="shared" si="153"/>
        <v>2124.392975</v>
      </c>
      <c r="CE41" s="65">
        <f t="shared" si="153"/>
        <v>2192.37355</v>
      </c>
      <c r="CF41" s="65">
        <f t="shared" si="153"/>
        <v>2262.529503</v>
      </c>
      <c r="CG41" s="65">
        <f t="shared" si="153"/>
        <v>2334.930448</v>
      </c>
      <c r="CH41" s="65">
        <f t="shared" si="153"/>
        <v>2409.648222</v>
      </c>
      <c r="CI41" s="65">
        <f t="shared" si="153"/>
        <v>2486.756965</v>
      </c>
      <c r="CJ41" s="65">
        <f t="shared" si="153"/>
        <v>2566.333188</v>
      </c>
      <c r="CK41" s="65">
        <f t="shared" si="153"/>
        <v>2648.45585</v>
      </c>
      <c r="CL41" s="65">
        <f t="shared" si="153"/>
        <v>2733.206437</v>
      </c>
      <c r="CM41" s="65">
        <f t="shared" si="153"/>
        <v>2820.669043</v>
      </c>
      <c r="CN41" s="65">
        <f t="shared" si="153"/>
        <v>2910.930452</v>
      </c>
      <c r="CO41" s="65">
        <f t="shared" si="153"/>
        <v>3004.080227</v>
      </c>
      <c r="CP41" s="65">
        <f t="shared" si="153"/>
        <v>3100.210794</v>
      </c>
      <c r="CQ41" s="65">
        <f t="shared" si="153"/>
        <v>3199.41754</v>
      </c>
      <c r="CR41" s="65">
        <f t="shared" si="153"/>
        <v>3301.798901</v>
      </c>
      <c r="CS41" s="65">
        <f t="shared" si="153"/>
        <v>3407.456466</v>
      </c>
      <c r="CT41" s="65">
        <f t="shared" si="153"/>
        <v>3516.495073</v>
      </c>
      <c r="CU41" s="65">
        <f t="shared" si="153"/>
        <v>3629.022915</v>
      </c>
      <c r="CV41" s="65">
        <f t="shared" si="153"/>
        <v>3745.151648</v>
      </c>
      <c r="CW41" s="65">
        <f t="shared" si="153"/>
        <v>3864.996501</v>
      </c>
      <c r="CX41" s="65">
        <f t="shared" si="153"/>
        <v>3988.676389</v>
      </c>
      <c r="CY41" s="61"/>
      <c r="CZ41" s="61"/>
      <c r="DA41" s="61"/>
      <c r="DB41" s="61"/>
      <c r="DC41" s="61"/>
      <c r="DD41" s="61"/>
      <c r="DE41" s="61"/>
      <c r="DF41" s="61"/>
      <c r="DG41" s="61"/>
      <c r="DH41" s="61"/>
      <c r="DI41" s="61"/>
      <c r="DJ41" s="61"/>
      <c r="DK41" s="61"/>
      <c r="DL41" s="61"/>
      <c r="DM41" s="61"/>
      <c r="DN41" s="61"/>
      <c r="DO41" s="61"/>
      <c r="DP41" s="61"/>
    </row>
    <row r="42" ht="18.75" customHeight="1">
      <c r="A42" s="104" t="s">
        <v>124</v>
      </c>
      <c r="B42" s="159"/>
      <c r="C42" s="138"/>
      <c r="D42" s="139"/>
      <c r="E42" s="138"/>
      <c r="F42" s="138"/>
      <c r="G42" s="138"/>
      <c r="H42" s="138"/>
      <c r="I42" s="138"/>
      <c r="J42" s="138"/>
      <c r="K42" s="138"/>
      <c r="L42" s="138"/>
      <c r="M42" s="138"/>
      <c r="N42" s="138"/>
      <c r="O42" s="74"/>
      <c r="P42" s="108"/>
      <c r="Q42" s="104" t="s">
        <v>124</v>
      </c>
      <c r="R42" s="123"/>
      <c r="S42" s="140"/>
      <c r="T42" s="140"/>
      <c r="U42" s="140"/>
      <c r="V42" s="140"/>
      <c r="W42" s="140"/>
      <c r="X42" s="140"/>
      <c r="Y42" s="140"/>
      <c r="Z42" s="140"/>
      <c r="AA42" s="140"/>
      <c r="AB42" s="140"/>
      <c r="AC42" s="140"/>
      <c r="AD42" s="140"/>
      <c r="AE42" s="137"/>
      <c r="AF42" s="104"/>
      <c r="AG42" s="104" t="s">
        <v>124</v>
      </c>
      <c r="AH42" s="123"/>
      <c r="AI42" s="140"/>
      <c r="AJ42" s="140"/>
      <c r="AK42" s="140"/>
      <c r="AL42" s="140"/>
      <c r="AM42" s="140"/>
      <c r="AN42" s="140"/>
      <c r="AO42" s="140"/>
      <c r="AP42" s="140"/>
      <c r="AQ42" s="140"/>
      <c r="AR42" s="140"/>
      <c r="AS42" s="140"/>
      <c r="AT42" s="140"/>
      <c r="AU42" s="104" t="s">
        <v>124</v>
      </c>
      <c r="AV42" s="123"/>
      <c r="AW42" s="140"/>
      <c r="AX42" s="140"/>
      <c r="AY42" s="140"/>
      <c r="AZ42" s="140"/>
      <c r="BA42" s="140"/>
      <c r="BB42" s="140"/>
      <c r="BC42" s="140"/>
      <c r="BD42" s="140"/>
      <c r="BE42" s="140"/>
      <c r="BF42" s="140"/>
      <c r="BG42" s="140"/>
      <c r="BH42" s="140"/>
      <c r="BI42" s="104" t="s">
        <v>124</v>
      </c>
      <c r="BJ42" s="123"/>
      <c r="BK42" s="140"/>
      <c r="BL42" s="140"/>
      <c r="BM42" s="140"/>
      <c r="BN42" s="140"/>
      <c r="BO42" s="140"/>
      <c r="BP42" s="140"/>
      <c r="BQ42" s="140"/>
      <c r="BR42" s="140"/>
      <c r="BS42" s="140"/>
      <c r="BT42" s="140"/>
      <c r="BU42" s="140"/>
      <c r="BV42" s="140"/>
      <c r="BW42" s="104" t="s">
        <v>124</v>
      </c>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c r="CY42" s="113"/>
      <c r="CZ42" s="113"/>
      <c r="DA42" s="113"/>
      <c r="DB42" s="113"/>
      <c r="DC42" s="113"/>
      <c r="DD42" s="113"/>
      <c r="DE42" s="113"/>
      <c r="DF42" s="113"/>
      <c r="DG42" s="113"/>
      <c r="DH42" s="113"/>
      <c r="DI42" s="113"/>
      <c r="DJ42" s="113"/>
      <c r="DK42" s="113"/>
      <c r="DL42" s="113"/>
      <c r="DM42" s="113"/>
      <c r="DN42" s="113"/>
      <c r="DO42" s="113"/>
      <c r="DP42" s="113"/>
    </row>
    <row r="43" ht="18.75" customHeight="1">
      <c r="A43" s="119" t="s">
        <v>125</v>
      </c>
      <c r="B43" s="63">
        <v>12012.0</v>
      </c>
      <c r="C43" s="63">
        <v>10719.0</v>
      </c>
      <c r="D43" s="63">
        <v>10712.0</v>
      </c>
      <c r="E43" s="63">
        <v>11037.0</v>
      </c>
      <c r="F43" s="63">
        <v>11572.0</v>
      </c>
      <c r="G43" s="63">
        <v>11331.0</v>
      </c>
      <c r="H43" s="63">
        <v>12375.0</v>
      </c>
      <c r="I43" s="162">
        <v>12783.0</v>
      </c>
      <c r="J43" s="71">
        <v>12983.0</v>
      </c>
      <c r="K43" s="62">
        <v>13337.0</v>
      </c>
      <c r="L43" s="62">
        <v>13891.0</v>
      </c>
      <c r="M43" s="62">
        <v>12119.0</v>
      </c>
      <c r="N43" s="64">
        <f t="shared" ref="N43:N46" si="158">SUM(B43:M43)</f>
        <v>144871</v>
      </c>
      <c r="O43" s="74">
        <v>153395.0</v>
      </c>
      <c r="P43" s="75">
        <f t="shared" ref="P43:P46" si="159">N43-O43</f>
        <v>-8524</v>
      </c>
      <c r="Q43" s="119" t="s">
        <v>125</v>
      </c>
      <c r="R43" s="68">
        <v>12159.0</v>
      </c>
      <c r="S43" s="68">
        <v>11243.0</v>
      </c>
      <c r="T43" s="173">
        <f t="shared" ref="T43:T44" si="160">AE43/12</f>
        <v>12500</v>
      </c>
      <c r="U43" s="173">
        <f t="shared" ref="U43:AC43" si="154">T43</f>
        <v>12500</v>
      </c>
      <c r="V43" s="173">
        <f t="shared" si="154"/>
        <v>12500</v>
      </c>
      <c r="W43" s="173">
        <f t="shared" si="154"/>
        <v>12500</v>
      </c>
      <c r="X43" s="173">
        <f t="shared" si="154"/>
        <v>12500</v>
      </c>
      <c r="Y43" s="173">
        <f t="shared" si="154"/>
        <v>12500</v>
      </c>
      <c r="Z43" s="173">
        <f t="shared" si="154"/>
        <v>12500</v>
      </c>
      <c r="AA43" s="173">
        <f t="shared" si="154"/>
        <v>12500</v>
      </c>
      <c r="AB43" s="173">
        <f t="shared" si="154"/>
        <v>12500</v>
      </c>
      <c r="AC43" s="173">
        <f t="shared" si="154"/>
        <v>12500</v>
      </c>
      <c r="AD43" s="65">
        <f t="shared" ref="AD43:AD46" si="162">SUM(R43:AC43)</f>
        <v>148402</v>
      </c>
      <c r="AE43" s="116">
        <v>150000.0</v>
      </c>
      <c r="AF43" s="117">
        <f t="shared" ref="AF43:AF47" si="163">AD43-AE43</f>
        <v>-1598</v>
      </c>
      <c r="AG43" s="119" t="s">
        <v>125</v>
      </c>
      <c r="AH43" s="125">
        <f>AC43*(1+(Inflation!$G$3))</f>
        <v>13125</v>
      </c>
      <c r="AI43" s="164">
        <f t="shared" ref="AI43:AS43" si="155">AH43</f>
        <v>13125</v>
      </c>
      <c r="AJ43" s="164">
        <f t="shared" si="155"/>
        <v>13125</v>
      </c>
      <c r="AK43" s="164">
        <f t="shared" si="155"/>
        <v>13125</v>
      </c>
      <c r="AL43" s="164">
        <f t="shared" si="155"/>
        <v>13125</v>
      </c>
      <c r="AM43" s="164">
        <f t="shared" si="155"/>
        <v>13125</v>
      </c>
      <c r="AN43" s="164">
        <f t="shared" si="155"/>
        <v>13125</v>
      </c>
      <c r="AO43" s="164">
        <f t="shared" si="155"/>
        <v>13125</v>
      </c>
      <c r="AP43" s="164">
        <f t="shared" si="155"/>
        <v>13125</v>
      </c>
      <c r="AQ43" s="164">
        <f t="shared" si="155"/>
        <v>13125</v>
      </c>
      <c r="AR43" s="164">
        <f t="shared" si="155"/>
        <v>13125</v>
      </c>
      <c r="AS43" s="164">
        <f t="shared" si="155"/>
        <v>13125</v>
      </c>
      <c r="AT43" s="65">
        <f t="shared" ref="AT43:AT46" si="165">SUM(AH43:AS43)</f>
        <v>157500</v>
      </c>
      <c r="AU43" s="119" t="s">
        <v>125</v>
      </c>
      <c r="AV43" s="125">
        <f>AS43*(1+(Inflation!$H$3))</f>
        <v>13781.25</v>
      </c>
      <c r="AW43" s="164">
        <f t="shared" ref="AW43:BG43" si="156">AV43</f>
        <v>13781.25</v>
      </c>
      <c r="AX43" s="164">
        <f t="shared" si="156"/>
        <v>13781.25</v>
      </c>
      <c r="AY43" s="164">
        <f t="shared" si="156"/>
        <v>13781.25</v>
      </c>
      <c r="AZ43" s="164">
        <f t="shared" si="156"/>
        <v>13781.25</v>
      </c>
      <c r="BA43" s="164">
        <f t="shared" si="156"/>
        <v>13781.25</v>
      </c>
      <c r="BB43" s="164">
        <f t="shared" si="156"/>
        <v>13781.25</v>
      </c>
      <c r="BC43" s="164">
        <f t="shared" si="156"/>
        <v>13781.25</v>
      </c>
      <c r="BD43" s="164">
        <f t="shared" si="156"/>
        <v>13781.25</v>
      </c>
      <c r="BE43" s="164">
        <f t="shared" si="156"/>
        <v>13781.25</v>
      </c>
      <c r="BF43" s="164">
        <f t="shared" si="156"/>
        <v>13781.25</v>
      </c>
      <c r="BG43" s="164">
        <f t="shared" si="156"/>
        <v>13781.25</v>
      </c>
      <c r="BH43" s="65">
        <f t="shared" ref="BH43:BH46" si="167">SUM(AV43:BG43)</f>
        <v>165375</v>
      </c>
      <c r="BI43" s="119" t="s">
        <v>125</v>
      </c>
      <c r="BJ43" s="125">
        <f>BG43*(1+(Inflation!$I$3))</f>
        <v>14470.3125</v>
      </c>
      <c r="BK43" s="164">
        <f t="shared" ref="BK43:BU43" si="157">BJ43</f>
        <v>14470.3125</v>
      </c>
      <c r="BL43" s="164">
        <f t="shared" si="157"/>
        <v>14470.3125</v>
      </c>
      <c r="BM43" s="164">
        <f t="shared" si="157"/>
        <v>14470.3125</v>
      </c>
      <c r="BN43" s="164">
        <f t="shared" si="157"/>
        <v>14470.3125</v>
      </c>
      <c r="BO43" s="164">
        <f t="shared" si="157"/>
        <v>14470.3125</v>
      </c>
      <c r="BP43" s="164">
        <f t="shared" si="157"/>
        <v>14470.3125</v>
      </c>
      <c r="BQ43" s="164">
        <f t="shared" si="157"/>
        <v>14470.3125</v>
      </c>
      <c r="BR43" s="164">
        <f t="shared" si="157"/>
        <v>14470.3125</v>
      </c>
      <c r="BS43" s="164">
        <f t="shared" si="157"/>
        <v>14470.3125</v>
      </c>
      <c r="BT43" s="164">
        <f t="shared" si="157"/>
        <v>14470.3125</v>
      </c>
      <c r="BU43" s="164">
        <f t="shared" si="157"/>
        <v>14470.3125</v>
      </c>
      <c r="BV43" s="65">
        <f t="shared" ref="BV43:BV46" si="169">SUM(BJ43:BU43)</f>
        <v>173643.75</v>
      </c>
      <c r="BW43" s="119" t="s">
        <v>125</v>
      </c>
      <c r="BX43" s="123">
        <f>BV43*(1+Inflation!$J$3)</f>
        <v>182325.9375</v>
      </c>
      <c r="BY43" s="123">
        <f>BX43*(1+Inflation!$J$4)</f>
        <v>188160.3675</v>
      </c>
      <c r="BZ43" s="123">
        <f>BY43*(1+Inflation!$J$4)</f>
        <v>194181.4993</v>
      </c>
      <c r="CA43" s="123">
        <f>BZ43*(1+Inflation!$J$4)</f>
        <v>200395.3072</v>
      </c>
      <c r="CB43" s="123">
        <f>CA43*(1+Inflation!$J$4)</f>
        <v>206807.9571</v>
      </c>
      <c r="CC43" s="123">
        <f>CB43*(1+Inflation!$J$4)</f>
        <v>213425.8117</v>
      </c>
      <c r="CD43" s="123">
        <f>CC43*(1+Inflation!$J$4)</f>
        <v>220255.4377</v>
      </c>
      <c r="CE43" s="123">
        <f>CD43*(1+Inflation!$J$4)</f>
        <v>227303.6117</v>
      </c>
      <c r="CF43" s="123">
        <f>CE43*(1+Inflation!$J$4)</f>
        <v>234577.3272</v>
      </c>
      <c r="CG43" s="123">
        <f>CF43*(1+Inflation!$J$4)</f>
        <v>242083.8017</v>
      </c>
      <c r="CH43" s="123">
        <f>CG43*(1+Inflation!$J$4)</f>
        <v>249830.4834</v>
      </c>
      <c r="CI43" s="123">
        <f>CH43*(1+Inflation!$J$4)</f>
        <v>257825.0588</v>
      </c>
      <c r="CJ43" s="123">
        <f>CI43*(1+Inflation!$J$4)</f>
        <v>266075.4607</v>
      </c>
      <c r="CK43" s="123">
        <f>CJ43*(1+Inflation!$J$4)</f>
        <v>274589.8755</v>
      </c>
      <c r="CL43" s="123">
        <f>CK43*(1+Inflation!$J$4)</f>
        <v>283376.7515</v>
      </c>
      <c r="CM43" s="123">
        <f>CL43*(1+Inflation!$J$4)</f>
        <v>292444.8075</v>
      </c>
      <c r="CN43" s="123">
        <f>CM43*(1+Inflation!$J$4)</f>
        <v>301803.0414</v>
      </c>
      <c r="CO43" s="123">
        <f>CN43*(1+Inflation!$J$4)</f>
        <v>311460.7387</v>
      </c>
      <c r="CP43" s="123">
        <f>CO43*(1+Inflation!$J$4)</f>
        <v>321427.4823</v>
      </c>
      <c r="CQ43" s="123">
        <f>CP43*(1+Inflation!$J$4)</f>
        <v>331713.1618</v>
      </c>
      <c r="CR43" s="123">
        <f>CQ43*(1+Inflation!$J$4)</f>
        <v>342327.9829</v>
      </c>
      <c r="CS43" s="123">
        <f>CR43*(1+Inflation!$J$4)</f>
        <v>353282.4784</v>
      </c>
      <c r="CT43" s="123">
        <f>CS43*(1+Inflation!$J$4)</f>
        <v>364587.5177</v>
      </c>
      <c r="CU43" s="123">
        <f>CT43*(1+Inflation!$J$4)</f>
        <v>376254.3183</v>
      </c>
      <c r="CV43" s="123">
        <f>CU43*(1+Inflation!$J$4)</f>
        <v>388294.4565</v>
      </c>
      <c r="CW43" s="123">
        <f>CV43*(1+Inflation!$J$4)</f>
        <v>400719.8791</v>
      </c>
      <c r="CX43" s="123">
        <f>CW43*(1+Inflation!$J$4)</f>
        <v>413542.9152</v>
      </c>
      <c r="CY43" s="61"/>
      <c r="CZ43" s="61"/>
      <c r="DA43" s="61"/>
      <c r="DB43" s="61"/>
      <c r="DC43" s="61"/>
      <c r="DD43" s="61"/>
      <c r="DE43" s="61"/>
      <c r="DF43" s="61"/>
      <c r="DG43" s="61"/>
      <c r="DH43" s="61"/>
      <c r="DI43" s="61"/>
      <c r="DJ43" s="61"/>
      <c r="DK43" s="61"/>
      <c r="DL43" s="61"/>
      <c r="DM43" s="61"/>
      <c r="DN43" s="61"/>
      <c r="DO43" s="61"/>
      <c r="DP43" s="61"/>
    </row>
    <row r="44" ht="18.75" customHeight="1">
      <c r="A44" s="119" t="s">
        <v>126</v>
      </c>
      <c r="B44" s="63">
        <v>292.0</v>
      </c>
      <c r="C44" s="63">
        <v>326.0</v>
      </c>
      <c r="D44" s="63">
        <v>324.0</v>
      </c>
      <c r="E44" s="63">
        <v>321.0</v>
      </c>
      <c r="F44" s="63">
        <v>492.0</v>
      </c>
      <c r="G44" s="63">
        <v>321.0</v>
      </c>
      <c r="H44" s="63">
        <v>321.0</v>
      </c>
      <c r="I44" s="162">
        <v>375.0</v>
      </c>
      <c r="J44" s="71">
        <v>322.0</v>
      </c>
      <c r="K44" s="162">
        <v>375.0</v>
      </c>
      <c r="L44" s="162">
        <v>375.0</v>
      </c>
      <c r="M44" s="162">
        <v>375.0</v>
      </c>
      <c r="N44" s="64">
        <f t="shared" si="158"/>
        <v>4219</v>
      </c>
      <c r="O44" s="74">
        <v>4500.0</v>
      </c>
      <c r="P44" s="75">
        <f t="shared" si="159"/>
        <v>-281</v>
      </c>
      <c r="Q44" s="119" t="s">
        <v>126</v>
      </c>
      <c r="R44" s="68">
        <v>354.0</v>
      </c>
      <c r="S44" s="68">
        <v>370.0</v>
      </c>
      <c r="T44" s="173">
        <f t="shared" si="160"/>
        <v>384.4166667</v>
      </c>
      <c r="U44" s="164">
        <f t="shared" ref="U44:AC44" si="161">T44</f>
        <v>384.4166667</v>
      </c>
      <c r="V44" s="164">
        <f t="shared" si="161"/>
        <v>384.4166667</v>
      </c>
      <c r="W44" s="164">
        <f t="shared" si="161"/>
        <v>384.4166667</v>
      </c>
      <c r="X44" s="164">
        <f t="shared" si="161"/>
        <v>384.4166667</v>
      </c>
      <c r="Y44" s="164">
        <f t="shared" si="161"/>
        <v>384.4166667</v>
      </c>
      <c r="Z44" s="164">
        <f t="shared" si="161"/>
        <v>384.4166667</v>
      </c>
      <c r="AA44" s="164">
        <f t="shared" si="161"/>
        <v>384.4166667</v>
      </c>
      <c r="AB44" s="164">
        <f t="shared" si="161"/>
        <v>384.4166667</v>
      </c>
      <c r="AC44" s="164">
        <f t="shared" si="161"/>
        <v>384.4166667</v>
      </c>
      <c r="AD44" s="65">
        <f t="shared" si="162"/>
        <v>4568.166667</v>
      </c>
      <c r="AE44" s="116">
        <v>4613.0</v>
      </c>
      <c r="AF44" s="117">
        <f t="shared" si="163"/>
        <v>-44.83333333</v>
      </c>
      <c r="AG44" s="119" t="s">
        <v>126</v>
      </c>
      <c r="AH44" s="125">
        <f>AC44*(1+(Inflation!$G$6))</f>
        <v>394.0270833</v>
      </c>
      <c r="AI44" s="164">
        <f t="shared" ref="AI44:AS44" si="164">AH44</f>
        <v>394.0270833</v>
      </c>
      <c r="AJ44" s="164">
        <f t="shared" si="164"/>
        <v>394.0270833</v>
      </c>
      <c r="AK44" s="164">
        <f t="shared" si="164"/>
        <v>394.0270833</v>
      </c>
      <c r="AL44" s="164">
        <f t="shared" si="164"/>
        <v>394.0270833</v>
      </c>
      <c r="AM44" s="164">
        <f t="shared" si="164"/>
        <v>394.0270833</v>
      </c>
      <c r="AN44" s="164">
        <f t="shared" si="164"/>
        <v>394.0270833</v>
      </c>
      <c r="AO44" s="164">
        <f t="shared" si="164"/>
        <v>394.0270833</v>
      </c>
      <c r="AP44" s="164">
        <f t="shared" si="164"/>
        <v>394.0270833</v>
      </c>
      <c r="AQ44" s="164">
        <f t="shared" si="164"/>
        <v>394.0270833</v>
      </c>
      <c r="AR44" s="164">
        <f t="shared" si="164"/>
        <v>394.0270833</v>
      </c>
      <c r="AS44" s="164">
        <f t="shared" si="164"/>
        <v>394.0270833</v>
      </c>
      <c r="AT44" s="65">
        <f t="shared" si="165"/>
        <v>4728.325</v>
      </c>
      <c r="AU44" s="119" t="s">
        <v>126</v>
      </c>
      <c r="AV44" s="125">
        <f>AS44*(1+(Inflation!$H$6))</f>
        <v>403.8777604</v>
      </c>
      <c r="AW44" s="164">
        <f t="shared" ref="AW44:BG44" si="166">AV44</f>
        <v>403.8777604</v>
      </c>
      <c r="AX44" s="164">
        <f t="shared" si="166"/>
        <v>403.8777604</v>
      </c>
      <c r="AY44" s="164">
        <f t="shared" si="166"/>
        <v>403.8777604</v>
      </c>
      <c r="AZ44" s="164">
        <f t="shared" si="166"/>
        <v>403.8777604</v>
      </c>
      <c r="BA44" s="164">
        <f t="shared" si="166"/>
        <v>403.8777604</v>
      </c>
      <c r="BB44" s="164">
        <f t="shared" si="166"/>
        <v>403.8777604</v>
      </c>
      <c r="BC44" s="164">
        <f t="shared" si="166"/>
        <v>403.8777604</v>
      </c>
      <c r="BD44" s="164">
        <f t="shared" si="166"/>
        <v>403.8777604</v>
      </c>
      <c r="BE44" s="164">
        <f t="shared" si="166"/>
        <v>403.8777604</v>
      </c>
      <c r="BF44" s="164">
        <f t="shared" si="166"/>
        <v>403.8777604</v>
      </c>
      <c r="BG44" s="164">
        <f t="shared" si="166"/>
        <v>403.8777604</v>
      </c>
      <c r="BH44" s="65">
        <f t="shared" si="167"/>
        <v>4846.533125</v>
      </c>
      <c r="BI44" s="119" t="s">
        <v>126</v>
      </c>
      <c r="BJ44" s="125">
        <f>BG44*(1+(Inflation!$I$6))</f>
        <v>413.9747044</v>
      </c>
      <c r="BK44" s="164">
        <f t="shared" ref="BK44:BU44" si="168">BJ44</f>
        <v>413.9747044</v>
      </c>
      <c r="BL44" s="164">
        <f t="shared" si="168"/>
        <v>413.9747044</v>
      </c>
      <c r="BM44" s="164">
        <f t="shared" si="168"/>
        <v>413.9747044</v>
      </c>
      <c r="BN44" s="164">
        <f t="shared" si="168"/>
        <v>413.9747044</v>
      </c>
      <c r="BO44" s="164">
        <f t="shared" si="168"/>
        <v>413.9747044</v>
      </c>
      <c r="BP44" s="164">
        <f t="shared" si="168"/>
        <v>413.9747044</v>
      </c>
      <c r="BQ44" s="164">
        <f t="shared" si="168"/>
        <v>413.9747044</v>
      </c>
      <c r="BR44" s="164">
        <f t="shared" si="168"/>
        <v>413.9747044</v>
      </c>
      <c r="BS44" s="164">
        <f t="shared" si="168"/>
        <v>413.9747044</v>
      </c>
      <c r="BT44" s="164">
        <f t="shared" si="168"/>
        <v>413.9747044</v>
      </c>
      <c r="BU44" s="164">
        <f t="shared" si="168"/>
        <v>413.9747044</v>
      </c>
      <c r="BV44" s="65">
        <f t="shared" si="169"/>
        <v>4967.696453</v>
      </c>
      <c r="BW44" s="119" t="s">
        <v>126</v>
      </c>
      <c r="BX44" s="123">
        <f>BV44*(1+Inflation!$J$5)</f>
        <v>5091.888864</v>
      </c>
      <c r="BY44" s="123">
        <f>BX44*(1+Inflation!$J$4)</f>
        <v>5254.829308</v>
      </c>
      <c r="BZ44" s="123">
        <f>BY44*(1+Inflation!$J$4)</f>
        <v>5422.983846</v>
      </c>
      <c r="CA44" s="123">
        <f>BZ44*(1+Inflation!$J$4)</f>
        <v>5596.519329</v>
      </c>
      <c r="CB44" s="123">
        <f>CA44*(1+Inflation!$J$4)</f>
        <v>5775.607948</v>
      </c>
      <c r="CC44" s="123">
        <f>CB44*(1+Inflation!$J$4)</f>
        <v>5960.427402</v>
      </c>
      <c r="CD44" s="123">
        <f>CC44*(1+Inflation!$J$4)</f>
        <v>6151.161079</v>
      </c>
      <c r="CE44" s="123">
        <f>CD44*(1+Inflation!$J$4)</f>
        <v>6347.998233</v>
      </c>
      <c r="CF44" s="123">
        <f>CE44*(1+Inflation!$J$4)</f>
        <v>6551.134177</v>
      </c>
      <c r="CG44" s="123">
        <f>CF44*(1+Inflation!$J$4)</f>
        <v>6760.77047</v>
      </c>
      <c r="CH44" s="123">
        <f>CG44*(1+Inflation!$J$4)</f>
        <v>6977.115125</v>
      </c>
      <c r="CI44" s="123">
        <f>CH44*(1+Inflation!$J$4)</f>
        <v>7200.382809</v>
      </c>
      <c r="CJ44" s="123">
        <f>CI44*(1+Inflation!$J$4)</f>
        <v>7430.795059</v>
      </c>
      <c r="CK44" s="123">
        <f>CJ44*(1+Inflation!$J$4)</f>
        <v>7668.580501</v>
      </c>
      <c r="CL44" s="123">
        <f>CK44*(1+Inflation!$J$4)</f>
        <v>7913.975077</v>
      </c>
      <c r="CM44" s="123">
        <f>CL44*(1+Inflation!$J$4)</f>
        <v>8167.22228</v>
      </c>
      <c r="CN44" s="123">
        <f>CM44*(1+Inflation!$J$4)</f>
        <v>8428.573393</v>
      </c>
      <c r="CO44" s="123">
        <f>CN44*(1+Inflation!$J$4)</f>
        <v>8698.287741</v>
      </c>
      <c r="CP44" s="123">
        <f>CO44*(1+Inflation!$J$4)</f>
        <v>8976.632949</v>
      </c>
      <c r="CQ44" s="123">
        <f>CP44*(1+Inflation!$J$4)</f>
        <v>9263.885203</v>
      </c>
      <c r="CR44" s="123">
        <f>CQ44*(1+Inflation!$J$4)</f>
        <v>9560.32953</v>
      </c>
      <c r="CS44" s="123">
        <f>CR44*(1+Inflation!$J$4)</f>
        <v>9866.260075</v>
      </c>
      <c r="CT44" s="123">
        <f>CS44*(1+Inflation!$J$4)</f>
        <v>10181.9804</v>
      </c>
      <c r="CU44" s="123">
        <f>CT44*(1+Inflation!$J$4)</f>
        <v>10507.80377</v>
      </c>
      <c r="CV44" s="123">
        <f>CU44*(1+Inflation!$J$4)</f>
        <v>10844.05349</v>
      </c>
      <c r="CW44" s="123">
        <f>CV44*(1+Inflation!$J$4)</f>
        <v>11191.0632</v>
      </c>
      <c r="CX44" s="123">
        <f>CW44*(1+Inflation!$J$4)</f>
        <v>11549.17722</v>
      </c>
      <c r="CY44" s="61"/>
      <c r="CZ44" s="61"/>
      <c r="DA44" s="61"/>
      <c r="DB44" s="61"/>
      <c r="DC44" s="61"/>
      <c r="DD44" s="61"/>
      <c r="DE44" s="61"/>
      <c r="DF44" s="61"/>
      <c r="DG44" s="61"/>
      <c r="DH44" s="61"/>
      <c r="DI44" s="61"/>
      <c r="DJ44" s="61"/>
      <c r="DK44" s="61"/>
      <c r="DL44" s="61"/>
      <c r="DM44" s="61"/>
      <c r="DN44" s="61"/>
      <c r="DO44" s="61"/>
      <c r="DP44" s="61"/>
    </row>
    <row r="45" ht="18.75" customHeight="1">
      <c r="A45" s="104" t="s">
        <v>102</v>
      </c>
      <c r="B45" s="166">
        <f t="shared" ref="B45:M45" si="170">SUM(B43:B44)</f>
        <v>12304</v>
      </c>
      <c r="C45" s="166">
        <f t="shared" si="170"/>
        <v>11045</v>
      </c>
      <c r="D45" s="167">
        <f t="shared" si="170"/>
        <v>11036</v>
      </c>
      <c r="E45" s="166">
        <f t="shared" si="170"/>
        <v>11358</v>
      </c>
      <c r="F45" s="166">
        <f t="shared" si="170"/>
        <v>12064</v>
      </c>
      <c r="G45" s="166">
        <f t="shared" si="170"/>
        <v>11652</v>
      </c>
      <c r="H45" s="166">
        <f t="shared" si="170"/>
        <v>12696</v>
      </c>
      <c r="I45" s="166">
        <f t="shared" si="170"/>
        <v>13158</v>
      </c>
      <c r="J45" s="166">
        <f t="shared" si="170"/>
        <v>13305</v>
      </c>
      <c r="K45" s="166">
        <f t="shared" si="170"/>
        <v>13712</v>
      </c>
      <c r="L45" s="166">
        <f t="shared" si="170"/>
        <v>14266</v>
      </c>
      <c r="M45" s="166">
        <f t="shared" si="170"/>
        <v>12494</v>
      </c>
      <c r="N45" s="64">
        <f t="shared" si="158"/>
        <v>149090</v>
      </c>
      <c r="O45" s="144">
        <f>SUM(O43:O44)</f>
        <v>157895</v>
      </c>
      <c r="P45" s="75">
        <f t="shared" si="159"/>
        <v>-8805</v>
      </c>
      <c r="Q45" s="104" t="s">
        <v>102</v>
      </c>
      <c r="R45" s="68">
        <f t="shared" ref="R45:AC45" si="171">SUM(R43:R44)</f>
        <v>12513</v>
      </c>
      <c r="S45" s="68">
        <f t="shared" si="171"/>
        <v>11613</v>
      </c>
      <c r="T45" s="168">
        <f t="shared" si="171"/>
        <v>12884.41667</v>
      </c>
      <c r="U45" s="168">
        <f t="shared" si="171"/>
        <v>12884.41667</v>
      </c>
      <c r="V45" s="168">
        <f t="shared" si="171"/>
        <v>12884.41667</v>
      </c>
      <c r="W45" s="168">
        <f t="shared" si="171"/>
        <v>12884.41667</v>
      </c>
      <c r="X45" s="168">
        <f t="shared" si="171"/>
        <v>12884.41667</v>
      </c>
      <c r="Y45" s="168">
        <f t="shared" si="171"/>
        <v>12884.41667</v>
      </c>
      <c r="Z45" s="168">
        <f t="shared" si="171"/>
        <v>12884.41667</v>
      </c>
      <c r="AA45" s="168">
        <f t="shared" si="171"/>
        <v>12884.41667</v>
      </c>
      <c r="AB45" s="168">
        <f t="shared" si="171"/>
        <v>12884.41667</v>
      </c>
      <c r="AC45" s="168">
        <f t="shared" si="171"/>
        <v>12884.41667</v>
      </c>
      <c r="AD45" s="65">
        <f t="shared" si="162"/>
        <v>152970.1667</v>
      </c>
      <c r="AE45" s="65">
        <f>SUM(AE43:AE44)</f>
        <v>154613</v>
      </c>
      <c r="AF45" s="146">
        <f t="shared" si="163"/>
        <v>-1642.833333</v>
      </c>
      <c r="AG45" s="104" t="s">
        <v>102</v>
      </c>
      <c r="AH45" s="168">
        <f t="shared" ref="AH45:AS45" si="172">SUM(AH43:AH44)</f>
        <v>13519.02708</v>
      </c>
      <c r="AI45" s="168">
        <f t="shared" si="172"/>
        <v>13519.02708</v>
      </c>
      <c r="AJ45" s="168">
        <f t="shared" si="172"/>
        <v>13519.02708</v>
      </c>
      <c r="AK45" s="168">
        <f t="shared" si="172"/>
        <v>13519.02708</v>
      </c>
      <c r="AL45" s="168">
        <f t="shared" si="172"/>
        <v>13519.02708</v>
      </c>
      <c r="AM45" s="168">
        <f t="shared" si="172"/>
        <v>13519.02708</v>
      </c>
      <c r="AN45" s="168">
        <f t="shared" si="172"/>
        <v>13519.02708</v>
      </c>
      <c r="AO45" s="168">
        <f t="shared" si="172"/>
        <v>13519.02708</v>
      </c>
      <c r="AP45" s="168">
        <f t="shared" si="172"/>
        <v>13519.02708</v>
      </c>
      <c r="AQ45" s="168">
        <f t="shared" si="172"/>
        <v>13519.02708</v>
      </c>
      <c r="AR45" s="168">
        <f t="shared" si="172"/>
        <v>13519.02708</v>
      </c>
      <c r="AS45" s="168">
        <f t="shared" si="172"/>
        <v>13519.02708</v>
      </c>
      <c r="AT45" s="65">
        <f t="shared" si="165"/>
        <v>162228.325</v>
      </c>
      <c r="AU45" s="104" t="s">
        <v>102</v>
      </c>
      <c r="AV45" s="168">
        <f t="shared" ref="AV45:BG45" si="173">SUM(AV43:AV44)</f>
        <v>14185.12776</v>
      </c>
      <c r="AW45" s="168">
        <f t="shared" si="173"/>
        <v>14185.12776</v>
      </c>
      <c r="AX45" s="168">
        <f t="shared" si="173"/>
        <v>14185.12776</v>
      </c>
      <c r="AY45" s="168">
        <f t="shared" si="173"/>
        <v>14185.12776</v>
      </c>
      <c r="AZ45" s="168">
        <f t="shared" si="173"/>
        <v>14185.12776</v>
      </c>
      <c r="BA45" s="168">
        <f t="shared" si="173"/>
        <v>14185.12776</v>
      </c>
      <c r="BB45" s="168">
        <f t="shared" si="173"/>
        <v>14185.12776</v>
      </c>
      <c r="BC45" s="168">
        <f t="shared" si="173"/>
        <v>14185.12776</v>
      </c>
      <c r="BD45" s="168">
        <f t="shared" si="173"/>
        <v>14185.12776</v>
      </c>
      <c r="BE45" s="168">
        <f t="shared" si="173"/>
        <v>14185.12776</v>
      </c>
      <c r="BF45" s="168">
        <f t="shared" si="173"/>
        <v>14185.12776</v>
      </c>
      <c r="BG45" s="168">
        <f t="shared" si="173"/>
        <v>14185.12776</v>
      </c>
      <c r="BH45" s="65">
        <f t="shared" si="167"/>
        <v>170221.5331</v>
      </c>
      <c r="BI45" s="104" t="s">
        <v>102</v>
      </c>
      <c r="BJ45" s="168">
        <f t="shared" ref="BJ45:BU45" si="174">SUM(BJ43:BJ44)</f>
        <v>14884.2872</v>
      </c>
      <c r="BK45" s="168">
        <f t="shared" si="174"/>
        <v>14884.2872</v>
      </c>
      <c r="BL45" s="168">
        <f t="shared" si="174"/>
        <v>14884.2872</v>
      </c>
      <c r="BM45" s="168">
        <f t="shared" si="174"/>
        <v>14884.2872</v>
      </c>
      <c r="BN45" s="168">
        <f t="shared" si="174"/>
        <v>14884.2872</v>
      </c>
      <c r="BO45" s="168">
        <f t="shared" si="174"/>
        <v>14884.2872</v>
      </c>
      <c r="BP45" s="168">
        <f t="shared" si="174"/>
        <v>14884.2872</v>
      </c>
      <c r="BQ45" s="168">
        <f t="shared" si="174"/>
        <v>14884.2872</v>
      </c>
      <c r="BR45" s="168">
        <f t="shared" si="174"/>
        <v>14884.2872</v>
      </c>
      <c r="BS45" s="168">
        <f t="shared" si="174"/>
        <v>14884.2872</v>
      </c>
      <c r="BT45" s="168">
        <f t="shared" si="174"/>
        <v>14884.2872</v>
      </c>
      <c r="BU45" s="168">
        <f t="shared" si="174"/>
        <v>14884.2872</v>
      </c>
      <c r="BV45" s="65">
        <f t="shared" si="169"/>
        <v>178611.4465</v>
      </c>
      <c r="BW45" s="104" t="s">
        <v>102</v>
      </c>
      <c r="BX45" s="174">
        <f t="shared" ref="BX45:CX45" si="175">SUM(BX43:BX44)</f>
        <v>187417.8264</v>
      </c>
      <c r="BY45" s="65">
        <f t="shared" si="175"/>
        <v>193415.1968</v>
      </c>
      <c r="BZ45" s="65">
        <f t="shared" si="175"/>
        <v>199604.4831</v>
      </c>
      <c r="CA45" s="65">
        <f t="shared" si="175"/>
        <v>205991.8266</v>
      </c>
      <c r="CB45" s="65">
        <f t="shared" si="175"/>
        <v>212583.565</v>
      </c>
      <c r="CC45" s="65">
        <f t="shared" si="175"/>
        <v>219386.2391</v>
      </c>
      <c r="CD45" s="65">
        <f t="shared" si="175"/>
        <v>226406.5987</v>
      </c>
      <c r="CE45" s="65">
        <f t="shared" si="175"/>
        <v>233651.6099</v>
      </c>
      <c r="CF45" s="65">
        <f t="shared" si="175"/>
        <v>241128.4614</v>
      </c>
      <c r="CG45" s="65">
        <f t="shared" si="175"/>
        <v>248844.5722</v>
      </c>
      <c r="CH45" s="65">
        <f t="shared" si="175"/>
        <v>256807.5985</v>
      </c>
      <c r="CI45" s="65">
        <f t="shared" si="175"/>
        <v>265025.4417</v>
      </c>
      <c r="CJ45" s="65">
        <f t="shared" si="175"/>
        <v>273506.2558</v>
      </c>
      <c r="CK45" s="65">
        <f t="shared" si="175"/>
        <v>282258.456</v>
      </c>
      <c r="CL45" s="65">
        <f t="shared" si="175"/>
        <v>291290.7266</v>
      </c>
      <c r="CM45" s="65">
        <f t="shared" si="175"/>
        <v>300612.0298</v>
      </c>
      <c r="CN45" s="65">
        <f t="shared" si="175"/>
        <v>310231.6148</v>
      </c>
      <c r="CO45" s="65">
        <f t="shared" si="175"/>
        <v>320159.0264</v>
      </c>
      <c r="CP45" s="65">
        <f t="shared" si="175"/>
        <v>330404.1153</v>
      </c>
      <c r="CQ45" s="65">
        <f t="shared" si="175"/>
        <v>340977.047</v>
      </c>
      <c r="CR45" s="65">
        <f t="shared" si="175"/>
        <v>351888.3125</v>
      </c>
      <c r="CS45" s="65">
        <f t="shared" si="175"/>
        <v>363148.7385</v>
      </c>
      <c r="CT45" s="65">
        <f t="shared" si="175"/>
        <v>374769.4981</v>
      </c>
      <c r="CU45" s="65">
        <f t="shared" si="175"/>
        <v>386762.122</v>
      </c>
      <c r="CV45" s="65">
        <f t="shared" si="175"/>
        <v>399138.51</v>
      </c>
      <c r="CW45" s="65">
        <f t="shared" si="175"/>
        <v>411910.9423</v>
      </c>
      <c r="CX45" s="65">
        <f t="shared" si="175"/>
        <v>425092.0924</v>
      </c>
      <c r="CY45" s="61"/>
      <c r="CZ45" s="61"/>
      <c r="DA45" s="61"/>
      <c r="DB45" s="61"/>
      <c r="DC45" s="61"/>
      <c r="DD45" s="61"/>
      <c r="DE45" s="61"/>
      <c r="DF45" s="61"/>
      <c r="DG45" s="61"/>
      <c r="DH45" s="61"/>
      <c r="DI45" s="61"/>
      <c r="DJ45" s="61"/>
      <c r="DK45" s="61"/>
      <c r="DL45" s="61"/>
      <c r="DM45" s="61"/>
      <c r="DN45" s="61"/>
      <c r="DO45" s="61"/>
      <c r="DP45" s="61"/>
    </row>
    <row r="46" ht="18.75" customHeight="1">
      <c r="A46" s="175" t="s">
        <v>127</v>
      </c>
      <c r="B46" s="176">
        <f t="shared" ref="B46:M46" si="176">+B22+B31+B36+B41+B45</f>
        <v>74014</v>
      </c>
      <c r="C46" s="176">
        <f t="shared" si="176"/>
        <v>23946</v>
      </c>
      <c r="D46" s="177">
        <f t="shared" si="176"/>
        <v>72612.5</v>
      </c>
      <c r="E46" s="176">
        <f t="shared" si="176"/>
        <v>33124</v>
      </c>
      <c r="F46" s="176">
        <f t="shared" si="176"/>
        <v>24061</v>
      </c>
      <c r="G46" s="176">
        <f t="shared" si="176"/>
        <v>41783</v>
      </c>
      <c r="H46" s="176">
        <f t="shared" si="176"/>
        <v>227941</v>
      </c>
      <c r="I46" s="176">
        <f t="shared" si="176"/>
        <v>126441</v>
      </c>
      <c r="J46" s="176">
        <f t="shared" si="176"/>
        <v>42068</v>
      </c>
      <c r="K46" s="176">
        <f t="shared" si="176"/>
        <v>100988</v>
      </c>
      <c r="L46" s="176">
        <f t="shared" si="176"/>
        <v>169353</v>
      </c>
      <c r="M46" s="176">
        <f t="shared" si="176"/>
        <v>172306.0998</v>
      </c>
      <c r="N46" s="178">
        <f t="shared" si="158"/>
        <v>1108637.6</v>
      </c>
      <c r="O46" s="179">
        <f>O22+O31+O36+O41+O45</f>
        <v>1248700</v>
      </c>
      <c r="P46" s="75">
        <f t="shared" si="159"/>
        <v>-140062.4002</v>
      </c>
      <c r="Q46" s="175" t="s">
        <v>127</v>
      </c>
      <c r="R46" s="180">
        <f t="shared" ref="R46:AC46" si="177">+R22+R31+R36+R41+R45</f>
        <v>42550.675</v>
      </c>
      <c r="S46" s="180">
        <f t="shared" si="177"/>
        <v>41510.675</v>
      </c>
      <c r="T46" s="180">
        <f t="shared" si="177"/>
        <v>44603.34167</v>
      </c>
      <c r="U46" s="180">
        <f t="shared" si="177"/>
        <v>37793.59167</v>
      </c>
      <c r="V46" s="180">
        <f t="shared" si="177"/>
        <v>50006.09167</v>
      </c>
      <c r="W46" s="180">
        <f t="shared" si="177"/>
        <v>231232.0917</v>
      </c>
      <c r="X46" s="180">
        <f t="shared" si="177"/>
        <v>154989.7345</v>
      </c>
      <c r="Y46" s="180">
        <f t="shared" si="177"/>
        <v>112581.6518</v>
      </c>
      <c r="Z46" s="180">
        <f t="shared" si="177"/>
        <v>137086.4375</v>
      </c>
      <c r="AA46" s="180">
        <f t="shared" si="177"/>
        <v>150240.5428</v>
      </c>
      <c r="AB46" s="180">
        <f t="shared" si="177"/>
        <v>85793.59167</v>
      </c>
      <c r="AC46" s="180">
        <f t="shared" si="177"/>
        <v>42603.34167</v>
      </c>
      <c r="AD46" s="181">
        <f t="shared" si="162"/>
        <v>1130991.767</v>
      </c>
      <c r="AE46" s="180">
        <f>+AE22+AE31+AE36+AE41+AE45</f>
        <v>1053547</v>
      </c>
      <c r="AF46" s="180">
        <f t="shared" si="163"/>
        <v>77444.76667</v>
      </c>
      <c r="AG46" s="175" t="s">
        <v>127</v>
      </c>
      <c r="AH46" s="180">
        <f t="shared" ref="AH46:AS46" si="178">+AH22+AH31+AH36+AH41+AH45</f>
        <v>44991.24588</v>
      </c>
      <c r="AI46" s="180">
        <f t="shared" si="178"/>
        <v>44071.19588</v>
      </c>
      <c r="AJ46" s="180">
        <f t="shared" si="178"/>
        <v>46053.97296</v>
      </c>
      <c r="AK46" s="180">
        <f t="shared" si="178"/>
        <v>66895.70773</v>
      </c>
      <c r="AL46" s="180">
        <f t="shared" si="178"/>
        <v>74183.86073</v>
      </c>
      <c r="AM46" s="180">
        <f t="shared" si="178"/>
        <v>198124.2543</v>
      </c>
      <c r="AN46" s="180">
        <f t="shared" si="178"/>
        <v>89313.65471</v>
      </c>
      <c r="AO46" s="180">
        <f t="shared" si="178"/>
        <v>47313.65471</v>
      </c>
      <c r="AP46" s="180">
        <f t="shared" si="178"/>
        <v>39040.31096</v>
      </c>
      <c r="AQ46" s="180">
        <f t="shared" si="178"/>
        <v>44040.31096</v>
      </c>
      <c r="AR46" s="180">
        <f t="shared" si="178"/>
        <v>39040.31096</v>
      </c>
      <c r="AS46" s="180">
        <f t="shared" si="178"/>
        <v>44003.97296</v>
      </c>
      <c r="AT46" s="181">
        <f t="shared" si="165"/>
        <v>777072.4527</v>
      </c>
      <c r="AU46" s="175" t="s">
        <v>127</v>
      </c>
      <c r="AV46" s="180">
        <f t="shared" ref="AV46:BG46" si="179">+AV22+AV31+AV36+AV41+AV45</f>
        <v>46786.44966</v>
      </c>
      <c r="AW46" s="180">
        <f t="shared" si="179"/>
        <v>45868.39841</v>
      </c>
      <c r="AX46" s="180">
        <f t="shared" si="179"/>
        <v>47900.74492</v>
      </c>
      <c r="AY46" s="180">
        <f t="shared" si="179"/>
        <v>56438.02172</v>
      </c>
      <c r="AZ46" s="180">
        <f t="shared" si="179"/>
        <v>194831.5136</v>
      </c>
      <c r="BA46" s="180">
        <f t="shared" si="179"/>
        <v>42754.85644</v>
      </c>
      <c r="BB46" s="180">
        <f t="shared" si="179"/>
        <v>42754.85644</v>
      </c>
      <c r="BC46" s="180">
        <f t="shared" si="179"/>
        <v>43382.95227</v>
      </c>
      <c r="BD46" s="180">
        <f t="shared" si="179"/>
        <v>45890.96665</v>
      </c>
      <c r="BE46" s="180">
        <f t="shared" si="179"/>
        <v>45593.99574</v>
      </c>
      <c r="BF46" s="180">
        <f t="shared" si="179"/>
        <v>40418.99574</v>
      </c>
      <c r="BG46" s="180">
        <f t="shared" si="179"/>
        <v>45799.49492</v>
      </c>
      <c r="BH46" s="181">
        <f t="shared" si="167"/>
        <v>698421.2465</v>
      </c>
      <c r="BI46" s="175" t="s">
        <v>127</v>
      </c>
      <c r="BJ46" s="180">
        <f t="shared" ref="BJ46:BU46" si="180">+BJ22+BJ31+BJ36+BJ41+BJ45</f>
        <v>48648.61607</v>
      </c>
      <c r="BK46" s="180">
        <f t="shared" si="180"/>
        <v>47732.61354</v>
      </c>
      <c r="BL46" s="180">
        <f t="shared" si="180"/>
        <v>49815.76872</v>
      </c>
      <c r="BM46" s="180">
        <f t="shared" si="180"/>
        <v>58382.94712</v>
      </c>
      <c r="BN46" s="180">
        <f t="shared" si="180"/>
        <v>44251.40918</v>
      </c>
      <c r="BO46" s="180">
        <f t="shared" si="180"/>
        <v>44251.40918</v>
      </c>
      <c r="BP46" s="180">
        <f t="shared" si="180"/>
        <v>44251.40918</v>
      </c>
      <c r="BQ46" s="180">
        <f t="shared" si="180"/>
        <v>44902.03465</v>
      </c>
      <c r="BR46" s="180">
        <f t="shared" si="180"/>
        <v>41851.31231</v>
      </c>
      <c r="BS46" s="180">
        <f t="shared" si="180"/>
        <v>47207.43731</v>
      </c>
      <c r="BT46" s="180">
        <f t="shared" si="180"/>
        <v>41851.31231</v>
      </c>
      <c r="BU46" s="180">
        <f t="shared" si="180"/>
        <v>47661.98747</v>
      </c>
      <c r="BV46" s="181">
        <f t="shared" si="169"/>
        <v>560808.257</v>
      </c>
      <c r="BW46" s="175" t="s">
        <v>127</v>
      </c>
      <c r="BX46" s="180">
        <f t="shared" ref="BX46:CX46" si="181">+BX22+BX31+BX36+BX41+BX45</f>
        <v>580899.2795</v>
      </c>
      <c r="BY46" s="180">
        <f t="shared" si="181"/>
        <v>598620.5795</v>
      </c>
      <c r="BZ46" s="180">
        <f t="shared" si="181"/>
        <v>739222.6318</v>
      </c>
      <c r="CA46" s="180">
        <f t="shared" si="181"/>
        <v>634840.6825</v>
      </c>
      <c r="CB46" s="180">
        <f t="shared" si="181"/>
        <v>653774.635</v>
      </c>
      <c r="CC46" s="180">
        <f t="shared" si="181"/>
        <v>1226755.921</v>
      </c>
      <c r="CD46" s="180">
        <f t="shared" si="181"/>
        <v>1229933.474</v>
      </c>
      <c r="CE46" s="180">
        <f t="shared" si="181"/>
        <v>1158720.591</v>
      </c>
      <c r="CF46" s="180">
        <f t="shared" si="181"/>
        <v>735404.3273</v>
      </c>
      <c r="CG46" s="180">
        <f t="shared" si="181"/>
        <v>949452.2478</v>
      </c>
      <c r="CH46" s="180">
        <f t="shared" si="181"/>
        <v>978978.6576</v>
      </c>
      <c r="CI46" s="180">
        <f t="shared" si="181"/>
        <v>1356776.86</v>
      </c>
      <c r="CJ46" s="180">
        <f t="shared" si="181"/>
        <v>1228075.588</v>
      </c>
      <c r="CK46" s="180">
        <f t="shared" si="181"/>
        <v>1242081.165</v>
      </c>
      <c r="CL46" s="180">
        <f t="shared" si="181"/>
        <v>877620.4041</v>
      </c>
      <c r="CM46" s="180">
        <f t="shared" si="181"/>
        <v>1097997.922</v>
      </c>
      <c r="CN46" s="180">
        <f t="shared" si="181"/>
        <v>974379.7355</v>
      </c>
      <c r="CO46" s="180">
        <f t="shared" si="181"/>
        <v>1003829.924</v>
      </c>
      <c r="CP46" s="180">
        <f t="shared" si="181"/>
        <v>987601.2238</v>
      </c>
      <c r="CQ46" s="180">
        <f t="shared" si="181"/>
        <v>1067392.655</v>
      </c>
      <c r="CR46" s="180">
        <f t="shared" si="181"/>
        <v>1368323.263</v>
      </c>
      <c r="CS46" s="180">
        <f t="shared" si="181"/>
        <v>1584084.888</v>
      </c>
      <c r="CT46" s="180">
        <f t="shared" si="181"/>
        <v>1611580.449</v>
      </c>
      <c r="CU46" s="180">
        <f t="shared" si="181"/>
        <v>1144914.011</v>
      </c>
      <c r="CV46" s="180">
        <f t="shared" si="181"/>
        <v>1179299.249</v>
      </c>
      <c r="CW46" s="180">
        <f t="shared" si="181"/>
        <v>1214729.134</v>
      </c>
      <c r="CX46" s="180">
        <f t="shared" si="181"/>
        <v>1251235.724</v>
      </c>
      <c r="CY46" s="182"/>
      <c r="CZ46" s="182"/>
      <c r="DA46" s="182"/>
      <c r="DB46" s="182"/>
      <c r="DC46" s="182"/>
      <c r="DD46" s="182"/>
      <c r="DE46" s="182"/>
      <c r="DF46" s="182"/>
      <c r="DG46" s="182"/>
      <c r="DH46" s="182"/>
      <c r="DI46" s="182"/>
      <c r="DJ46" s="182"/>
      <c r="DK46" s="182"/>
      <c r="DL46" s="182"/>
      <c r="DM46" s="182"/>
      <c r="DN46" s="182"/>
      <c r="DO46" s="182"/>
      <c r="DP46" s="182"/>
    </row>
    <row r="47" ht="18.75" customHeight="1">
      <c r="A47" s="183" t="s">
        <v>128</v>
      </c>
      <c r="B47" s="184">
        <f t="shared" ref="B47:M47" si="182">B9+B16-B46</f>
        <v>543820</v>
      </c>
      <c r="C47" s="184">
        <f t="shared" si="182"/>
        <v>618772</v>
      </c>
      <c r="D47" s="185">
        <f t="shared" si="182"/>
        <v>649691.5</v>
      </c>
      <c r="E47" s="184">
        <f t="shared" si="182"/>
        <v>711853</v>
      </c>
      <c r="F47" s="184">
        <f t="shared" si="182"/>
        <v>773931.8081</v>
      </c>
      <c r="G47" s="184">
        <f t="shared" si="182"/>
        <v>825300.6628</v>
      </c>
      <c r="H47" s="184">
        <f t="shared" si="182"/>
        <v>824218</v>
      </c>
      <c r="I47" s="184">
        <f t="shared" si="182"/>
        <v>670081.0719</v>
      </c>
      <c r="J47" s="184">
        <f t="shared" si="182"/>
        <v>726001</v>
      </c>
      <c r="K47" s="184">
        <f t="shared" si="182"/>
        <v>725610</v>
      </c>
      <c r="L47" s="184">
        <f t="shared" si="182"/>
        <v>616719</v>
      </c>
      <c r="M47" s="184">
        <f t="shared" si="182"/>
        <v>528488.7395</v>
      </c>
      <c r="N47" s="184"/>
      <c r="O47" s="184"/>
      <c r="P47" s="108"/>
      <c r="Q47" s="186" t="s">
        <v>129</v>
      </c>
      <c r="R47" s="187">
        <f t="shared" ref="R47:AC47" si="183">R9+R16-R46</f>
        <v>646365.235</v>
      </c>
      <c r="S47" s="187">
        <f t="shared" si="183"/>
        <v>687492.915</v>
      </c>
      <c r="T47" s="187">
        <f t="shared" si="183"/>
        <v>707426.5583</v>
      </c>
      <c r="U47" s="187">
        <f t="shared" si="183"/>
        <v>731794.8667</v>
      </c>
      <c r="V47" s="187">
        <f t="shared" si="183"/>
        <v>772746.8083</v>
      </c>
      <c r="W47" s="187">
        <f t="shared" si="183"/>
        <v>600165.6167</v>
      </c>
      <c r="X47" s="187">
        <f t="shared" si="183"/>
        <v>503826.7821</v>
      </c>
      <c r="Y47" s="187">
        <f t="shared" si="183"/>
        <v>449896.0303</v>
      </c>
      <c r="Z47" s="187">
        <f t="shared" si="183"/>
        <v>371460.4928</v>
      </c>
      <c r="AA47" s="187">
        <f t="shared" si="183"/>
        <v>279870.85</v>
      </c>
      <c r="AB47" s="187">
        <f t="shared" si="183"/>
        <v>252728.1583</v>
      </c>
      <c r="AC47" s="187">
        <f t="shared" si="183"/>
        <v>268775.7167</v>
      </c>
      <c r="AD47" s="187">
        <f>AC47</f>
        <v>268775.7167</v>
      </c>
      <c r="AE47" s="187">
        <v>235497.0</v>
      </c>
      <c r="AF47" s="187">
        <f t="shared" si="163"/>
        <v>33278.71667</v>
      </c>
      <c r="AG47" s="186" t="s">
        <v>129</v>
      </c>
      <c r="AH47" s="187">
        <f t="shared" ref="AH47:AS47" si="184">AH9+AH16-AH46</f>
        <v>285176.3458</v>
      </c>
      <c r="AI47" s="187">
        <f t="shared" si="184"/>
        <v>302497.0249</v>
      </c>
      <c r="AJ47" s="187">
        <f t="shared" si="184"/>
        <v>317834.927</v>
      </c>
      <c r="AK47" s="187">
        <f t="shared" si="184"/>
        <v>312331.0942</v>
      </c>
      <c r="AL47" s="187">
        <f t="shared" si="184"/>
        <v>299539.1085</v>
      </c>
      <c r="AM47" s="187">
        <f t="shared" si="184"/>
        <v>162806.7292</v>
      </c>
      <c r="AN47" s="187">
        <f t="shared" si="184"/>
        <v>134884.9495</v>
      </c>
      <c r="AO47" s="187">
        <f t="shared" si="184"/>
        <v>148963.1698</v>
      </c>
      <c r="AP47" s="187">
        <f t="shared" si="184"/>
        <v>171314.7339</v>
      </c>
      <c r="AQ47" s="187">
        <f t="shared" si="184"/>
        <v>188666.2979</v>
      </c>
      <c r="AR47" s="187">
        <f t="shared" si="184"/>
        <v>211017.862</v>
      </c>
      <c r="AS47" s="187">
        <f t="shared" si="184"/>
        <v>228405.764</v>
      </c>
      <c r="AT47" s="187">
        <f>AS47</f>
        <v>228405.764</v>
      </c>
      <c r="AU47" s="186" t="s">
        <v>129</v>
      </c>
      <c r="AV47" s="187">
        <f t="shared" ref="AV47:BG47" si="185">AV9+AV16-AV46</f>
        <v>249979.7362</v>
      </c>
      <c r="AW47" s="187">
        <f t="shared" si="185"/>
        <v>272471.7597</v>
      </c>
      <c r="AX47" s="187">
        <f t="shared" si="185"/>
        <v>292931.4366</v>
      </c>
      <c r="AY47" s="187">
        <f t="shared" si="185"/>
        <v>304853.8368</v>
      </c>
      <c r="AZ47" s="187">
        <f t="shared" si="185"/>
        <v>178382.7451</v>
      </c>
      <c r="BA47" s="187">
        <f t="shared" si="185"/>
        <v>203988.3105</v>
      </c>
      <c r="BB47" s="187">
        <f t="shared" si="185"/>
        <v>229593.8759</v>
      </c>
      <c r="BC47" s="187">
        <f t="shared" si="185"/>
        <v>254571.3455</v>
      </c>
      <c r="BD47" s="187">
        <f t="shared" si="185"/>
        <v>277040.8008</v>
      </c>
      <c r="BE47" s="187">
        <f t="shared" si="185"/>
        <v>299807.2269</v>
      </c>
      <c r="BF47" s="187">
        <f t="shared" si="185"/>
        <v>327748.6531</v>
      </c>
      <c r="BG47" s="187">
        <f t="shared" si="185"/>
        <v>350309.58</v>
      </c>
      <c r="BH47" s="187">
        <f>BG47</f>
        <v>350309.58</v>
      </c>
      <c r="BI47" s="186" t="s">
        <v>129</v>
      </c>
      <c r="BJ47" s="187">
        <f t="shared" ref="BJ47:BU47" si="186">BJ9+BJ16-BJ46</f>
        <v>363191.6464</v>
      </c>
      <c r="BK47" s="187">
        <f t="shared" si="186"/>
        <v>376989.7152</v>
      </c>
      <c r="BL47" s="187">
        <f t="shared" si="186"/>
        <v>388704.6289</v>
      </c>
      <c r="BM47" s="187">
        <f t="shared" si="186"/>
        <v>391852.3642</v>
      </c>
      <c r="BN47" s="187">
        <f t="shared" si="186"/>
        <v>409131.6375</v>
      </c>
      <c r="BO47" s="187">
        <f t="shared" si="186"/>
        <v>426410.9107</v>
      </c>
      <c r="BP47" s="187">
        <f t="shared" si="186"/>
        <v>443690.184</v>
      </c>
      <c r="BQ47" s="187">
        <f t="shared" si="186"/>
        <v>460318.8317</v>
      </c>
      <c r="BR47" s="187">
        <f t="shared" si="186"/>
        <v>479998.2019</v>
      </c>
      <c r="BS47" s="187">
        <f t="shared" si="186"/>
        <v>494321.447</v>
      </c>
      <c r="BT47" s="187">
        <f t="shared" si="186"/>
        <v>514000.8171</v>
      </c>
      <c r="BU47" s="187">
        <f t="shared" si="186"/>
        <v>527869.512</v>
      </c>
      <c r="BV47" s="187">
        <f>BU47</f>
        <v>527869.512</v>
      </c>
      <c r="BW47" s="186" t="s">
        <v>129</v>
      </c>
      <c r="BX47" s="187">
        <f t="shared" ref="BX47:CX47" si="187">BX9+BX16-BX46</f>
        <v>686202.6263</v>
      </c>
      <c r="BY47" s="187">
        <f t="shared" si="187"/>
        <v>951900.2504</v>
      </c>
      <c r="BZ47" s="187">
        <f t="shared" si="187"/>
        <v>1077903.777</v>
      </c>
      <c r="CA47" s="187">
        <f t="shared" si="187"/>
        <v>1309219.908</v>
      </c>
      <c r="CB47" s="187">
        <f t="shared" si="187"/>
        <v>1522556.006</v>
      </c>
      <c r="CC47" s="187">
        <f t="shared" si="187"/>
        <v>1163888.586</v>
      </c>
      <c r="CD47" s="187">
        <f t="shared" si="187"/>
        <v>927245.8261</v>
      </c>
      <c r="CE47" s="187">
        <f t="shared" si="187"/>
        <v>762843.2171</v>
      </c>
      <c r="CF47" s="187">
        <f t="shared" si="187"/>
        <v>1022809.821</v>
      </c>
      <c r="CG47" s="187">
        <f t="shared" si="187"/>
        <v>1069807.778</v>
      </c>
      <c r="CH47" s="187">
        <f t="shared" si="187"/>
        <v>1253985.58</v>
      </c>
      <c r="CI47" s="187">
        <f t="shared" si="187"/>
        <v>1061499.091</v>
      </c>
      <c r="CJ47" s="187">
        <f t="shared" si="187"/>
        <v>998876.1338</v>
      </c>
      <c r="CK47" s="187">
        <f t="shared" si="187"/>
        <v>923438.915</v>
      </c>
      <c r="CL47" s="187">
        <f t="shared" si="187"/>
        <v>1172283.556</v>
      </c>
      <c r="CM47" s="187">
        <f t="shared" si="187"/>
        <v>1202002.304</v>
      </c>
      <c r="CN47" s="187">
        <f t="shared" si="187"/>
        <v>1356622.156</v>
      </c>
      <c r="CO47" s="187">
        <f t="shared" si="187"/>
        <v>1483106.81</v>
      </c>
      <c r="CP47" s="187">
        <f t="shared" si="187"/>
        <v>1627168.028</v>
      </c>
      <c r="CQ47" s="187">
        <f t="shared" si="187"/>
        <v>1775619.376</v>
      </c>
      <c r="CR47" s="187">
        <f t="shared" si="187"/>
        <v>1624556.216</v>
      </c>
      <c r="CS47" s="187">
        <f t="shared" si="187"/>
        <v>1259182.933</v>
      </c>
      <c r="CT47" s="187">
        <f t="shared" si="187"/>
        <v>1033401.88</v>
      </c>
      <c r="CU47" s="187">
        <f t="shared" si="187"/>
        <v>1275812.249</v>
      </c>
      <c r="CV47" s="187">
        <f t="shared" si="187"/>
        <v>1485400.49</v>
      </c>
      <c r="CW47" s="187">
        <f t="shared" si="187"/>
        <v>1661161.033</v>
      </c>
      <c r="CX47" s="187">
        <f t="shared" si="187"/>
        <v>1884857.228</v>
      </c>
      <c r="CY47" s="188"/>
      <c r="CZ47" s="188"/>
      <c r="DA47" s="188"/>
      <c r="DB47" s="188"/>
      <c r="DC47" s="188"/>
      <c r="DD47" s="188"/>
      <c r="DE47" s="188"/>
      <c r="DF47" s="188"/>
      <c r="DG47" s="188"/>
      <c r="DH47" s="188"/>
      <c r="DI47" s="188"/>
      <c r="DJ47" s="188"/>
      <c r="DK47" s="188"/>
      <c r="DL47" s="188"/>
      <c r="DM47" s="188"/>
      <c r="DN47" s="188"/>
      <c r="DO47" s="188"/>
      <c r="DP47" s="188"/>
    </row>
    <row r="48">
      <c r="A48" s="189" t="s">
        <v>130</v>
      </c>
      <c r="B48" s="162">
        <v>450.0</v>
      </c>
      <c r="C48" s="162">
        <v>450.0</v>
      </c>
      <c r="D48" s="190">
        <v>450.0</v>
      </c>
      <c r="E48" s="162">
        <v>450.0</v>
      </c>
      <c r="F48" s="162">
        <v>450.0</v>
      </c>
      <c r="G48" s="162">
        <v>450.0</v>
      </c>
      <c r="H48" s="162">
        <v>450.0</v>
      </c>
      <c r="I48" s="162">
        <v>450.0</v>
      </c>
      <c r="J48" s="162">
        <v>450.0</v>
      </c>
      <c r="K48" s="162">
        <v>450.0</v>
      </c>
      <c r="L48" s="162">
        <v>450.0</v>
      </c>
      <c r="M48" s="162">
        <v>450.0</v>
      </c>
      <c r="N48" s="138"/>
      <c r="O48" s="108"/>
      <c r="P48" s="108"/>
      <c r="Q48" s="191" t="s">
        <v>131</v>
      </c>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ht="18.75" customHeight="1">
      <c r="A49" s="192" t="s">
        <v>132</v>
      </c>
      <c r="B49" s="193">
        <v>350.0</v>
      </c>
      <c r="C49" s="193">
        <v>350.0</v>
      </c>
      <c r="D49" s="193">
        <v>350.0</v>
      </c>
      <c r="E49" s="193">
        <v>350.0</v>
      </c>
      <c r="F49" s="193">
        <v>350.0</v>
      </c>
      <c r="G49" s="193">
        <v>350.0</v>
      </c>
      <c r="H49" s="193">
        <v>350.0</v>
      </c>
      <c r="I49" s="193">
        <v>350.0</v>
      </c>
      <c r="J49" s="193">
        <v>350.0</v>
      </c>
      <c r="K49" s="193">
        <v>350.0</v>
      </c>
      <c r="L49" s="193">
        <v>350.0</v>
      </c>
      <c r="M49" s="193">
        <v>350.0</v>
      </c>
      <c r="N49" s="194"/>
      <c r="O49" s="108"/>
      <c r="P49" s="108"/>
      <c r="Q49" s="195" t="s">
        <v>132</v>
      </c>
      <c r="R49" s="196">
        <v>425.0</v>
      </c>
      <c r="S49" s="196">
        <f t="shared" ref="S49:AE49" si="188">R49</f>
        <v>425</v>
      </c>
      <c r="T49" s="196">
        <f t="shared" si="188"/>
        <v>425</v>
      </c>
      <c r="U49" s="196">
        <f t="shared" si="188"/>
        <v>425</v>
      </c>
      <c r="V49" s="196">
        <f t="shared" si="188"/>
        <v>425</v>
      </c>
      <c r="W49" s="196">
        <f t="shared" si="188"/>
        <v>425</v>
      </c>
      <c r="X49" s="196">
        <f t="shared" si="188"/>
        <v>425</v>
      </c>
      <c r="Y49" s="196">
        <f t="shared" si="188"/>
        <v>425</v>
      </c>
      <c r="Z49" s="196">
        <f t="shared" si="188"/>
        <v>425</v>
      </c>
      <c r="AA49" s="196">
        <f t="shared" si="188"/>
        <v>425</v>
      </c>
      <c r="AB49" s="196">
        <f t="shared" si="188"/>
        <v>425</v>
      </c>
      <c r="AC49" s="196">
        <f t="shared" si="188"/>
        <v>425</v>
      </c>
      <c r="AD49" s="196">
        <f t="shared" si="188"/>
        <v>425</v>
      </c>
      <c r="AE49" s="197">
        <f t="shared" si="188"/>
        <v>425</v>
      </c>
      <c r="AF49" s="195"/>
      <c r="AG49" s="195" t="s">
        <v>132</v>
      </c>
      <c r="AH49" s="198">
        <v>425.0</v>
      </c>
      <c r="AI49" s="196">
        <f t="shared" ref="AI49:AT49" si="189">AH49</f>
        <v>425</v>
      </c>
      <c r="AJ49" s="196">
        <f t="shared" si="189"/>
        <v>425</v>
      </c>
      <c r="AK49" s="196">
        <f t="shared" si="189"/>
        <v>425</v>
      </c>
      <c r="AL49" s="196">
        <f t="shared" si="189"/>
        <v>425</v>
      </c>
      <c r="AM49" s="196">
        <f t="shared" si="189"/>
        <v>425</v>
      </c>
      <c r="AN49" s="196">
        <f t="shared" si="189"/>
        <v>425</v>
      </c>
      <c r="AO49" s="196">
        <f t="shared" si="189"/>
        <v>425</v>
      </c>
      <c r="AP49" s="196">
        <f t="shared" si="189"/>
        <v>425</v>
      </c>
      <c r="AQ49" s="196">
        <f t="shared" si="189"/>
        <v>425</v>
      </c>
      <c r="AR49" s="196">
        <f t="shared" si="189"/>
        <v>425</v>
      </c>
      <c r="AS49" s="196">
        <f t="shared" si="189"/>
        <v>425</v>
      </c>
      <c r="AT49" s="196">
        <f t="shared" si="189"/>
        <v>425</v>
      </c>
      <c r="AU49" s="195" t="s">
        <v>132</v>
      </c>
      <c r="AV49" s="198">
        <v>475.0</v>
      </c>
      <c r="AW49" s="196">
        <f t="shared" ref="AW49:BH49" si="190">AV49</f>
        <v>475</v>
      </c>
      <c r="AX49" s="196">
        <f t="shared" si="190"/>
        <v>475</v>
      </c>
      <c r="AY49" s="196">
        <f t="shared" si="190"/>
        <v>475</v>
      </c>
      <c r="AZ49" s="196">
        <f t="shared" si="190"/>
        <v>475</v>
      </c>
      <c r="BA49" s="196">
        <f t="shared" si="190"/>
        <v>475</v>
      </c>
      <c r="BB49" s="196">
        <f t="shared" si="190"/>
        <v>475</v>
      </c>
      <c r="BC49" s="196">
        <f t="shared" si="190"/>
        <v>475</v>
      </c>
      <c r="BD49" s="196">
        <f t="shared" si="190"/>
        <v>475</v>
      </c>
      <c r="BE49" s="196">
        <f t="shared" si="190"/>
        <v>475</v>
      </c>
      <c r="BF49" s="196">
        <f t="shared" si="190"/>
        <v>475</v>
      </c>
      <c r="BG49" s="196">
        <f t="shared" si="190"/>
        <v>475</v>
      </c>
      <c r="BH49" s="196">
        <f t="shared" si="190"/>
        <v>475</v>
      </c>
      <c r="BI49" s="195" t="s">
        <v>132</v>
      </c>
      <c r="BJ49" s="198">
        <v>425.0</v>
      </c>
      <c r="BK49" s="196">
        <f t="shared" ref="BK49:BV49" si="191">BJ49</f>
        <v>425</v>
      </c>
      <c r="BL49" s="196">
        <f t="shared" si="191"/>
        <v>425</v>
      </c>
      <c r="BM49" s="196">
        <f t="shared" si="191"/>
        <v>425</v>
      </c>
      <c r="BN49" s="196">
        <f t="shared" si="191"/>
        <v>425</v>
      </c>
      <c r="BO49" s="196">
        <f t="shared" si="191"/>
        <v>425</v>
      </c>
      <c r="BP49" s="196">
        <f t="shared" si="191"/>
        <v>425</v>
      </c>
      <c r="BQ49" s="196">
        <f t="shared" si="191"/>
        <v>425</v>
      </c>
      <c r="BR49" s="196">
        <f t="shared" si="191"/>
        <v>425</v>
      </c>
      <c r="BS49" s="196">
        <f t="shared" si="191"/>
        <v>425</v>
      </c>
      <c r="BT49" s="196">
        <f t="shared" si="191"/>
        <v>425</v>
      </c>
      <c r="BU49" s="196">
        <f t="shared" si="191"/>
        <v>425</v>
      </c>
      <c r="BV49" s="196">
        <f t="shared" si="191"/>
        <v>425</v>
      </c>
      <c r="BW49" s="195" t="s">
        <v>132</v>
      </c>
      <c r="BX49" s="198">
        <v>425.0</v>
      </c>
      <c r="BY49" s="198">
        <v>500.0</v>
      </c>
      <c r="BZ49" s="198">
        <v>500.0</v>
      </c>
      <c r="CA49" s="198">
        <v>500.0</v>
      </c>
      <c r="CB49" s="198">
        <v>500.0</v>
      </c>
      <c r="CC49" s="198">
        <v>500.0</v>
      </c>
      <c r="CD49" s="198">
        <v>575.0</v>
      </c>
      <c r="CE49" s="198">
        <v>575.0</v>
      </c>
      <c r="CF49" s="198">
        <v>575.0</v>
      </c>
      <c r="CG49" s="198">
        <v>575.0</v>
      </c>
      <c r="CH49" s="198">
        <v>675.0</v>
      </c>
      <c r="CI49" s="198">
        <v>675.0</v>
      </c>
      <c r="CJ49" s="198">
        <v>675.0</v>
      </c>
      <c r="CK49" s="198">
        <v>675.0</v>
      </c>
      <c r="CL49" s="198">
        <v>650.0</v>
      </c>
      <c r="CM49" s="198">
        <v>650.0</v>
      </c>
      <c r="CN49" s="198">
        <v>650.0</v>
      </c>
      <c r="CO49" s="198">
        <v>650.0</v>
      </c>
      <c r="CP49" s="198">
        <v>650.0</v>
      </c>
      <c r="CQ49" s="198">
        <v>700.0</v>
      </c>
      <c r="CR49" s="198">
        <v>700.0</v>
      </c>
      <c r="CS49" s="198">
        <v>700.0</v>
      </c>
      <c r="CT49" s="198">
        <v>800.0</v>
      </c>
      <c r="CU49" s="198">
        <v>800.0</v>
      </c>
      <c r="CV49" s="198">
        <v>800.0</v>
      </c>
      <c r="CW49" s="198">
        <v>800.0</v>
      </c>
      <c r="CX49" s="198">
        <v>850.0</v>
      </c>
      <c r="CY49" s="199"/>
      <c r="CZ49" s="199"/>
      <c r="DA49" s="199"/>
      <c r="DB49" s="199"/>
      <c r="DC49" s="199"/>
      <c r="DD49" s="199"/>
      <c r="DE49" s="199"/>
      <c r="DF49" s="199"/>
      <c r="DG49" s="199"/>
      <c r="DH49" s="199"/>
      <c r="DI49" s="199"/>
      <c r="DJ49" s="199"/>
      <c r="DK49" s="199"/>
      <c r="DL49" s="199"/>
      <c r="DM49" s="199"/>
      <c r="DN49" s="199"/>
      <c r="DO49" s="199"/>
      <c r="DP49" s="199"/>
    </row>
    <row r="50" ht="18.75" customHeight="1">
      <c r="A50" s="195"/>
      <c r="B50" s="200"/>
      <c r="C50" s="200"/>
      <c r="D50" s="200"/>
      <c r="E50" s="200"/>
      <c r="F50" s="200"/>
      <c r="G50" s="200"/>
      <c r="H50" s="200"/>
      <c r="I50" s="200"/>
      <c r="J50" s="200"/>
      <c r="K50" s="200"/>
      <c r="L50" s="200"/>
      <c r="M50" s="200"/>
      <c r="N50" s="200"/>
      <c r="O50" s="108"/>
      <c r="P50" s="108"/>
      <c r="Q50" s="201" t="s">
        <v>133</v>
      </c>
      <c r="R50" s="202">
        <v>0.0</v>
      </c>
      <c r="S50" s="195"/>
      <c r="T50" s="195"/>
      <c r="U50" s="195"/>
      <c r="V50" s="195"/>
      <c r="W50" s="195"/>
      <c r="X50" s="195"/>
      <c r="Y50" s="195"/>
      <c r="Z50" s="195"/>
      <c r="AA50" s="195"/>
      <c r="AB50" s="195"/>
      <c r="AC50" s="195"/>
      <c r="AD50" s="195"/>
      <c r="AE50" s="195"/>
      <c r="AF50" s="195"/>
      <c r="AG50" s="195" t="s">
        <v>134</v>
      </c>
      <c r="AH50" s="195"/>
      <c r="AI50" s="195"/>
      <c r="AJ50" s="195"/>
      <c r="AK50" s="195"/>
      <c r="AL50" s="195"/>
      <c r="AM50" s="195"/>
      <c r="AN50" s="195"/>
      <c r="AO50" s="195"/>
      <c r="AP50" s="195"/>
      <c r="AQ50" s="195"/>
      <c r="AR50" s="195"/>
      <c r="AS50" s="195"/>
      <c r="AT50" s="195"/>
      <c r="AU50" s="195" t="s">
        <v>134</v>
      </c>
      <c r="AV50" s="195"/>
      <c r="AW50" s="195"/>
      <c r="AX50" s="195"/>
      <c r="AY50" s="195"/>
      <c r="AZ50" s="195"/>
      <c r="BA50" s="195"/>
      <c r="BB50" s="195"/>
      <c r="BC50" s="195"/>
      <c r="BD50" s="195"/>
      <c r="BE50" s="195"/>
      <c r="BF50" s="195"/>
      <c r="BG50" s="195"/>
      <c r="BH50" s="195"/>
      <c r="BI50" s="195" t="s">
        <v>134</v>
      </c>
      <c r="BJ50" s="195"/>
      <c r="BK50" s="195"/>
      <c r="BL50" s="195"/>
      <c r="BM50" s="195"/>
      <c r="BN50" s="195"/>
      <c r="BO50" s="195"/>
      <c r="BP50" s="195"/>
      <c r="BQ50" s="195"/>
      <c r="BR50" s="195"/>
      <c r="BS50" s="195"/>
      <c r="BT50" s="195"/>
      <c r="BU50" s="195"/>
      <c r="BV50" s="195"/>
      <c r="BW50" s="195" t="s">
        <v>134</v>
      </c>
      <c r="BX50" s="195"/>
      <c r="BY50" s="195"/>
      <c r="BZ50" s="195"/>
      <c r="CA50" s="195"/>
      <c r="CB50" s="195"/>
      <c r="CC50" s="195"/>
      <c r="CD50" s="195"/>
      <c r="CE50" s="195"/>
      <c r="CF50" s="195"/>
      <c r="CG50" s="195"/>
      <c r="CH50" s="195"/>
      <c r="CI50" s="195"/>
      <c r="CJ50" s="195"/>
      <c r="CK50" s="195"/>
      <c r="CL50" s="195"/>
      <c r="CM50" s="195"/>
      <c r="CN50" s="195"/>
      <c r="CO50" s="195"/>
      <c r="CP50" s="195"/>
      <c r="CQ50" s="195"/>
      <c r="CR50" s="195"/>
      <c r="CS50" s="195"/>
      <c r="CT50" s="195"/>
      <c r="CU50" s="195"/>
      <c r="CV50" s="195"/>
      <c r="CW50" s="195"/>
      <c r="CX50" s="195"/>
      <c r="CY50" s="203"/>
      <c r="CZ50" s="203"/>
      <c r="DA50" s="203"/>
      <c r="DB50" s="203"/>
      <c r="DC50" s="203"/>
      <c r="DD50" s="203"/>
      <c r="DE50" s="203"/>
      <c r="DF50" s="203"/>
      <c r="DG50" s="203"/>
      <c r="DH50" s="203"/>
      <c r="DI50" s="203"/>
      <c r="DJ50" s="203"/>
      <c r="DK50" s="203"/>
      <c r="DL50" s="203"/>
      <c r="DM50" s="203"/>
      <c r="DN50" s="203"/>
      <c r="DO50" s="203"/>
      <c r="DP50" s="203"/>
    </row>
    <row r="51" ht="18.75" customHeight="1">
      <c r="B51" s="204"/>
      <c r="C51" s="204"/>
      <c r="D51" s="205"/>
      <c r="E51" s="204"/>
      <c r="F51" s="204"/>
      <c r="G51" s="204"/>
      <c r="H51" s="204"/>
      <c r="I51" s="204"/>
      <c r="J51" s="204"/>
      <c r="K51" s="204"/>
      <c r="L51" s="204"/>
      <c r="M51" s="204"/>
      <c r="N51" s="204"/>
      <c r="O51" s="206"/>
      <c r="P51" s="206"/>
      <c r="Q51" s="207" t="s">
        <v>135</v>
      </c>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6" t="s">
        <v>136</v>
      </c>
      <c r="BX51" s="209">
        <f>Reserves!G3</f>
        <v>515033.2856</v>
      </c>
      <c r="BY51" s="209">
        <f>BX51*(1+Inflation!$J$13)</f>
        <v>532710.1768</v>
      </c>
      <c r="BZ51" s="209">
        <f>BY51*(1+Inflation!$J$13)</f>
        <v>550993.7714</v>
      </c>
      <c r="CA51" s="209">
        <f>BZ51*(1+Inflation!$J$13)</f>
        <v>569904.8927</v>
      </c>
      <c r="CB51" s="209">
        <f>CA51*(1+Inflation!$J$13)</f>
        <v>589465.0785</v>
      </c>
      <c r="CC51" s="209">
        <f>CB51*(1+Inflation!$J$13)</f>
        <v>609696.6059</v>
      </c>
      <c r="CD51" s="209">
        <f>CC51*(1+Inflation!$J$13)</f>
        <v>630622.5166</v>
      </c>
      <c r="CE51" s="209">
        <f>CD51*(1+Inflation!$J$13)</f>
        <v>652266.6431</v>
      </c>
      <c r="CF51" s="209">
        <f>CE51*(1+Inflation!$J$13)</f>
        <v>674653.6358</v>
      </c>
      <c r="CG51" s="209">
        <f>CF51*(1+Inflation!$J$13)</f>
        <v>697808.9915</v>
      </c>
      <c r="CH51" s="209">
        <f>CG51*(1+Inflation!$J$13)</f>
        <v>721759.0816</v>
      </c>
      <c r="CI51" s="209">
        <f>CH51*(1+Inflation!$J$13)</f>
        <v>746531.1829</v>
      </c>
      <c r="CJ51" s="209">
        <f>CI51*(1+Inflation!$J$13)</f>
        <v>772153.5083</v>
      </c>
      <c r="CK51" s="209">
        <f>CJ51*(1+Inflation!$J$13)</f>
        <v>798655.2392</v>
      </c>
      <c r="CL51" s="209">
        <f>CK51*(1+Inflation!$J$13)</f>
        <v>826066.5582</v>
      </c>
      <c r="CM51" s="209">
        <f>CL51*(1+Inflation!$J$13)</f>
        <v>854418.6843</v>
      </c>
      <c r="CN51" s="209">
        <f>CM51*(1+Inflation!$J$13)</f>
        <v>883743.9075</v>
      </c>
      <c r="CO51" s="209">
        <f>CN51*(1+Inflation!$J$13)</f>
        <v>914075.6265</v>
      </c>
      <c r="CP51" s="209">
        <f>CO51*(1+Inflation!$J$13)</f>
        <v>945448.3859</v>
      </c>
      <c r="CQ51" s="209">
        <f>CP51*(1+Inflation!$J$13)</f>
        <v>977897.9162</v>
      </c>
      <c r="CR51" s="209">
        <f>CQ51*(1+Inflation!$J$13)</f>
        <v>1011461.174</v>
      </c>
      <c r="CS51" s="209">
        <f>CR51*(1+Inflation!$J$13)</f>
        <v>1046176.385</v>
      </c>
      <c r="CT51" s="209">
        <f>CS51*(1+Inflation!$J$13)</f>
        <v>1082083.086</v>
      </c>
      <c r="CU51" s="209">
        <f>CT51*(1+Inflation!$J$13)</f>
        <v>1119222.171</v>
      </c>
      <c r="CV51" s="209">
        <f>CU51*(1+Inflation!$J$13)</f>
        <v>1157635.937</v>
      </c>
      <c r="CW51" s="209">
        <f>CV51*(1+Inflation!$J$13)</f>
        <v>1197368.135</v>
      </c>
      <c r="CX51" s="209">
        <f>CW51*(1+Inflation!$J$13)</f>
        <v>1238464.016</v>
      </c>
    </row>
    <row r="52">
      <c r="A52" s="210" t="s">
        <v>137</v>
      </c>
      <c r="B52" s="204"/>
      <c r="C52" s="211" t="s">
        <v>138</v>
      </c>
      <c r="D52" s="204"/>
      <c r="E52" s="204"/>
      <c r="F52" s="204"/>
      <c r="G52" s="204"/>
      <c r="H52" s="204"/>
      <c r="I52" s="204"/>
      <c r="J52" s="204"/>
      <c r="K52" s="204"/>
      <c r="L52" s="204"/>
      <c r="M52" s="204"/>
      <c r="N52" s="204"/>
      <c r="O52" s="212"/>
      <c r="P52" s="212"/>
      <c r="Q52" s="213" t="s">
        <v>139</v>
      </c>
      <c r="AE52" s="214"/>
      <c r="AF52" s="214"/>
      <c r="AG52" s="92" t="s">
        <v>140</v>
      </c>
      <c r="AU52" s="92" t="s">
        <v>141</v>
      </c>
      <c r="BI52" s="92" t="s">
        <v>142</v>
      </c>
      <c r="BW52" s="92" t="s">
        <v>143</v>
      </c>
    </row>
    <row r="53" ht="18.75" customHeight="1">
      <c r="A53" s="215"/>
      <c r="B53" s="204"/>
      <c r="C53" s="204"/>
      <c r="D53" s="205"/>
      <c r="E53" s="204"/>
      <c r="F53" s="204"/>
      <c r="G53" s="216"/>
      <c r="H53" s="204"/>
      <c r="I53" s="204"/>
      <c r="J53" s="204"/>
      <c r="K53" s="204"/>
      <c r="L53" s="204"/>
      <c r="M53" s="204"/>
      <c r="N53" s="73"/>
      <c r="O53" s="108"/>
      <c r="P53" s="75">
        <f t="shared" ref="P53:P67" si="192">N53-O53</f>
        <v>0</v>
      </c>
      <c r="Q53" s="217" t="s">
        <v>144</v>
      </c>
      <c r="V53" s="218"/>
      <c r="W53" s="218"/>
      <c r="X53" s="219">
        <v>48000.0</v>
      </c>
      <c r="Y53" s="218"/>
      <c r="Z53" s="218"/>
      <c r="AA53" s="218"/>
      <c r="AD53" s="61">
        <f t="shared" ref="AD53:AD67" si="193">SUM(R53:AC53)</f>
        <v>48000</v>
      </c>
      <c r="AE53" s="220">
        <v>48000.0</v>
      </c>
      <c r="AF53" s="221"/>
      <c r="AG53" s="217" t="s">
        <v>144</v>
      </c>
      <c r="AN53" s="219">
        <v>48000.0</v>
      </c>
      <c r="AT53" s="61">
        <f t="shared" ref="AT53:AT67" si="194">SUM(AH53:AS53)</f>
        <v>48000</v>
      </c>
      <c r="AU53" s="217" t="s">
        <v>144</v>
      </c>
      <c r="BH53" s="61">
        <f t="shared" ref="BH53:BH67" si="195">SUM(AV53:BG53)</f>
        <v>0</v>
      </c>
      <c r="BI53" s="217" t="s">
        <v>144</v>
      </c>
      <c r="BV53" s="61">
        <f t="shared" ref="BV53:BV67" si="196">SUM(BJ53:BU53)</f>
        <v>0</v>
      </c>
      <c r="BW53" s="217" t="s">
        <v>144</v>
      </c>
      <c r="BZ53" s="222">
        <f>'Project Costs'!$L$3*POWER(1+'Project Costs'!$J$1,Offset(BZ53,-50,0)-'Project Costs'!$I$1)</f>
        <v>122761.1606</v>
      </c>
      <c r="CM53" s="222">
        <f>'Project Costs'!$L$3*POWER(1+'Project Costs'!$J$1,Offset(CM53,-50,0)-'Project Costs'!$I$1)</f>
        <v>194101.0454</v>
      </c>
      <c r="CQ53" s="222"/>
    </row>
    <row r="54" ht="18.75" customHeight="1">
      <c r="A54" s="223" t="s">
        <v>145</v>
      </c>
      <c r="B54" s="204"/>
      <c r="C54" s="204"/>
      <c r="D54" s="205"/>
      <c r="E54" s="204"/>
      <c r="F54" s="204"/>
      <c r="G54" s="204"/>
      <c r="H54" s="204"/>
      <c r="I54" s="204"/>
      <c r="J54" s="204"/>
      <c r="K54" s="204"/>
      <c r="L54" s="204"/>
      <c r="M54" s="204"/>
      <c r="N54" s="73">
        <f t="shared" ref="N54:N57" si="197">SUM(B54:M54)</f>
        <v>0</v>
      </c>
      <c r="O54" s="74">
        <v>48000.0</v>
      </c>
      <c r="P54" s="75">
        <f t="shared" si="192"/>
        <v>-48000</v>
      </c>
      <c r="Q54" s="224"/>
      <c r="V54" s="218"/>
      <c r="W54" s="218"/>
      <c r="X54" s="218"/>
      <c r="Y54" s="218"/>
      <c r="Z54" s="218"/>
      <c r="AA54" s="218"/>
      <c r="AD54" s="61">
        <f t="shared" si="193"/>
        <v>0</v>
      </c>
      <c r="AE54" s="220"/>
      <c r="AF54" s="221"/>
      <c r="AG54" s="224"/>
      <c r="AT54" s="61">
        <f t="shared" si="194"/>
        <v>0</v>
      </c>
      <c r="AU54" s="224"/>
      <c r="BH54" s="61">
        <f t="shared" si="195"/>
        <v>0</v>
      </c>
      <c r="BI54" s="224"/>
      <c r="BV54" s="61">
        <f t="shared" si="196"/>
        <v>0</v>
      </c>
      <c r="BW54" s="217" t="s">
        <v>146</v>
      </c>
      <c r="CI54" s="225">
        <f>'Project Costs'!M4/3</f>
        <v>347339.8917</v>
      </c>
      <c r="CJ54" s="225">
        <f>'Project Costs'!M4/3</f>
        <v>347339.8917</v>
      </c>
      <c r="CK54" s="225">
        <f>'Project Costs'!M4/3</f>
        <v>347339.8917</v>
      </c>
      <c r="CS54" s="225"/>
      <c r="CT54" s="225"/>
      <c r="CU54" s="225"/>
      <c r="CV54" s="225"/>
      <c r="CW54" s="225"/>
    </row>
    <row r="55" ht="18.75" customHeight="1">
      <c r="A55" s="226" t="s">
        <v>147</v>
      </c>
      <c r="B55" s="204"/>
      <c r="C55" s="204"/>
      <c r="D55" s="205"/>
      <c r="E55" s="204"/>
      <c r="F55" s="204"/>
      <c r="G55" s="204"/>
      <c r="H55" s="204"/>
      <c r="I55" s="227"/>
      <c r="J55" s="204"/>
      <c r="K55" s="204"/>
      <c r="L55" s="204"/>
      <c r="M55" s="228">
        <v>5000.0</v>
      </c>
      <c r="N55" s="73">
        <f t="shared" si="197"/>
        <v>5000</v>
      </c>
      <c r="O55" s="229"/>
      <c r="P55" s="75">
        <f t="shared" si="192"/>
        <v>5000</v>
      </c>
      <c r="Q55" s="224" t="s">
        <v>148</v>
      </c>
      <c r="V55" s="230">
        <v>10000.0</v>
      </c>
      <c r="W55" s="218"/>
      <c r="X55" s="218"/>
      <c r="Y55" s="231"/>
      <c r="Z55" s="231"/>
      <c r="AA55" s="231"/>
      <c r="AD55" s="61">
        <f t="shared" si="193"/>
        <v>10000</v>
      </c>
      <c r="AE55" s="220">
        <v>10000.0</v>
      </c>
      <c r="AF55" s="232"/>
      <c r="AG55" s="226" t="s">
        <v>149</v>
      </c>
      <c r="AM55" s="233">
        <v>10000.0</v>
      </c>
      <c r="AO55" s="222"/>
      <c r="AP55" s="222"/>
      <c r="AQ55" s="222"/>
      <c r="AT55" s="61">
        <f t="shared" si="194"/>
        <v>10000</v>
      </c>
      <c r="AU55" s="226" t="s">
        <v>149</v>
      </c>
      <c r="BH55" s="61">
        <f t="shared" si="195"/>
        <v>0</v>
      </c>
      <c r="BI55" s="226" t="s">
        <v>149</v>
      </c>
      <c r="BV55" s="61">
        <f t="shared" si="196"/>
        <v>0</v>
      </c>
      <c r="BW55" s="226" t="s">
        <v>149</v>
      </c>
      <c r="CN55" s="222">
        <f>('Project Costs'!$L$10*POWER(1+'Project Costs'!$J$1,Offset(CN55,-54,0)-'Project Costs'!$I$1))*25/76</f>
        <v>0</v>
      </c>
      <c r="CO55" s="222">
        <f>('Project Costs'!$L$10*POWER(1+'Project Costs'!$J$1,Offset(CO55,-54,0)-'Project Costs'!$I$1))*25/76</f>
        <v>0</v>
      </c>
      <c r="CQ55" s="222">
        <f>('Project Costs'!$L$10*POWER(1+'Project Costs'!$J$1,Offset(CQ55,-54,0)-'Project Costs'!$I$1))*26/76</f>
        <v>0</v>
      </c>
    </row>
    <row r="56" ht="18.75" customHeight="1">
      <c r="A56" s="234" t="s">
        <v>150</v>
      </c>
      <c r="B56" s="204"/>
      <c r="C56" s="204"/>
      <c r="D56" s="205"/>
      <c r="E56" s="204"/>
      <c r="F56" s="204"/>
      <c r="G56" s="204"/>
      <c r="H56" s="204"/>
      <c r="I56" s="204"/>
      <c r="J56" s="227"/>
      <c r="K56" s="204"/>
      <c r="L56" s="204"/>
      <c r="M56" s="227">
        <f>(('Project Costs'!$L$9*POWER(1+'Project Costs'!$J$1,Offset(M56,-53,0)-'Project Costs'!$I$1))*8/76)+(('Project Costs'!$L$10*POWER(1+'Project Costs'!$J$1,Offset(I55,-54,0)-'Project Costs'!$I$1))*25/76)</f>
        <v>6627.266494</v>
      </c>
      <c r="N56" s="73">
        <f t="shared" si="197"/>
        <v>6627.266494</v>
      </c>
      <c r="O56" s="229">
        <v>120000.0</v>
      </c>
      <c r="P56" s="75">
        <f t="shared" si="192"/>
        <v>-113372.7335</v>
      </c>
      <c r="Q56" s="224" t="s">
        <v>151</v>
      </c>
      <c r="V56" s="218"/>
      <c r="Y56" s="231">
        <f t="shared" ref="Y56:Z56" si="198">$AE$56*(25/76)</f>
        <v>17877.63158</v>
      </c>
      <c r="Z56" s="231">
        <f t="shared" si="198"/>
        <v>17877.63158</v>
      </c>
      <c r="AA56" s="231">
        <f>$AE$56*(26/76)</f>
        <v>18592.73684</v>
      </c>
      <c r="AD56" s="235">
        <f t="shared" si="193"/>
        <v>54348</v>
      </c>
      <c r="AE56" s="220">
        <v>54348.0</v>
      </c>
      <c r="AF56" s="232"/>
      <c r="AG56" s="234" t="s">
        <v>150</v>
      </c>
      <c r="AO56" s="222"/>
      <c r="AP56" s="222"/>
      <c r="AQ56" s="222"/>
      <c r="AT56" s="61">
        <f t="shared" si="194"/>
        <v>0</v>
      </c>
      <c r="AU56" s="234" t="s">
        <v>150</v>
      </c>
      <c r="BH56" s="61">
        <f t="shared" si="195"/>
        <v>0</v>
      </c>
      <c r="BI56" s="234" t="s">
        <v>150</v>
      </c>
      <c r="BV56" s="61">
        <f t="shared" si="196"/>
        <v>0</v>
      </c>
      <c r="BW56" s="234" t="s">
        <v>150</v>
      </c>
      <c r="CN56" s="222">
        <f>('Project Costs'!$L$9*POWER(1+'Project Costs'!$J$1,Offset(CN56,-53,0)-'Project Costs'!$I$1))*25/76</f>
        <v>43410.27208</v>
      </c>
      <c r="CO56" s="222">
        <f>('Project Costs'!$L$9*POWER(1+'Project Costs'!$J$1,Offset(CO56,-53,0)-'Project Costs'!$I$1))*25/76</f>
        <v>44967.38712</v>
      </c>
      <c r="CQ56" s="222">
        <f>('Project Costs'!$L$9*POWER(1+'Project Costs'!$J$1,Offset(CQ56,-53,0)-'Project Costs'!$I$1))*26/76</f>
        <v>50181.22779</v>
      </c>
    </row>
    <row r="57" ht="18.75" customHeight="1">
      <c r="A57" s="223" t="s">
        <v>152</v>
      </c>
      <c r="B57" s="204"/>
      <c r="C57" s="204"/>
      <c r="D57" s="236"/>
      <c r="E57" s="204"/>
      <c r="F57" s="204"/>
      <c r="G57" s="204"/>
      <c r="H57" s="204"/>
      <c r="I57" s="204"/>
      <c r="J57" s="204"/>
      <c r="K57" s="204"/>
      <c r="L57" s="204"/>
      <c r="M57" s="228">
        <v>0.0</v>
      </c>
      <c r="N57" s="73">
        <f t="shared" si="197"/>
        <v>0</v>
      </c>
      <c r="O57" s="237">
        <v>120000.0</v>
      </c>
      <c r="P57" s="75">
        <f t="shared" si="192"/>
        <v>-120000</v>
      </c>
      <c r="Q57" s="217" t="s">
        <v>153</v>
      </c>
      <c r="V57" s="218"/>
      <c r="X57" s="231"/>
      <c r="Y57" s="231">
        <f>$AE57*(4/14)</f>
        <v>18524.28571</v>
      </c>
      <c r="Z57" s="231">
        <f t="shared" ref="Z57:AA57" si="199">$AE57*(5/14)</f>
        <v>23155.35714</v>
      </c>
      <c r="AA57" s="231">
        <f t="shared" si="199"/>
        <v>23155.35714</v>
      </c>
      <c r="AD57" s="235">
        <f t="shared" si="193"/>
        <v>64835</v>
      </c>
      <c r="AE57" s="220">
        <v>64835.0</v>
      </c>
      <c r="AF57" s="224"/>
      <c r="AG57" s="224"/>
      <c r="AO57" s="222"/>
      <c r="AT57" s="61">
        <f t="shared" si="194"/>
        <v>0</v>
      </c>
      <c r="AU57" s="224"/>
      <c r="BH57" s="61">
        <f t="shared" si="195"/>
        <v>0</v>
      </c>
      <c r="BI57" s="224"/>
      <c r="BV57" s="61">
        <f t="shared" si="196"/>
        <v>0</v>
      </c>
      <c r="BW57" s="238" t="s">
        <v>154</v>
      </c>
    </row>
    <row r="58" ht="18.75" customHeight="1">
      <c r="A58" s="234" t="s">
        <v>155</v>
      </c>
      <c r="B58" s="239">
        <v>27685.0</v>
      </c>
      <c r="C58" s="204"/>
      <c r="D58" s="239">
        <v>25659.5</v>
      </c>
      <c r="E58" s="204"/>
      <c r="F58" s="204"/>
      <c r="G58" s="216"/>
      <c r="H58" s="239">
        <v>155514.0</v>
      </c>
      <c r="I58" s="239">
        <v>54994.0</v>
      </c>
      <c r="J58" s="204"/>
      <c r="K58" s="204"/>
      <c r="L58" s="228"/>
      <c r="M58" s="240"/>
      <c r="N58" s="241">
        <f>236620+B58</f>
        <v>264305</v>
      </c>
      <c r="O58" s="237">
        <v>325000.0</v>
      </c>
      <c r="P58" s="75">
        <f t="shared" si="192"/>
        <v>-60695</v>
      </c>
      <c r="Q58" s="217" t="s">
        <v>156</v>
      </c>
      <c r="V58" s="242"/>
      <c r="X58" s="230">
        <f t="shared" ref="X58:Y58" si="200">$AE58*(3/14)</f>
        <v>24363.64286</v>
      </c>
      <c r="Y58" s="230">
        <f t="shared" si="200"/>
        <v>24363.64286</v>
      </c>
      <c r="Z58" s="230">
        <f t="shared" ref="Z58:AA58" si="201">$AE58*(4/14)</f>
        <v>32484.85714</v>
      </c>
      <c r="AA58" s="230">
        <f t="shared" si="201"/>
        <v>32484.85714</v>
      </c>
      <c r="AD58" s="235">
        <f t="shared" si="193"/>
        <v>113697</v>
      </c>
      <c r="AE58" s="220">
        <v>113697.0</v>
      </c>
      <c r="AF58" s="243"/>
      <c r="AG58" s="217" t="s">
        <v>157</v>
      </c>
      <c r="AM58" s="222"/>
      <c r="AN58" s="230"/>
      <c r="AT58" s="61">
        <f t="shared" si="194"/>
        <v>0</v>
      </c>
      <c r="AU58" s="244" t="s">
        <v>157</v>
      </c>
      <c r="BB58" s="230"/>
      <c r="BH58" s="61">
        <f t="shared" si="195"/>
        <v>0</v>
      </c>
      <c r="BI58" s="224"/>
      <c r="BP58" s="222"/>
      <c r="BV58" s="61">
        <f t="shared" si="196"/>
        <v>0</v>
      </c>
      <c r="BW58" s="245" t="s">
        <v>158</v>
      </c>
      <c r="CR58" s="222">
        <f>(('Project Costs'!$L$11)*POWER(1+'Project Costs'!$J$1,Offset(CR58,-55,0)-'Project Costs'!$I$1))*(9/26)</f>
        <v>192949.9167</v>
      </c>
      <c r="CS58" s="222">
        <f>(('Project Costs'!$L$11)*POWER(1+'Project Costs'!$J$1,Offset(CS58,-55,0)-'Project Costs'!$I$1))*(9/26)</f>
        <v>199870.9794</v>
      </c>
      <c r="CT58" s="222">
        <f>(('Project Costs'!$L$11)*POWER(1+'Project Costs'!$J$1,Offset(CT58,-55,0)-'Project Costs'!$I$1))*(8/26)</f>
        <v>184035.8212</v>
      </c>
    </row>
    <row r="59" ht="18.75" customHeight="1">
      <c r="A59" s="246" t="s">
        <v>159</v>
      </c>
      <c r="B59" s="204"/>
      <c r="C59" s="204"/>
      <c r="D59" s="205"/>
      <c r="E59" s="204"/>
      <c r="F59" s="247"/>
      <c r="G59" s="204"/>
      <c r="H59" s="204"/>
      <c r="I59" s="204"/>
      <c r="J59" s="204"/>
      <c r="K59" s="204"/>
      <c r="L59" s="204"/>
      <c r="M59" s="204"/>
      <c r="N59" s="73">
        <f t="shared" ref="N59:N60" si="202">SUM(B59:M59)</f>
        <v>0</v>
      </c>
      <c r="O59" s="248">
        <v>0.0</v>
      </c>
      <c r="P59" s="75">
        <f t="shared" si="192"/>
        <v>0</v>
      </c>
      <c r="Q59" s="224" t="s">
        <v>159</v>
      </c>
      <c r="V59" s="231"/>
      <c r="W59" s="218"/>
      <c r="X59" s="218"/>
      <c r="Y59" s="218"/>
      <c r="Z59" s="218"/>
      <c r="AA59" s="218"/>
      <c r="AD59" s="61">
        <f t="shared" si="193"/>
        <v>0</v>
      </c>
      <c r="AE59" s="220"/>
      <c r="AF59" s="203"/>
      <c r="AG59" s="203" t="s">
        <v>159</v>
      </c>
      <c r="AL59" s="222"/>
      <c r="AT59" s="61">
        <f t="shared" si="194"/>
        <v>0</v>
      </c>
      <c r="AU59" s="203" t="s">
        <v>159</v>
      </c>
      <c r="AZ59" s="222"/>
      <c r="BH59" s="61">
        <f t="shared" si="195"/>
        <v>0</v>
      </c>
      <c r="BI59" s="203" t="s">
        <v>159</v>
      </c>
      <c r="BN59" s="222"/>
      <c r="BV59" s="61">
        <f t="shared" si="196"/>
        <v>0</v>
      </c>
      <c r="BW59" s="203" t="s">
        <v>159</v>
      </c>
      <c r="BX59" s="222"/>
      <c r="BY59" s="249">
        <v>0.0</v>
      </c>
      <c r="BZ59" s="249">
        <v>0.0</v>
      </c>
      <c r="CA59" s="249">
        <v>0.0</v>
      </c>
      <c r="CB59" s="249">
        <v>0.0</v>
      </c>
      <c r="CC59" s="249">
        <v>0.0</v>
      </c>
      <c r="CD59" s="249">
        <v>0.0</v>
      </c>
      <c r="CE59" s="249">
        <v>0.0</v>
      </c>
      <c r="CF59" s="249">
        <v>0.0</v>
      </c>
      <c r="CG59" s="249">
        <v>0.0</v>
      </c>
      <c r="CH59" s="249">
        <v>0.0</v>
      </c>
      <c r="CI59" s="249">
        <v>0.0</v>
      </c>
      <c r="CJ59" s="249">
        <v>0.0</v>
      </c>
      <c r="CK59" s="249">
        <v>0.0</v>
      </c>
      <c r="CL59" s="249">
        <v>0.0</v>
      </c>
      <c r="CM59" s="249">
        <v>0.0</v>
      </c>
      <c r="CN59" s="249">
        <v>0.0</v>
      </c>
      <c r="CO59" s="249">
        <v>0.0</v>
      </c>
      <c r="CP59" s="249">
        <v>0.0</v>
      </c>
      <c r="CQ59" s="249">
        <v>0.0</v>
      </c>
      <c r="CR59" s="249">
        <v>0.0</v>
      </c>
      <c r="CS59" s="249">
        <v>0.0</v>
      </c>
      <c r="CT59" s="249">
        <v>0.0</v>
      </c>
      <c r="CU59" s="249">
        <v>0.0</v>
      </c>
      <c r="CV59" s="249">
        <v>0.0</v>
      </c>
      <c r="CW59" s="249">
        <v>0.0</v>
      </c>
      <c r="CX59" s="249">
        <v>0.0</v>
      </c>
    </row>
    <row r="60" ht="18.75" customHeight="1">
      <c r="A60" s="250" t="s">
        <v>160</v>
      </c>
      <c r="B60" s="204"/>
      <c r="C60" s="204"/>
      <c r="D60" s="205"/>
      <c r="E60" s="204"/>
      <c r="F60" s="204"/>
      <c r="G60" s="204"/>
      <c r="H60" s="204"/>
      <c r="I60" s="204"/>
      <c r="J60" s="204"/>
      <c r="K60" s="204"/>
      <c r="L60" s="251">
        <v>137937.0</v>
      </c>
      <c r="M60" s="204"/>
      <c r="N60" s="73">
        <f t="shared" si="202"/>
        <v>137937</v>
      </c>
      <c r="O60" s="252">
        <v>0.0</v>
      </c>
      <c r="P60" s="75">
        <f t="shared" si="192"/>
        <v>137937</v>
      </c>
      <c r="Q60" s="224" t="s">
        <v>161</v>
      </c>
      <c r="V60" s="218"/>
      <c r="W60" s="218"/>
      <c r="X60" s="218"/>
      <c r="Y60" s="230"/>
      <c r="Z60" s="230"/>
      <c r="AA60" s="230"/>
      <c r="AD60" s="61">
        <f t="shared" si="193"/>
        <v>0</v>
      </c>
      <c r="AE60" s="220"/>
      <c r="AF60" s="224"/>
      <c r="AG60" s="224"/>
      <c r="AT60" s="61">
        <f t="shared" si="194"/>
        <v>0</v>
      </c>
      <c r="AU60" s="224"/>
      <c r="BH60" s="61">
        <f t="shared" si="195"/>
        <v>0</v>
      </c>
      <c r="BI60" s="224"/>
      <c r="BV60" s="61">
        <f t="shared" si="196"/>
        <v>0</v>
      </c>
      <c r="BW60" s="238" t="s">
        <v>161</v>
      </c>
      <c r="CR60" s="222"/>
      <c r="CS60" s="222">
        <f>('Project Costs'!$L$13*POWER(1+'Project Costs'!$J$1,Offset(CS60,-57,0)-'Project Costs'!$I$1))*(5/7)</f>
        <v>151018.4424</v>
      </c>
      <c r="CT60" s="222">
        <f>('Project Costs'!$L$13*POWER(1+'Project Costs'!$J$1,Offset(CT60,-57,0)-'Project Costs'!$I$1))*(5/7)</f>
        <v>156435.4342</v>
      </c>
    </row>
    <row r="61" ht="18.75" customHeight="1">
      <c r="A61" s="215"/>
      <c r="B61" s="204"/>
      <c r="C61" s="204"/>
      <c r="D61" s="205"/>
      <c r="E61" s="204"/>
      <c r="F61" s="204"/>
      <c r="G61" s="204"/>
      <c r="H61" s="204"/>
      <c r="I61" s="204"/>
      <c r="J61" s="204"/>
      <c r="K61" s="204"/>
      <c r="L61" s="204"/>
      <c r="M61" s="204"/>
      <c r="N61" s="73"/>
      <c r="O61" s="108"/>
      <c r="P61" s="75">
        <f t="shared" si="192"/>
        <v>0</v>
      </c>
      <c r="Q61" s="217" t="s">
        <v>162</v>
      </c>
      <c r="V61" s="218"/>
      <c r="W61" s="218"/>
      <c r="X61" s="218"/>
      <c r="Y61" s="218"/>
      <c r="Z61" s="218"/>
      <c r="AA61" s="218"/>
      <c r="AD61" s="61">
        <f t="shared" si="193"/>
        <v>0</v>
      </c>
      <c r="AE61" s="220"/>
      <c r="AF61" s="224"/>
      <c r="AG61" s="224"/>
      <c r="AT61" s="61">
        <f t="shared" si="194"/>
        <v>0</v>
      </c>
      <c r="AU61" s="253"/>
      <c r="BH61" s="61">
        <f t="shared" si="195"/>
        <v>0</v>
      </c>
      <c r="BI61" s="224"/>
      <c r="BQ61" s="222"/>
      <c r="BV61" s="61">
        <f t="shared" si="196"/>
        <v>0</v>
      </c>
      <c r="BW61" s="254" t="s">
        <v>162</v>
      </c>
      <c r="CR61" s="222">
        <f>('Project Costs'!$L$14*POWER(1+'Project Costs'!$J$1,Offset(CR61,-58,0)-'Project Costs'!$I$1))*(4/14)</f>
        <v>127653.4963</v>
      </c>
      <c r="CS61" s="222">
        <f>('Project Costs'!$L$14*POWER(1+'Project Costs'!$J$1,Offset(CQ59,-56,0)-'Project Costs'!$I$1))*(5/14)</f>
        <v>154041.4443</v>
      </c>
      <c r="CT61" s="222">
        <f>('Project Costs'!$L$14*POWER(1+'Project Costs'!$J$1,Offset(CR59,-56,0)-'Project Costs'!$I$1))*(5/14)</f>
        <v>159566.8704</v>
      </c>
    </row>
    <row r="62" ht="18.75" customHeight="1">
      <c r="A62" s="255" t="s">
        <v>163</v>
      </c>
      <c r="B62" s="204"/>
      <c r="C62" s="204"/>
      <c r="D62" s="205"/>
      <c r="E62" s="204"/>
      <c r="F62" s="204"/>
      <c r="G62" s="204"/>
      <c r="H62" s="204"/>
      <c r="I62" s="204"/>
      <c r="J62" s="256"/>
      <c r="K62" s="251">
        <v>18259.0</v>
      </c>
      <c r="L62" s="204"/>
      <c r="M62" s="257">
        <v>18500.0</v>
      </c>
      <c r="N62" s="73">
        <f>SUM(B62:M62)</f>
        <v>36759</v>
      </c>
      <c r="O62" s="248">
        <v>35000.0</v>
      </c>
      <c r="P62" s="75">
        <f t="shared" si="192"/>
        <v>1759</v>
      </c>
      <c r="Q62" s="217" t="s">
        <v>164</v>
      </c>
      <c r="V62" s="218"/>
      <c r="W62" s="230">
        <v>187035.0</v>
      </c>
      <c r="X62" s="218"/>
      <c r="Y62" s="218"/>
      <c r="Z62" s="218"/>
      <c r="AA62" s="218"/>
      <c r="AD62" s="61">
        <f t="shared" si="193"/>
        <v>187035</v>
      </c>
      <c r="AE62" s="220">
        <v>187035.0</v>
      </c>
      <c r="AF62" s="224"/>
      <c r="AG62" s="254" t="s">
        <v>165</v>
      </c>
      <c r="AL62" s="258"/>
      <c r="AM62" s="222">
        <f>(('Project Costs'!$L$15+'Project Costs'!$L$16)*POWER(1+'Project Costs'!$J$1,Offset(AM62,-59,0)-'Project Costs'!$I$1))*(4/12)</f>
        <v>146810.5995</v>
      </c>
      <c r="AP62" s="258"/>
      <c r="AT62" s="61">
        <f t="shared" si="194"/>
        <v>146810.5995</v>
      </c>
      <c r="AU62" s="254" t="s">
        <v>165</v>
      </c>
      <c r="AZ62" s="222">
        <f>(('Project Costs'!$L$15+'Project Costs'!$L$16)*POWER(1+'Project Costs'!$J$1,Offset(AZ62,-59,0)-'Project Costs'!$I$1))*(4/12)</f>
        <v>152076.6571</v>
      </c>
      <c r="BH62" s="61">
        <f t="shared" si="195"/>
        <v>152076.6571</v>
      </c>
      <c r="BI62" s="238" t="s">
        <v>166</v>
      </c>
      <c r="BO62" s="222"/>
      <c r="BV62" s="61">
        <f t="shared" si="196"/>
        <v>0</v>
      </c>
      <c r="BW62" s="238" t="s">
        <v>166</v>
      </c>
      <c r="CG62" s="222">
        <f>(('Project Costs'!$L$15+'Project Costs'!$L$16)*POWER(1+'Project Costs'!$J$1,Offset(CG62,-59,0)-'Project Costs'!$I$1))*(4/14)</f>
        <v>192075.6742</v>
      </c>
      <c r="CH62" s="222">
        <f>(('Project Costs'!$L$15+'Project Costs'!$L$16)*POWER(1+'Project Costs'!$J$1,Offset(CH62,-59,0)-'Project Costs'!$I$1))*(4/14)</f>
        <v>198965.3781</v>
      </c>
      <c r="CI62" s="222">
        <f>(('Project Costs'!$L$15+'Project Costs'!$L$16)*POWER(1+'Project Costs'!$J$1,Offset(CI62,-59,0)-'Project Costs'!$I$1))*(4/14)</f>
        <v>206102.2139</v>
      </c>
      <c r="CJ62" s="222">
        <f>(('Project Costs'!$L$15+'Project Costs'!$L$16)*POWER(1+'Project Costs'!$J$1,Offset(CJ62,-59,0)-'Project Costs'!$I$1))*(1/14)</f>
        <v>53373.76153</v>
      </c>
      <c r="CK62" s="222"/>
      <c r="CL62" s="222"/>
      <c r="CM62" s="222"/>
    </row>
    <row r="63" ht="18.75" customHeight="1">
      <c r="A63" s="246"/>
      <c r="B63" s="204"/>
      <c r="C63" s="204"/>
      <c r="D63" s="205"/>
      <c r="E63" s="204"/>
      <c r="F63" s="204"/>
      <c r="G63" s="204"/>
      <c r="H63" s="204"/>
      <c r="I63" s="204"/>
      <c r="J63" s="204"/>
      <c r="K63" s="204"/>
      <c r="L63" s="204"/>
      <c r="M63" s="204"/>
      <c r="N63" s="73"/>
      <c r="O63" s="108"/>
      <c r="P63" s="75">
        <f t="shared" si="192"/>
        <v>0</v>
      </c>
      <c r="Q63" s="217" t="s">
        <v>167</v>
      </c>
      <c r="V63" s="218"/>
      <c r="W63" s="218"/>
      <c r="X63" s="218"/>
      <c r="Y63" s="218"/>
      <c r="Z63" s="230"/>
      <c r="AA63" s="218"/>
      <c r="AD63" s="61">
        <f t="shared" si="193"/>
        <v>0</v>
      </c>
      <c r="AE63" s="220">
        <v>0.0</v>
      </c>
      <c r="AF63" s="203"/>
      <c r="AG63" s="203" t="s">
        <v>167</v>
      </c>
      <c r="AT63" s="61">
        <f t="shared" si="194"/>
        <v>0</v>
      </c>
      <c r="AU63" s="203" t="s">
        <v>167</v>
      </c>
      <c r="BD63" s="222">
        <f>('Project Costs'!$L$17*POWER(1+'Project Costs'!$J$1,Offset(BD63,-60,0)-'Project Costs'!$I$1))</f>
        <v>5471.970912</v>
      </c>
      <c r="BH63" s="61">
        <f t="shared" si="195"/>
        <v>5471.970912</v>
      </c>
      <c r="BI63" s="203" t="s">
        <v>167</v>
      </c>
      <c r="BV63" s="61">
        <f t="shared" si="196"/>
        <v>0</v>
      </c>
      <c r="BW63" s="203" t="s">
        <v>167</v>
      </c>
      <c r="BX63" s="222">
        <f>('Project Costs'!$L$17*POWER(1+'Project Costs'!$J$1,Offset(BX63,-60,0)-'Project Costs'!$I$1))</f>
        <v>5871.567672</v>
      </c>
      <c r="BY63" s="222">
        <f>('Project Costs'!$L$17*POWER(1+'Project Costs'!$J$1,Offset(BY63,-60,0)-'Project Costs'!$I$1))</f>
        <v>6082.17926</v>
      </c>
      <c r="BZ63" s="222">
        <f>('Project Costs'!$L$17*POWER(1+'Project Costs'!$J$1,Offset(BZ63,-60,0)-'Project Costs'!$I$1))</f>
        <v>6300.345431</v>
      </c>
      <c r="CA63" s="222">
        <f>('Project Costs'!$L$17*POWER(1+'Project Costs'!$J$1,Offset(CA63,-60,0)-'Project Costs'!$I$1))</f>
        <v>6526.337164</v>
      </c>
      <c r="CB63" s="222">
        <f>('Project Costs'!$L$17*POWER(1+'Project Costs'!$J$1,Offset(CB63,-60,0)-'Project Costs'!$I$1))</f>
        <v>6760.435162</v>
      </c>
      <c r="CC63" s="222">
        <f>('Project Costs'!$L$17*POWER(1+'Project Costs'!$J$1,Offset(CC63,-60,0)-'Project Costs'!$I$1))</f>
        <v>7002.930193</v>
      </c>
      <c r="CD63" s="222">
        <f>('Project Costs'!$L$17*POWER(1+'Project Costs'!$J$1,Offset(CD63,-60,0)-'Project Costs'!$I$1))</f>
        <v>7254.123457</v>
      </c>
      <c r="CE63" s="222">
        <f>('Project Costs'!$L$17*POWER(1+'Project Costs'!$J$1,Offset(CE63,-60,0)-'Project Costs'!$I$1))</f>
        <v>7514.326958</v>
      </c>
      <c r="CF63" s="222">
        <f>('Project Costs'!$L$17*POWER(1+'Project Costs'!$J$1,Offset(CF63,-60,0)-'Project Costs'!$I$1))</f>
        <v>7783.863889</v>
      </c>
      <c r="CG63" s="222">
        <f>('Project Costs'!$L$17*POWER(1+'Project Costs'!$J$1,Offset(CG63,-60,0)-'Project Costs'!$I$1))</f>
        <v>8063.06904</v>
      </c>
      <c r="CH63" s="222">
        <f>('Project Costs'!$L$17*POWER(1+'Project Costs'!$J$1,Offset(CH63,-60,0)-'Project Costs'!$I$1))</f>
        <v>8352.289205</v>
      </c>
      <c r="CI63" s="222">
        <f>('Project Costs'!$L$17*POWER(1+'Project Costs'!$J$1,Offset(CI63,-60,0)-'Project Costs'!$I$1))</f>
        <v>8651.883622</v>
      </c>
      <c r="CJ63" s="222">
        <f>('Project Costs'!$L$17*POWER(1+'Project Costs'!$J$1,Offset(CJ63,-60,0)-'Project Costs'!$I$1))</f>
        <v>8962.224412</v>
      </c>
      <c r="CK63" s="222">
        <f>('Project Costs'!$L$17*POWER(1+'Project Costs'!$J$1,Offset(CK63,-60,0)-'Project Costs'!$I$1))</f>
        <v>9283.697045</v>
      </c>
      <c r="CL63" s="222">
        <f>('Project Costs'!$L$17*POWER(1+'Project Costs'!$J$1,Offset(CL63,-60,0)-'Project Costs'!$I$1))</f>
        <v>9616.700816</v>
      </c>
      <c r="CM63" s="222">
        <f>('Project Costs'!$L$17*POWER(1+'Project Costs'!$J$1,Offset(CM63,-60,0)-'Project Costs'!$I$1))</f>
        <v>9961.649345</v>
      </c>
      <c r="CN63" s="222">
        <f>('Project Costs'!$L$17*POWER(1+'Project Costs'!$J$1,Offset(CN63,-60,0)-'Project Costs'!$I$1))</f>
        <v>10318.97109</v>
      </c>
      <c r="CO63" s="222">
        <f>('Project Costs'!$L$17*POWER(1+'Project Costs'!$J$1,Offset(CO63,-60,0)-'Project Costs'!$I$1))</f>
        <v>10689.10987</v>
      </c>
      <c r="CP63" s="222">
        <f>('Project Costs'!$L$17*POWER(1+'Project Costs'!$J$1,Offset(CP63,-60,0)-'Project Costs'!$I$1))</f>
        <v>11072.52543</v>
      </c>
      <c r="CQ63" s="222">
        <f>('Project Costs'!$L$17*POWER(1+'Project Costs'!$J$1,Offset(CQ63,-60,0)-'Project Costs'!$I$1))</f>
        <v>11469.694</v>
      </c>
      <c r="CR63" s="222">
        <f>('Project Costs'!$L$17*POWER(1+'Project Costs'!$J$1,Offset(CR63,-60,0)-'Project Costs'!$I$1))</f>
        <v>11881.10891</v>
      </c>
      <c r="CS63" s="222">
        <f>('Project Costs'!$L$17*POWER(1+'Project Costs'!$J$1,Offset(CS63,-60,0)-'Project Costs'!$I$1))</f>
        <v>12307.28116</v>
      </c>
      <c r="CT63" s="222">
        <f>('Project Costs'!$L$17*POWER(1+'Project Costs'!$J$1,Offset(CT63,-60,0)-'Project Costs'!$I$1))</f>
        <v>12748.7401</v>
      </c>
      <c r="CU63" s="222">
        <f>('Project Costs'!$L$17*POWER(1+'Project Costs'!$J$1,Offset(CU63,-60,0)-'Project Costs'!$I$1))</f>
        <v>13206.03405</v>
      </c>
      <c r="CV63" s="222">
        <f>('Project Costs'!$L$17*POWER(1+'Project Costs'!$J$1,Offset(CV63,-60,0)-'Project Costs'!$I$1))</f>
        <v>13679.73102</v>
      </c>
      <c r="CW63" s="222">
        <f>('Project Costs'!$L$17*POWER(1+'Project Costs'!$J$1,Offset(CW63,-60,0)-'Project Costs'!$I$1))</f>
        <v>14170.41937</v>
      </c>
      <c r="CX63" s="222">
        <f>('Project Costs'!$L$17*POWER(1+'Project Costs'!$J$1,Offset(CX63,-60,0)-'Project Costs'!$I$1))</f>
        <v>14678.70859</v>
      </c>
    </row>
    <row r="64" ht="18.75" customHeight="1">
      <c r="A64" s="246"/>
      <c r="B64" s="204"/>
      <c r="C64" s="204"/>
      <c r="D64" s="205"/>
      <c r="E64" s="204"/>
      <c r="F64" s="204"/>
      <c r="G64" s="204"/>
      <c r="H64" s="204"/>
      <c r="I64" s="204"/>
      <c r="J64" s="204"/>
      <c r="K64" s="204"/>
      <c r="L64" s="204"/>
      <c r="M64" s="204"/>
      <c r="N64" s="73"/>
      <c r="O64" s="108"/>
      <c r="P64" s="75">
        <f t="shared" si="192"/>
        <v>0</v>
      </c>
      <c r="Q64" s="217" t="s">
        <v>168</v>
      </c>
      <c r="V64" s="218"/>
      <c r="W64" s="218"/>
      <c r="X64" s="230">
        <v>17620.0</v>
      </c>
      <c r="Y64" s="218"/>
      <c r="Z64" s="218"/>
      <c r="AA64" s="218"/>
      <c r="AD64" s="61">
        <f t="shared" si="193"/>
        <v>17620</v>
      </c>
      <c r="AE64" s="259">
        <v>17620.0</v>
      </c>
      <c r="AF64" s="203"/>
      <c r="AG64" s="203"/>
      <c r="AT64" s="61">
        <f t="shared" si="194"/>
        <v>0</v>
      </c>
      <c r="AU64" s="203"/>
      <c r="BH64" s="61">
        <f t="shared" si="195"/>
        <v>0</v>
      </c>
      <c r="BI64" s="203"/>
      <c r="BV64" s="61">
        <f t="shared" si="196"/>
        <v>0</v>
      </c>
      <c r="BW64" s="203" t="s">
        <v>169</v>
      </c>
      <c r="CB64" s="231"/>
      <c r="CF64" s="260"/>
      <c r="CK64" s="222">
        <f>'Project Costs'!$L$18*POWER(1+'Project Costs'!$J$1,Offset(CK64,-61,0)-'Project Costs'!$I$1)</f>
        <v>42624.87165</v>
      </c>
      <c r="CL64" s="231"/>
    </row>
    <row r="65" ht="18.75" customHeight="1">
      <c r="A65" s="261" t="s">
        <v>170</v>
      </c>
      <c r="B65" s="262"/>
      <c r="C65" s="263"/>
      <c r="D65" s="264"/>
      <c r="E65" s="263"/>
      <c r="F65" s="263"/>
      <c r="G65" s="263"/>
      <c r="H65" s="239">
        <v>594.0</v>
      </c>
      <c r="I65" s="239">
        <v>252.0</v>
      </c>
      <c r="J65" s="265"/>
      <c r="K65" s="251">
        <v>2179.0</v>
      </c>
      <c r="L65" s="265"/>
      <c r="M65" s="265"/>
      <c r="N65" s="73">
        <f>SUM(B65:M65)</f>
        <v>3025</v>
      </c>
      <c r="O65" s="266">
        <v>0.0</v>
      </c>
      <c r="P65" s="75">
        <f t="shared" si="192"/>
        <v>3025</v>
      </c>
      <c r="Q65" s="267" t="s">
        <v>171</v>
      </c>
      <c r="R65" s="268"/>
      <c r="S65" s="269"/>
      <c r="T65" s="269"/>
      <c r="U65" s="269"/>
      <c r="V65" s="269"/>
      <c r="W65" s="269"/>
      <c r="X65" s="269"/>
      <c r="Y65" s="270">
        <v>5810.0</v>
      </c>
      <c r="Z65" s="269"/>
      <c r="AA65" s="269"/>
      <c r="AB65" s="269"/>
      <c r="AC65" s="269"/>
      <c r="AD65" s="61">
        <f t="shared" si="193"/>
        <v>5810</v>
      </c>
      <c r="AE65" s="259">
        <v>5810.0</v>
      </c>
      <c r="AF65" s="271"/>
      <c r="AG65" s="271"/>
      <c r="AH65" s="272"/>
      <c r="AI65" s="273"/>
      <c r="AJ65" s="273"/>
      <c r="AK65" s="273"/>
      <c r="AL65" s="273"/>
      <c r="AM65" s="273"/>
      <c r="AN65" s="273"/>
      <c r="AO65" s="273"/>
      <c r="AP65" s="273"/>
      <c r="AQ65" s="273"/>
      <c r="AR65" s="273"/>
      <c r="AS65" s="273"/>
      <c r="AT65" s="61">
        <f t="shared" si="194"/>
        <v>0</v>
      </c>
      <c r="AU65" s="271"/>
      <c r="AV65" s="272"/>
      <c r="AW65" s="273"/>
      <c r="AX65" s="273"/>
      <c r="AY65" s="273"/>
      <c r="AZ65" s="273"/>
      <c r="BA65" s="273"/>
      <c r="BB65" s="273"/>
      <c r="BC65" s="273"/>
      <c r="BD65" s="273"/>
      <c r="BE65" s="273"/>
      <c r="BF65" s="273"/>
      <c r="BG65" s="273"/>
      <c r="BH65" s="61">
        <f t="shared" si="195"/>
        <v>0</v>
      </c>
      <c r="BI65" s="271"/>
      <c r="BJ65" s="272"/>
      <c r="BK65" s="273"/>
      <c r="BL65" s="273"/>
      <c r="BM65" s="273"/>
      <c r="BN65" s="273"/>
      <c r="BO65" s="273"/>
      <c r="BP65" s="273"/>
      <c r="BQ65" s="273"/>
      <c r="BR65" s="273"/>
      <c r="BS65" s="273"/>
      <c r="BT65" s="273"/>
      <c r="BU65" s="273"/>
      <c r="BV65" s="61">
        <f t="shared" si="196"/>
        <v>0</v>
      </c>
      <c r="BW65" s="271"/>
      <c r="BX65" s="273"/>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row>
    <row r="66" ht="18.75" customHeight="1">
      <c r="A66" s="246"/>
      <c r="B66" s="204"/>
      <c r="C66" s="204"/>
      <c r="D66" s="205"/>
      <c r="E66" s="204"/>
      <c r="F66" s="204"/>
      <c r="G66" s="204"/>
      <c r="H66" s="204"/>
      <c r="I66" s="204"/>
      <c r="J66" s="204"/>
      <c r="K66" s="204"/>
      <c r="L66" s="204"/>
      <c r="M66" s="204"/>
      <c r="N66" s="73"/>
      <c r="O66" s="108"/>
      <c r="P66" s="75">
        <f t="shared" si="192"/>
        <v>0</v>
      </c>
      <c r="Q66" s="217" t="s">
        <v>172</v>
      </c>
      <c r="V66" s="218"/>
      <c r="W66" s="218"/>
      <c r="X66" s="218"/>
      <c r="Y66" s="218"/>
      <c r="Z66" s="230">
        <v>10170.0</v>
      </c>
      <c r="AA66" s="218"/>
      <c r="AD66" s="61">
        <f t="shared" si="193"/>
        <v>10170</v>
      </c>
      <c r="AE66" s="259">
        <v>10170.0</v>
      </c>
      <c r="AF66" s="203"/>
      <c r="AG66" s="203" t="s">
        <v>173</v>
      </c>
      <c r="AL66" s="222">
        <f>('Project Costs'!$L$19*POWER(1+'Project Costs'!$J$1,Offset(AL66,-63,0)-'Project Costs'!$I$1))</f>
        <v>24253.85402</v>
      </c>
      <c r="AT66" s="61">
        <f t="shared" si="194"/>
        <v>24253.85402</v>
      </c>
      <c r="AU66" s="203"/>
      <c r="BH66" s="61">
        <f t="shared" si="195"/>
        <v>0</v>
      </c>
      <c r="BI66" s="203"/>
      <c r="BV66" s="61">
        <f t="shared" si="196"/>
        <v>0</v>
      </c>
      <c r="BW66" s="274" t="s">
        <v>174</v>
      </c>
    </row>
    <row r="67" ht="18.0" customHeight="1">
      <c r="A67" s="275"/>
      <c r="B67" s="204"/>
      <c r="C67" s="204"/>
      <c r="D67" s="205"/>
      <c r="E67" s="204"/>
      <c r="F67" s="204"/>
      <c r="G67" s="204"/>
      <c r="H67" s="204"/>
      <c r="I67" s="204"/>
      <c r="J67" s="204"/>
      <c r="K67" s="204"/>
      <c r="L67" s="204"/>
      <c r="M67" s="204"/>
      <c r="N67" s="73"/>
      <c r="O67" s="108"/>
      <c r="P67" s="75">
        <f t="shared" si="192"/>
        <v>0</v>
      </c>
      <c r="Q67" s="244" t="s">
        <v>175</v>
      </c>
      <c r="V67" s="218"/>
      <c r="W67" s="218"/>
      <c r="X67" s="218"/>
      <c r="Y67" s="218"/>
      <c r="Z67" s="218"/>
      <c r="AB67" s="230">
        <v>48000.0</v>
      </c>
      <c r="AD67" s="61">
        <f t="shared" si="193"/>
        <v>48000</v>
      </c>
      <c r="AE67" s="259">
        <v>48000.0</v>
      </c>
      <c r="AF67" s="276"/>
      <c r="AG67" s="276" t="s">
        <v>176</v>
      </c>
      <c r="AK67" s="222">
        <f>('Project Costs'!$L$20*POWER(1+'Project Costs'!$J$1,Offset(AK67,-64,0)-'Project Costs'!$I$1))</f>
        <v>12333.08477</v>
      </c>
      <c r="AT67" s="61">
        <f t="shared" si="194"/>
        <v>12333.08477</v>
      </c>
      <c r="AU67" s="276"/>
      <c r="BH67" s="61">
        <f t="shared" si="195"/>
        <v>0</v>
      </c>
      <c r="BI67" s="276"/>
      <c r="BV67" s="61">
        <f t="shared" si="196"/>
        <v>0</v>
      </c>
      <c r="BW67" s="277" t="s">
        <v>177</v>
      </c>
    </row>
    <row r="68">
      <c r="Q68" s="278"/>
      <c r="V68" s="218"/>
      <c r="W68" s="218"/>
      <c r="X68" s="218"/>
      <c r="Y68" s="218"/>
      <c r="Z68" s="218"/>
      <c r="AA68" s="218"/>
      <c r="CY68" s="10" t="s">
        <v>178</v>
      </c>
    </row>
    <row r="69" ht="18.75" customHeight="1">
      <c r="A69" s="215"/>
      <c r="B69" s="204"/>
      <c r="C69" s="204"/>
      <c r="D69" s="205"/>
      <c r="E69" s="204"/>
      <c r="F69" s="204"/>
      <c r="G69" s="204"/>
      <c r="H69" s="204"/>
      <c r="I69" s="204"/>
      <c r="J69" s="204"/>
      <c r="K69" s="204"/>
      <c r="L69" s="204"/>
      <c r="M69" s="204"/>
      <c r="N69" s="73"/>
      <c r="O69" s="279"/>
      <c r="P69" s="75">
        <f t="shared" ref="P69:P82" si="203">N69-O69</f>
        <v>0</v>
      </c>
      <c r="Q69" s="224" t="s">
        <v>179</v>
      </c>
      <c r="V69" s="218"/>
      <c r="W69" s="218"/>
      <c r="X69" s="218"/>
      <c r="Y69" s="218"/>
      <c r="Z69" s="218"/>
      <c r="AA69" s="218"/>
      <c r="AD69" s="61"/>
      <c r="AE69" s="220"/>
      <c r="AF69" s="224"/>
      <c r="AG69" s="224"/>
      <c r="AT69" s="61">
        <f t="shared" ref="AT69:AT82" si="204">SUM(AH69:AS69)</f>
        <v>0</v>
      </c>
      <c r="AU69" s="224"/>
      <c r="BH69" s="61">
        <f t="shared" ref="BH69:BH82" si="205">SUM(AV69:BG69)</f>
        <v>0</v>
      </c>
      <c r="BI69" s="224"/>
      <c r="BV69" s="61">
        <f t="shared" ref="BV69:BV82" si="206">SUM(BJ69:BU69)</f>
        <v>0</v>
      </c>
      <c r="BW69" s="224" t="s">
        <v>179</v>
      </c>
      <c r="CC69" s="222">
        <f>('Project Costs'!$L$22*POWER(1+'Project Costs'!$J$1,Offset(CC69,-66,0)-'Project Costs'!$I$1))*(5/14)</f>
        <v>517978.7181</v>
      </c>
      <c r="CD69" s="222">
        <f>('Project Costs'!$L$22*POWER(1+'Project Costs'!$J$1,Offset(CD69,-66,0)-'Project Costs'!$I$1))*(5/14)</f>
        <v>536558.4784</v>
      </c>
      <c r="CE69" s="222">
        <f>('Project Costs'!$L$22*POWER(1+'Project Costs'!$J$1,Offset(CE69,-66,0)-'Project Costs'!$I$1))*(4/14)</f>
        <v>444643.7519</v>
      </c>
      <c r="CR69" s="231"/>
      <c r="CS69" s="231"/>
      <c r="CT69" s="231"/>
      <c r="CY69" s="280" t="s">
        <v>180</v>
      </c>
      <c r="CZ69" s="280" t="s">
        <v>181</v>
      </c>
      <c r="DA69" s="280" t="s">
        <v>182</v>
      </c>
      <c r="DB69" s="280" t="s">
        <v>183</v>
      </c>
    </row>
    <row r="70" ht="18.75" customHeight="1">
      <c r="A70" s="281" t="s">
        <v>184</v>
      </c>
      <c r="B70" s="282"/>
      <c r="C70" s="283"/>
      <c r="D70" s="284"/>
      <c r="E70" s="204"/>
      <c r="F70" s="204"/>
      <c r="G70" s="204"/>
      <c r="H70" s="204"/>
      <c r="I70" s="204"/>
      <c r="J70" s="283"/>
      <c r="K70" s="204"/>
      <c r="L70" s="204"/>
      <c r="M70" s="285">
        <v>14575.0</v>
      </c>
      <c r="N70" s="73">
        <f t="shared" ref="N70:N71" si="207">SUM(B70:M70)</f>
        <v>14575</v>
      </c>
      <c r="O70" s="74">
        <v>15000.0</v>
      </c>
      <c r="P70" s="75">
        <f t="shared" si="203"/>
        <v>-425</v>
      </c>
      <c r="Q70" s="217" t="s">
        <v>185</v>
      </c>
      <c r="R70" s="273"/>
      <c r="S70" s="113"/>
      <c r="T70" s="113"/>
      <c r="V70" s="286"/>
      <c r="W70" s="286"/>
      <c r="X70" s="286"/>
      <c r="Y70" s="286"/>
      <c r="Z70" s="287"/>
      <c r="AA70" s="233">
        <v>15041.0</v>
      </c>
      <c r="AB70" s="113"/>
      <c r="AC70" s="113"/>
      <c r="AD70" s="61">
        <f t="shared" ref="AD70:AD72" si="208">SUM(R70:AC70)</f>
        <v>15041</v>
      </c>
      <c r="AE70" s="220">
        <v>15041.0</v>
      </c>
      <c r="AF70" s="288"/>
      <c r="AG70" s="288" t="s">
        <v>185</v>
      </c>
      <c r="AH70" s="273"/>
      <c r="AI70" s="113"/>
      <c r="AJ70" s="113"/>
      <c r="AK70" s="289">
        <f>AA70*(1+Inflation!$J$4)</f>
        <v>15522.312</v>
      </c>
      <c r="AL70" s="286"/>
      <c r="AM70" s="290"/>
      <c r="AN70" s="290"/>
      <c r="AO70" s="113"/>
      <c r="AP70" s="113"/>
      <c r="AQ70" s="113"/>
      <c r="AR70" s="113"/>
      <c r="AS70" s="113"/>
      <c r="AT70" s="61">
        <f t="shared" si="204"/>
        <v>15522.312</v>
      </c>
      <c r="AU70" s="288" t="s">
        <v>185</v>
      </c>
      <c r="AV70" s="273"/>
      <c r="AW70" s="113"/>
      <c r="AX70" s="113"/>
      <c r="AY70" s="289">
        <f>AK70*(1+Inflation!$J$4)</f>
        <v>16019.02598</v>
      </c>
      <c r="AZ70" s="286"/>
      <c r="BA70" s="290"/>
      <c r="BB70" s="290"/>
      <c r="BC70" s="113"/>
      <c r="BD70" s="113"/>
      <c r="BE70" s="113"/>
      <c r="BF70" s="113"/>
      <c r="BG70" s="113"/>
      <c r="BH70" s="61">
        <f t="shared" si="205"/>
        <v>16019.02598</v>
      </c>
      <c r="BI70" s="288" t="s">
        <v>185</v>
      </c>
      <c r="BJ70" s="273"/>
      <c r="BK70" s="113"/>
      <c r="BL70" s="113"/>
      <c r="BM70" s="289">
        <f>AY70*(1+Inflation!$J$4)</f>
        <v>16531.63482</v>
      </c>
      <c r="BN70" s="286"/>
      <c r="BO70" s="290"/>
      <c r="BP70" s="290"/>
      <c r="BQ70" s="113"/>
      <c r="BR70" s="113"/>
      <c r="BS70" s="113"/>
      <c r="BT70" s="113"/>
      <c r="BU70" s="113"/>
      <c r="BV70" s="61">
        <f t="shared" si="206"/>
        <v>16531.63482</v>
      </c>
      <c r="BW70" s="288" t="s">
        <v>185</v>
      </c>
      <c r="BX70" s="273">
        <f>BV70*(1+Inflation!$J$4)</f>
        <v>17060.64713</v>
      </c>
      <c r="BY70" s="273">
        <f>BX70*(1+Inflation!$J$4)</f>
        <v>17606.58784</v>
      </c>
      <c r="BZ70" s="273">
        <f>BY70*(1+Inflation!$J$4)</f>
        <v>18169.99865</v>
      </c>
      <c r="CA70" s="273">
        <f>BZ70*(1+Inflation!$J$4)</f>
        <v>18751.43861</v>
      </c>
      <c r="CB70" s="273">
        <f>CA70*(1+Inflation!$J$4)</f>
        <v>19351.48464</v>
      </c>
      <c r="CC70" s="273">
        <f>CB70*(1+Inflation!$J$4)</f>
        <v>19970.73215</v>
      </c>
      <c r="CD70" s="273">
        <f>CC70*(1+Inflation!$J$4)</f>
        <v>20609.79558</v>
      </c>
      <c r="CE70" s="273">
        <f>CD70*(1+Inflation!$J$4)</f>
        <v>21269.30904</v>
      </c>
      <c r="CF70" s="273">
        <f>CE70*(1+Inflation!$J$4)</f>
        <v>21949.92693</v>
      </c>
      <c r="CG70" s="273">
        <f>CF70*(1+Inflation!$J$4)</f>
        <v>22652.32459</v>
      </c>
      <c r="CH70" s="273">
        <f>CG70*(1+Inflation!$J$4)</f>
        <v>23377.19897</v>
      </c>
      <c r="CI70" s="273">
        <f>CH70*(1+Inflation!$J$4)</f>
        <v>24125.26934</v>
      </c>
      <c r="CJ70" s="273">
        <f>CI70*(1+Inflation!$J$4)</f>
        <v>24897.27796</v>
      </c>
      <c r="CK70" s="273">
        <f>CJ70*(1+Inflation!$J$4)</f>
        <v>25693.99085</v>
      </c>
      <c r="CL70" s="273">
        <f>CK70*(1+Inflation!$J$4)</f>
        <v>26516.19856</v>
      </c>
      <c r="CM70" s="273">
        <f>CL70*(1+Inflation!$J$4)</f>
        <v>27364.71692</v>
      </c>
      <c r="CN70" s="273">
        <f>CM70*(1+Inflation!$J$4)</f>
        <v>28240.38786</v>
      </c>
      <c r="CO70" s="273">
        <f>CN70*(1+Inflation!$J$4)</f>
        <v>29144.08027</v>
      </c>
      <c r="CP70" s="273">
        <f>CO70*(1+Inflation!$J$4)</f>
        <v>30076.69084</v>
      </c>
      <c r="CQ70" s="273">
        <f>CP70*(1+Inflation!$J$4)</f>
        <v>31039.14494</v>
      </c>
      <c r="CR70" s="273">
        <f>CQ70*(1+Inflation!$J$4)</f>
        <v>32032.39758</v>
      </c>
      <c r="CS70" s="273">
        <f>CR70*(1+Inflation!$J$4)</f>
        <v>33057.43431</v>
      </c>
      <c r="CT70" s="273">
        <f>CS70*(1+Inflation!$J$4)</f>
        <v>34115.2722</v>
      </c>
      <c r="CU70" s="273">
        <f>CT70*(1+Inflation!$J$4)</f>
        <v>35206.96091</v>
      </c>
      <c r="CV70" s="273">
        <f>CU70*(1+Inflation!$J$4)</f>
        <v>36333.58366</v>
      </c>
      <c r="CW70" s="273">
        <f>CV70*(1+Inflation!$J$4)</f>
        <v>37496.25834</v>
      </c>
      <c r="CX70" s="273">
        <f>CW70*(1+Inflation!$J$4)</f>
        <v>38696.13861</v>
      </c>
      <c r="CY70" s="61"/>
      <c r="CZ70" s="61"/>
      <c r="DA70" s="61"/>
      <c r="DB70" s="61"/>
      <c r="DC70" s="61"/>
      <c r="DD70" s="61"/>
      <c r="DE70" s="61"/>
      <c r="DF70" s="61"/>
      <c r="DG70" s="61"/>
      <c r="DH70" s="61"/>
      <c r="DI70" s="61"/>
      <c r="DJ70" s="61"/>
      <c r="DK70" s="61"/>
      <c r="DL70" s="61"/>
      <c r="DM70" s="61"/>
      <c r="DN70" s="61"/>
      <c r="DO70" s="61"/>
      <c r="DP70" s="61"/>
    </row>
    <row r="71" ht="18.75" customHeight="1">
      <c r="A71" s="234" t="s">
        <v>186</v>
      </c>
      <c r="B71" s="204"/>
      <c r="C71" s="204"/>
      <c r="D71" s="205"/>
      <c r="E71" s="204"/>
      <c r="F71" s="204"/>
      <c r="G71" s="204"/>
      <c r="H71" s="204"/>
      <c r="I71" s="251">
        <v>7992.0</v>
      </c>
      <c r="J71" s="291"/>
      <c r="K71" s="204"/>
      <c r="L71" s="204"/>
      <c r="M71" s="204"/>
      <c r="N71" s="73">
        <f t="shared" si="207"/>
        <v>7992</v>
      </c>
      <c r="O71" s="237">
        <v>4000.0</v>
      </c>
      <c r="P71" s="75">
        <f t="shared" si="203"/>
        <v>3992</v>
      </c>
      <c r="Q71" s="217" t="s">
        <v>187</v>
      </c>
      <c r="V71" s="218"/>
      <c r="W71" s="218"/>
      <c r="X71" s="218"/>
      <c r="Y71" s="231">
        <v>6000.0</v>
      </c>
      <c r="Z71" s="218"/>
      <c r="AA71" s="218"/>
      <c r="AD71" s="61">
        <f t="shared" si="208"/>
        <v>6000</v>
      </c>
      <c r="AE71" s="220">
        <v>6000.0</v>
      </c>
      <c r="AF71" s="276"/>
      <c r="AG71" s="276" t="s">
        <v>187</v>
      </c>
      <c r="AO71" s="222">
        <v>6000.0</v>
      </c>
      <c r="AT71" s="61">
        <f t="shared" si="204"/>
        <v>6000</v>
      </c>
      <c r="AU71" s="276" t="s">
        <v>187</v>
      </c>
      <c r="BC71" s="222">
        <f>('Project Costs'!$L$23*POWER(1+'Project Costs'!$J$1,Offset(BC71,-68,0)-'Project Costs'!$I$1))</f>
        <v>628.0958347</v>
      </c>
      <c r="BH71" s="61">
        <f t="shared" si="205"/>
        <v>628.0958347</v>
      </c>
      <c r="BI71" s="276" t="s">
        <v>187</v>
      </c>
      <c r="BQ71" s="222">
        <f>('Project Costs'!$L$23*POWER(1+'Project Costs'!$J$1,Offset(BQ71,-68,0)-'Project Costs'!$I$1))</f>
        <v>650.6254671</v>
      </c>
      <c r="BV71" s="61">
        <f t="shared" si="206"/>
        <v>650.6254671</v>
      </c>
      <c r="BW71" s="276" t="s">
        <v>187</v>
      </c>
      <c r="BX71" s="222">
        <f>('Project Costs'!$L$23*POWER(1+'Project Costs'!$J$1,Offset(BX71,-68,0)-'Project Costs'!$I$1))</f>
        <v>673.9632314</v>
      </c>
      <c r="BY71" s="222">
        <f>('Project Costs'!$L$23*POWER(1+'Project Costs'!$J$1,Offset(BY71,-68,0)-'Project Costs'!$I$1))</f>
        <v>698.1381153</v>
      </c>
      <c r="BZ71" s="222">
        <f>('Project Costs'!$L$23*POWER(1+'Project Costs'!$J$1,Offset(BZ71,-68,0)-'Project Costs'!$I$1))</f>
        <v>723.1801459</v>
      </c>
      <c r="CA71" s="222">
        <f>('Project Costs'!$L$23*POWER(1+'Project Costs'!$J$1,Offset(CA71,-68,0)-'Project Costs'!$I$1))</f>
        <v>749.1204275</v>
      </c>
      <c r="CB71" s="222">
        <f>('Project Costs'!$L$23*POWER(1+'Project Costs'!$J$1,Offset(CB71,-68,0)-'Project Costs'!$I$1))</f>
        <v>775.9911802</v>
      </c>
      <c r="CC71" s="222">
        <f>('Project Costs'!$L$23*POWER(1+'Project Costs'!$J$1,Offset(CC71,-68,0)-'Project Costs'!$I$1))</f>
        <v>803.8257797</v>
      </c>
      <c r="CD71" s="222">
        <f>('Project Costs'!$L$23*POWER(1+'Project Costs'!$J$1,Offset(CD71,-68,0)-'Project Costs'!$I$1))</f>
        <v>832.658799</v>
      </c>
      <c r="CE71" s="222">
        <f>('Project Costs'!$L$23*POWER(1+'Project Costs'!$J$1,Offset(CE71,-68,0)-'Project Costs'!$I$1))</f>
        <v>862.5260511</v>
      </c>
      <c r="CF71" s="222">
        <f>('Project Costs'!$L$23*POWER(1+'Project Costs'!$J$1,Offset(CF71,-68,0)-'Project Costs'!$I$1))</f>
        <v>893.4646337</v>
      </c>
      <c r="CG71" s="222">
        <f>('Project Costs'!$L$23*POWER(1+'Project Costs'!$J$1,Offset(CG71,-68,0)-'Project Costs'!$I$1))</f>
        <v>925.5129752</v>
      </c>
      <c r="CH71" s="222">
        <f>('Project Costs'!$L$23*POWER(1+'Project Costs'!$J$1,Offset(CH71,-68,0)-'Project Costs'!$I$1))</f>
        <v>958.7108822</v>
      </c>
      <c r="CI71" s="222">
        <f>('Project Costs'!$L$23*POWER(1+'Project Costs'!$J$1,Offset(CI71,-68,0)-'Project Costs'!$I$1))</f>
        <v>993.0995893</v>
      </c>
      <c r="CJ71" s="222">
        <f>('Project Costs'!$L$23*POWER(1+'Project Costs'!$J$1,Offset(CJ71,-68,0)-'Project Costs'!$I$1))</f>
        <v>1028.72181</v>
      </c>
      <c r="CK71" s="222">
        <f>('Project Costs'!$L$23*POWER(1+'Project Costs'!$J$1,Offset(CK71,-68,0)-'Project Costs'!$I$1))</f>
        <v>1065.621791</v>
      </c>
      <c r="CL71" s="222">
        <f>('Project Costs'!$L$23*POWER(1+'Project Costs'!$J$1,Offset(CL71,-68,0)-'Project Costs'!$I$1))</f>
        <v>1103.845365</v>
      </c>
      <c r="CM71" s="222">
        <f>('Project Costs'!$L$23*POWER(1+'Project Costs'!$J$1,Offset(CM71,-68,0)-'Project Costs'!$I$1))</f>
        <v>1143.440007</v>
      </c>
      <c r="CN71" s="222">
        <f>('Project Costs'!$L$23*POWER(1+'Project Costs'!$J$1,Offset(CN71,-68,0)-'Project Costs'!$I$1))</f>
        <v>1184.4549</v>
      </c>
      <c r="CO71" s="222">
        <f>('Project Costs'!$L$23*POWER(1+'Project Costs'!$J$1,Offset(CO71,-68,0)-'Project Costs'!$I$1))</f>
        <v>1226.940986</v>
      </c>
      <c r="CP71" s="222">
        <f>('Project Costs'!$L$23*POWER(1+'Project Costs'!$J$1,Offset(CP71,-68,0)-'Project Costs'!$I$1))</f>
        <v>1270.951036</v>
      </c>
      <c r="CQ71" s="222">
        <f>('Project Costs'!$L$23*POWER(1+'Project Costs'!$J$1,Offset(CQ71,-68,0)-'Project Costs'!$I$1))</f>
        <v>1316.539715</v>
      </c>
      <c r="CR71" s="222">
        <f>('Project Costs'!$L$23*POWER(1+'Project Costs'!$J$1,Offset(CR71,-68,0)-'Project Costs'!$I$1))</f>
        <v>1363.763649</v>
      </c>
      <c r="CS71" s="222">
        <f>('Project Costs'!$L$23*POWER(1+'Project Costs'!$J$1,Offset(CS71,-68,0)-'Project Costs'!$I$1))</f>
        <v>1412.681492</v>
      </c>
      <c r="CT71" s="222">
        <f>('Project Costs'!$L$23*POWER(1+'Project Costs'!$J$1,Offset(CT71,-68,0)-'Project Costs'!$I$1))</f>
        <v>1463.354006</v>
      </c>
      <c r="CU71" s="222">
        <f>('Project Costs'!$L$23*POWER(1+'Project Costs'!$J$1,Offset(CU71,-68,0)-'Project Costs'!$I$1))</f>
        <v>1515.844129</v>
      </c>
      <c r="CV71" s="222">
        <f>('Project Costs'!$L$23*POWER(1+'Project Costs'!$J$1,Offset(CV71,-68,0)-'Project Costs'!$I$1))</f>
        <v>1570.217059</v>
      </c>
      <c r="CW71" s="222">
        <f>('Project Costs'!$L$23*POWER(1+'Project Costs'!$J$1,Offset(CW71,-68,0)-'Project Costs'!$I$1))</f>
        <v>1626.540332</v>
      </c>
      <c r="CX71" s="222">
        <f>('Project Costs'!$L$23*POWER(1+'Project Costs'!$J$1,Offset(CX71,-68,0)-'Project Costs'!$I$1))</f>
        <v>1684.883906</v>
      </c>
    </row>
    <row r="72" ht="18.75" customHeight="1">
      <c r="A72" s="287"/>
      <c r="B72" s="204"/>
      <c r="C72" s="204"/>
      <c r="D72" s="205"/>
      <c r="E72" s="204"/>
      <c r="F72" s="292"/>
      <c r="G72" s="204"/>
      <c r="H72" s="204"/>
      <c r="I72" s="204"/>
      <c r="J72" s="204"/>
      <c r="K72" s="204"/>
      <c r="L72" s="204"/>
      <c r="M72" s="204"/>
      <c r="N72" s="73"/>
      <c r="O72" s="279"/>
      <c r="P72" s="75">
        <f t="shared" si="203"/>
        <v>0</v>
      </c>
      <c r="Q72" s="217" t="s">
        <v>188</v>
      </c>
      <c r="V72" s="218"/>
      <c r="W72" s="218"/>
      <c r="X72" s="230">
        <v>25000.0</v>
      </c>
      <c r="Y72" s="218"/>
      <c r="AA72" s="218"/>
      <c r="AD72" s="61">
        <f t="shared" si="208"/>
        <v>25000</v>
      </c>
      <c r="AE72" s="220">
        <v>25000.0</v>
      </c>
      <c r="AF72" s="293"/>
      <c r="AG72" s="293"/>
      <c r="AT72" s="61">
        <f t="shared" si="204"/>
        <v>0</v>
      </c>
      <c r="AU72" s="293"/>
      <c r="BH72" s="61">
        <f t="shared" si="205"/>
        <v>0</v>
      </c>
      <c r="BI72" s="293"/>
      <c r="BV72" s="61">
        <f t="shared" si="206"/>
        <v>0</v>
      </c>
      <c r="BW72" s="293"/>
    </row>
    <row r="73" ht="18.75" customHeight="1">
      <c r="A73" s="294" t="s">
        <v>189</v>
      </c>
      <c r="B73" s="295"/>
      <c r="C73" s="295"/>
      <c r="D73" s="296"/>
      <c r="E73" s="297"/>
      <c r="F73" s="204"/>
      <c r="G73" s="204"/>
      <c r="H73" s="292"/>
      <c r="I73" s="204"/>
      <c r="J73" s="204"/>
      <c r="K73" s="257"/>
      <c r="L73" s="257"/>
      <c r="M73" s="257">
        <v>50000.0</v>
      </c>
      <c r="N73" s="73">
        <f t="shared" ref="N73:N74" si="209">SUM(B73:M73)</f>
        <v>50000</v>
      </c>
      <c r="O73" s="74">
        <v>50000.0</v>
      </c>
      <c r="P73" s="75">
        <f t="shared" si="203"/>
        <v>0</v>
      </c>
      <c r="Q73" s="298" t="s">
        <v>189</v>
      </c>
      <c r="R73" s="299"/>
      <c r="S73" s="299"/>
      <c r="T73" s="299"/>
      <c r="U73" s="300"/>
      <c r="V73" s="301"/>
      <c r="W73" s="289"/>
      <c r="X73" s="289"/>
      <c r="Y73" s="289"/>
      <c r="Z73" s="289"/>
      <c r="AA73" s="302"/>
      <c r="AB73" s="299"/>
      <c r="AC73" s="299"/>
      <c r="AD73" s="61"/>
      <c r="AE73" s="220"/>
      <c r="AF73" s="293"/>
      <c r="AG73" s="293" t="s">
        <v>189</v>
      </c>
      <c r="AH73" s="299"/>
      <c r="AI73" s="299"/>
      <c r="AJ73" s="299"/>
      <c r="AK73" s="300"/>
      <c r="AL73" s="300"/>
      <c r="AM73" s="303">
        <f>W73*(1+Inflation!$G$4)</f>
        <v>0</v>
      </c>
      <c r="AN73" s="303"/>
      <c r="AO73" s="304"/>
      <c r="AP73" s="303"/>
      <c r="AQ73" s="299"/>
      <c r="AR73" s="299"/>
      <c r="AS73" s="299"/>
      <c r="AT73" s="61">
        <f t="shared" si="204"/>
        <v>0</v>
      </c>
      <c r="AU73" s="293" t="s">
        <v>189</v>
      </c>
      <c r="AV73" s="299"/>
      <c r="AW73" s="299"/>
      <c r="AX73" s="299"/>
      <c r="AY73" s="300"/>
      <c r="AZ73" s="300"/>
      <c r="BA73" s="303">
        <f>AM73*(1+Inflation!$H$4)</f>
        <v>0</v>
      </c>
      <c r="BB73" s="303"/>
      <c r="BC73" s="303"/>
      <c r="BD73" s="303"/>
      <c r="BE73" s="300"/>
      <c r="BF73" s="300"/>
      <c r="BG73" s="299"/>
      <c r="BH73" s="61">
        <f t="shared" si="205"/>
        <v>0</v>
      </c>
      <c r="BI73" s="293" t="s">
        <v>189</v>
      </c>
      <c r="BJ73" s="299"/>
      <c r="BK73" s="299"/>
      <c r="BL73" s="299"/>
      <c r="BM73" s="300"/>
      <c r="BN73" s="300"/>
      <c r="BO73" s="303">
        <f>BA73*(1+Inflation!$H$4)</f>
        <v>0</v>
      </c>
      <c r="BP73" s="303"/>
      <c r="BQ73" s="303"/>
      <c r="BR73" s="303"/>
      <c r="BS73" s="300"/>
      <c r="BT73" s="300"/>
      <c r="BU73" s="299"/>
      <c r="BV73" s="61">
        <f t="shared" si="206"/>
        <v>0</v>
      </c>
      <c r="BW73" s="293" t="s">
        <v>189</v>
      </c>
      <c r="BX73" s="305">
        <f>BV73*(1+Inflation!$J$4)</f>
        <v>0</v>
      </c>
      <c r="BY73" s="300"/>
      <c r="BZ73" s="300"/>
      <c r="CA73" s="300"/>
      <c r="CB73" s="300"/>
      <c r="CC73" s="300"/>
      <c r="CD73" s="300"/>
      <c r="CE73" s="300"/>
      <c r="CF73" s="300"/>
      <c r="CG73" s="300"/>
      <c r="CH73" s="300"/>
      <c r="CI73" s="300"/>
      <c r="CJ73" s="300"/>
      <c r="CK73" s="300"/>
      <c r="CL73" s="300"/>
      <c r="CM73" s="300"/>
      <c r="CN73" s="300"/>
      <c r="CO73" s="300"/>
      <c r="CP73" s="300"/>
      <c r="CQ73" s="300"/>
      <c r="CR73" s="300"/>
      <c r="CS73" s="300"/>
      <c r="CT73" s="300"/>
      <c r="CU73" s="300"/>
      <c r="CV73" s="300"/>
      <c r="CW73" s="300"/>
      <c r="CX73" s="300"/>
      <c r="CY73" s="300"/>
      <c r="CZ73" s="300"/>
      <c r="DA73" s="300"/>
      <c r="DB73" s="300"/>
      <c r="DC73" s="300"/>
      <c r="DD73" s="300"/>
      <c r="DE73" s="300"/>
      <c r="DF73" s="300"/>
      <c r="DG73" s="300"/>
      <c r="DH73" s="300"/>
      <c r="DI73" s="300"/>
      <c r="DJ73" s="300"/>
      <c r="DK73" s="300"/>
      <c r="DL73" s="300"/>
      <c r="DM73" s="300"/>
      <c r="DN73" s="300"/>
      <c r="DO73" s="300"/>
      <c r="DP73" s="300"/>
    </row>
    <row r="74" ht="18.75" customHeight="1">
      <c r="A74" s="223" t="s">
        <v>190</v>
      </c>
      <c r="B74" s="204"/>
      <c r="C74" s="306"/>
      <c r="D74" s="205"/>
      <c r="E74" s="204"/>
      <c r="F74" s="204"/>
      <c r="G74" s="251">
        <v>10000.0</v>
      </c>
      <c r="H74" s="251">
        <v>14000.0</v>
      </c>
      <c r="I74" s="251">
        <v>27008.0</v>
      </c>
      <c r="J74" s="204"/>
      <c r="K74" s="204"/>
      <c r="L74" s="204"/>
      <c r="M74" s="204"/>
      <c r="N74" s="73">
        <f t="shared" si="209"/>
        <v>51008</v>
      </c>
      <c r="O74" s="248">
        <v>50000.0</v>
      </c>
      <c r="P74" s="75">
        <f t="shared" si="203"/>
        <v>1008</v>
      </c>
      <c r="Q74" s="217" t="s">
        <v>191</v>
      </c>
      <c r="V74" s="218"/>
      <c r="W74" s="218"/>
      <c r="X74" s="218"/>
      <c r="Y74" s="218"/>
      <c r="Z74" s="230">
        <v>15605.0</v>
      </c>
      <c r="AA74" s="218"/>
      <c r="AD74" s="61">
        <f t="shared" ref="AD74:AD82" si="210">SUM(R74:AC74)</f>
        <v>15605</v>
      </c>
      <c r="AE74" s="220">
        <v>15605.0</v>
      </c>
      <c r="AF74" s="203"/>
      <c r="AG74" s="203"/>
      <c r="AT74" s="61">
        <f t="shared" si="204"/>
        <v>0</v>
      </c>
      <c r="AU74" s="203"/>
      <c r="BH74" s="61">
        <f t="shared" si="205"/>
        <v>0</v>
      </c>
      <c r="BI74" s="203"/>
      <c r="BV74" s="61">
        <f t="shared" si="206"/>
        <v>0</v>
      </c>
      <c r="BW74" s="203" t="s">
        <v>192</v>
      </c>
    </row>
    <row r="75" ht="18.75" customHeight="1">
      <c r="A75" s="307"/>
      <c r="B75" s="308"/>
      <c r="C75" s="309"/>
      <c r="D75" s="310"/>
      <c r="E75" s="309"/>
      <c r="F75" s="262"/>
      <c r="G75" s="309"/>
      <c r="H75" s="309"/>
      <c r="I75" s="309"/>
      <c r="J75" s="309"/>
      <c r="K75" s="309"/>
      <c r="L75" s="309"/>
      <c r="M75" s="309"/>
      <c r="N75" s="73"/>
      <c r="O75" s="75"/>
      <c r="P75" s="75">
        <f t="shared" si="203"/>
        <v>0</v>
      </c>
      <c r="Q75" s="217" t="s">
        <v>193</v>
      </c>
      <c r="R75" s="272"/>
      <c r="S75" s="273"/>
      <c r="T75" s="273"/>
      <c r="U75" s="273"/>
      <c r="V75" s="269"/>
      <c r="W75" s="270">
        <v>4191.0</v>
      </c>
      <c r="X75" s="269"/>
      <c r="Y75" s="269"/>
      <c r="Z75" s="269"/>
      <c r="AA75" s="269"/>
      <c r="AB75" s="273"/>
      <c r="AC75" s="273"/>
      <c r="AD75" s="61">
        <f t="shared" si="210"/>
        <v>4191</v>
      </c>
      <c r="AE75" s="220">
        <v>4191.0</v>
      </c>
      <c r="AF75" s="307"/>
      <c r="AG75" s="307"/>
      <c r="AH75" s="272"/>
      <c r="AI75" s="273"/>
      <c r="AJ75" s="273"/>
      <c r="AK75" s="273"/>
      <c r="AL75" s="273"/>
      <c r="AM75" s="273"/>
      <c r="AN75" s="273"/>
      <c r="AO75" s="273"/>
      <c r="AP75" s="273"/>
      <c r="AQ75" s="273"/>
      <c r="AR75" s="273"/>
      <c r="AS75" s="273"/>
      <c r="AT75" s="61">
        <f t="shared" si="204"/>
        <v>0</v>
      </c>
      <c r="AU75" s="307"/>
      <c r="AV75" s="272"/>
      <c r="AW75" s="273"/>
      <c r="AX75" s="273"/>
      <c r="AY75" s="273"/>
      <c r="AZ75" s="273"/>
      <c r="BA75" s="273"/>
      <c r="BB75" s="273"/>
      <c r="BC75" s="273"/>
      <c r="BD75" s="273"/>
      <c r="BE75" s="273"/>
      <c r="BF75" s="273"/>
      <c r="BG75" s="273"/>
      <c r="BH75" s="61">
        <f t="shared" si="205"/>
        <v>0</v>
      </c>
      <c r="BI75" s="307"/>
      <c r="BJ75" s="272"/>
      <c r="BK75" s="273"/>
      <c r="BL75" s="273"/>
      <c r="BM75" s="273"/>
      <c r="BN75" s="273"/>
      <c r="BO75" s="273"/>
      <c r="BP75" s="273"/>
      <c r="BQ75" s="273"/>
      <c r="BR75" s="273"/>
      <c r="BS75" s="273"/>
      <c r="BT75" s="273"/>
      <c r="BU75" s="273"/>
      <c r="BV75" s="61">
        <f t="shared" si="206"/>
        <v>0</v>
      </c>
      <c r="BW75" s="307"/>
      <c r="BX75" s="273"/>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row>
    <row r="76" ht="15.75" customHeight="1">
      <c r="A76" s="294" t="s">
        <v>194</v>
      </c>
      <c r="B76" s="204"/>
      <c r="C76" s="204"/>
      <c r="D76" s="205"/>
      <c r="E76" s="204"/>
      <c r="F76" s="204"/>
      <c r="G76" s="204"/>
      <c r="H76" s="204"/>
      <c r="I76" s="204"/>
      <c r="J76" s="204"/>
      <c r="K76" s="204"/>
      <c r="L76" s="204"/>
      <c r="M76" s="292">
        <v>25000.0</v>
      </c>
      <c r="N76" s="73">
        <f t="shared" ref="N76:N82" si="211">SUM(B76:M76)</f>
        <v>25000</v>
      </c>
      <c r="O76" s="237">
        <v>25000.0</v>
      </c>
      <c r="P76" s="75">
        <f t="shared" si="203"/>
        <v>0</v>
      </c>
      <c r="Q76" s="217" t="s">
        <v>195</v>
      </c>
      <c r="V76" s="218"/>
      <c r="W76" s="218"/>
      <c r="X76" s="218"/>
      <c r="Y76" s="218"/>
      <c r="Z76" s="218"/>
      <c r="AA76" s="230">
        <v>23173.0</v>
      </c>
      <c r="AD76" s="61">
        <f t="shared" si="210"/>
        <v>23173</v>
      </c>
      <c r="AE76" s="220">
        <v>23173.0</v>
      </c>
      <c r="AF76" s="286"/>
      <c r="AG76" s="294" t="s">
        <v>194</v>
      </c>
      <c r="AQ76" s="10">
        <v>5000.0</v>
      </c>
      <c r="AT76" s="61">
        <f t="shared" si="204"/>
        <v>5000</v>
      </c>
      <c r="AU76" s="294" t="s">
        <v>194</v>
      </c>
      <c r="BE76" s="12">
        <f>AQ76*(1+Inflation!$H$2)</f>
        <v>5175</v>
      </c>
      <c r="BH76" s="61">
        <f t="shared" si="205"/>
        <v>5175</v>
      </c>
      <c r="BI76" s="294" t="s">
        <v>194</v>
      </c>
      <c r="BS76" s="225">
        <f>BE76*(1+Inflation!$H$2)</f>
        <v>5356.125</v>
      </c>
      <c r="BV76" s="61">
        <f t="shared" si="206"/>
        <v>5356.125</v>
      </c>
      <c r="BW76" s="294" t="s">
        <v>194</v>
      </c>
    </row>
    <row r="77" ht="18.75" customHeight="1">
      <c r="A77" s="307" t="s">
        <v>196</v>
      </c>
      <c r="B77" s="295"/>
      <c r="C77" s="295"/>
      <c r="D77" s="296"/>
      <c r="E77" s="295"/>
      <c r="F77" s="295"/>
      <c r="G77" s="204"/>
      <c r="H77" s="204"/>
      <c r="I77" s="311">
        <v>0.0</v>
      </c>
      <c r="J77" s="311">
        <v>0.0</v>
      </c>
      <c r="K77" s="311">
        <v>0.0</v>
      </c>
      <c r="L77" s="295"/>
      <c r="M77" s="295"/>
      <c r="N77" s="73">
        <f t="shared" si="211"/>
        <v>0</v>
      </c>
      <c r="O77" s="74">
        <v>165586.0</v>
      </c>
      <c r="P77" s="75">
        <f t="shared" si="203"/>
        <v>-165586</v>
      </c>
      <c r="Q77" s="312"/>
      <c r="R77" s="299"/>
      <c r="S77" s="299"/>
      <c r="T77" s="299"/>
      <c r="U77" s="299"/>
      <c r="V77" s="302"/>
      <c r="W77" s="302"/>
      <c r="X77" s="302"/>
      <c r="Y77" s="302"/>
      <c r="Z77" s="302"/>
      <c r="AA77" s="302"/>
      <c r="AB77" s="299"/>
      <c r="AC77" s="299"/>
      <c r="AD77" s="61">
        <f t="shared" si="210"/>
        <v>0</v>
      </c>
      <c r="AE77" s="220"/>
      <c r="AF77" s="312"/>
      <c r="AG77" s="313"/>
      <c r="AH77" s="299"/>
      <c r="AI77" s="299"/>
      <c r="AJ77" s="299"/>
      <c r="AK77" s="299"/>
      <c r="AL77" s="299"/>
      <c r="AM77" s="299"/>
      <c r="AN77" s="299"/>
      <c r="AO77" s="299"/>
      <c r="AP77" s="299"/>
      <c r="AQ77" s="299"/>
      <c r="AR77" s="299"/>
      <c r="AS77" s="299"/>
      <c r="AT77" s="61">
        <f t="shared" si="204"/>
        <v>0</v>
      </c>
      <c r="AU77" s="313"/>
      <c r="AV77" s="299"/>
      <c r="AW77" s="299"/>
      <c r="AX77" s="299"/>
      <c r="AY77" s="299"/>
      <c r="AZ77" s="299"/>
      <c r="BA77" s="299"/>
      <c r="BB77" s="299"/>
      <c r="BC77" s="299"/>
      <c r="BD77" s="299"/>
      <c r="BE77" s="299"/>
      <c r="BF77" s="299"/>
      <c r="BG77" s="299"/>
      <c r="BH77" s="61">
        <f t="shared" si="205"/>
        <v>0</v>
      </c>
      <c r="BI77" s="313"/>
      <c r="BJ77" s="299"/>
      <c r="BK77" s="299"/>
      <c r="BL77" s="299"/>
      <c r="BM77" s="299"/>
      <c r="BN77" s="299"/>
      <c r="BO77" s="299"/>
      <c r="BP77" s="299"/>
      <c r="BQ77" s="299"/>
      <c r="BR77" s="299"/>
      <c r="BS77" s="299"/>
      <c r="BT77" s="299"/>
      <c r="BU77" s="299"/>
      <c r="BV77" s="61">
        <f t="shared" si="206"/>
        <v>0</v>
      </c>
      <c r="BW77" s="313"/>
      <c r="BX77" s="305"/>
      <c r="BY77" s="300"/>
      <c r="BZ77" s="300"/>
      <c r="CA77" s="300"/>
      <c r="CB77" s="300"/>
      <c r="CC77" s="300"/>
      <c r="CD77" s="300"/>
      <c r="CE77" s="300"/>
      <c r="CF77" s="300"/>
      <c r="CG77" s="300"/>
      <c r="CH77" s="300"/>
      <c r="CI77" s="300"/>
      <c r="CJ77" s="300"/>
      <c r="CK77" s="300"/>
      <c r="CL77" s="300"/>
      <c r="CM77" s="300"/>
      <c r="CN77" s="300"/>
      <c r="CO77" s="300"/>
      <c r="CP77" s="300"/>
      <c r="CQ77" s="300"/>
      <c r="CR77" s="300"/>
      <c r="CS77" s="300"/>
      <c r="CT77" s="300"/>
      <c r="CU77" s="300"/>
      <c r="CV77" s="300"/>
      <c r="CW77" s="300"/>
      <c r="CX77" s="300"/>
      <c r="CY77" s="300"/>
      <c r="CZ77" s="300"/>
      <c r="DA77" s="300"/>
      <c r="DB77" s="300"/>
      <c r="DC77" s="300"/>
      <c r="DD77" s="300"/>
      <c r="DE77" s="300"/>
      <c r="DF77" s="300"/>
      <c r="DG77" s="300"/>
      <c r="DH77" s="300"/>
      <c r="DI77" s="300"/>
      <c r="DJ77" s="300"/>
      <c r="DK77" s="300"/>
      <c r="DL77" s="300"/>
      <c r="DM77" s="300"/>
      <c r="DN77" s="300"/>
      <c r="DO77" s="300"/>
      <c r="DP77" s="300"/>
    </row>
    <row r="78" ht="18.75" customHeight="1">
      <c r="A78" s="314" t="s">
        <v>197</v>
      </c>
      <c r="B78" s="295"/>
      <c r="C78" s="295"/>
      <c r="D78" s="296"/>
      <c r="E78" s="204"/>
      <c r="F78" s="204"/>
      <c r="G78" s="295"/>
      <c r="H78" s="295"/>
      <c r="I78" s="295"/>
      <c r="J78" s="204"/>
      <c r="K78" s="204"/>
      <c r="L78" s="204"/>
      <c r="M78" s="315">
        <v>15000.0</v>
      </c>
      <c r="N78" s="316">
        <f t="shared" si="211"/>
        <v>15000</v>
      </c>
      <c r="O78" s="74">
        <v>15000.0</v>
      </c>
      <c r="P78" s="75">
        <f t="shared" si="203"/>
        <v>0</v>
      </c>
      <c r="Q78" s="217" t="s">
        <v>198</v>
      </c>
      <c r="R78" s="299"/>
      <c r="S78" s="299"/>
      <c r="T78" s="299"/>
      <c r="U78" s="299"/>
      <c r="V78" s="302"/>
      <c r="W78" s="302"/>
      <c r="X78" s="302"/>
      <c r="Y78" s="302"/>
      <c r="Z78" s="233">
        <v>0.0</v>
      </c>
      <c r="AA78" s="302"/>
      <c r="AB78" s="299"/>
      <c r="AC78" s="299"/>
      <c r="AD78" s="317">
        <f t="shared" si="210"/>
        <v>0</v>
      </c>
      <c r="AE78" s="220"/>
      <c r="AF78" s="318"/>
      <c r="AG78" s="314" t="s">
        <v>197</v>
      </c>
      <c r="AH78" s="299"/>
      <c r="AI78" s="299"/>
      <c r="AJ78" s="299"/>
      <c r="AK78" s="299"/>
      <c r="AL78" s="299"/>
      <c r="AM78" s="299"/>
      <c r="AN78" s="299"/>
      <c r="AO78" s="299"/>
      <c r="AQ78" s="299"/>
      <c r="AR78" s="299"/>
      <c r="AS78" s="299"/>
      <c r="AT78" s="317">
        <f t="shared" si="204"/>
        <v>0</v>
      </c>
      <c r="AU78" s="314" t="s">
        <v>197</v>
      </c>
      <c r="AV78" s="299"/>
      <c r="AW78" s="299"/>
      <c r="AX78" s="299"/>
      <c r="AY78" s="299"/>
      <c r="AZ78" s="299"/>
      <c r="BA78" s="299"/>
      <c r="BB78" s="299"/>
      <c r="BC78" s="299"/>
      <c r="BD78" s="233">
        <v>0.0</v>
      </c>
      <c r="BE78" s="299"/>
      <c r="BF78" s="299"/>
      <c r="BG78" s="299"/>
      <c r="BH78" s="61">
        <f t="shared" si="205"/>
        <v>0</v>
      </c>
      <c r="BI78" s="314" t="s">
        <v>197</v>
      </c>
      <c r="BJ78" s="299"/>
      <c r="BK78" s="299"/>
      <c r="BL78" s="299"/>
      <c r="BM78" s="299"/>
      <c r="BN78" s="299"/>
      <c r="BO78" s="299"/>
      <c r="BP78" s="299"/>
      <c r="BQ78" s="299"/>
      <c r="BR78" s="299"/>
      <c r="BS78" s="299"/>
      <c r="BT78" s="299"/>
      <c r="BU78" s="299"/>
      <c r="BV78" s="61">
        <f t="shared" si="206"/>
        <v>0</v>
      </c>
      <c r="BW78" s="314" t="s">
        <v>197</v>
      </c>
      <c r="BX78" s="319">
        <v>0.0</v>
      </c>
      <c r="BY78" s="299">
        <f>(BD78*(1+Inflation!$J$4))*(1+Inflation!$J$4)</f>
        <v>0</v>
      </c>
      <c r="BZ78" s="319">
        <v>0.0</v>
      </c>
      <c r="CA78" s="319">
        <v>0.0</v>
      </c>
      <c r="CB78" s="299">
        <f>(BY78*(1+Inflation!$J$4))*(1+Inflation!$J$4)</f>
        <v>0</v>
      </c>
      <c r="CC78" s="319">
        <v>0.0</v>
      </c>
      <c r="CD78" s="319">
        <v>0.0</v>
      </c>
      <c r="CE78" s="299">
        <f>(CB78*(1+Inflation!$J$4))*(1+Inflation!$J$4)</f>
        <v>0</v>
      </c>
      <c r="CF78" s="319">
        <v>0.0</v>
      </c>
      <c r="CG78" s="319">
        <v>0.0</v>
      </c>
      <c r="CH78" s="299">
        <f>(CE78*(1+Inflation!$J$4))*(1+Inflation!$J$4)</f>
        <v>0</v>
      </c>
      <c r="CI78" s="319">
        <v>0.0</v>
      </c>
      <c r="CJ78" s="319">
        <v>0.0</v>
      </c>
      <c r="CK78" s="299">
        <f>(CH78*(1+Inflation!$J$4))*(1+Inflation!$J$4)</f>
        <v>0</v>
      </c>
      <c r="CL78" s="319">
        <v>0.0</v>
      </c>
      <c r="CM78" s="319">
        <v>0.0</v>
      </c>
      <c r="CN78" s="299">
        <f>(CK78*(1+Inflation!$J$4))*(1+Inflation!$J$4)</f>
        <v>0</v>
      </c>
      <c r="CO78" s="319">
        <v>0.0</v>
      </c>
      <c r="CP78" s="319">
        <v>0.0</v>
      </c>
      <c r="CQ78" s="299">
        <f>(CN78*(1+Inflation!$J$4))*(1+Inflation!$J$4)</f>
        <v>0</v>
      </c>
      <c r="CR78" s="319">
        <v>0.0</v>
      </c>
      <c r="CS78" s="319">
        <v>0.0</v>
      </c>
      <c r="CT78" s="299">
        <f>(CQ78*(1+Inflation!$J$4))*(1+Inflation!$J$4)</f>
        <v>0</v>
      </c>
      <c r="CU78" s="319">
        <v>0.0</v>
      </c>
      <c r="CV78" s="319">
        <v>0.0</v>
      </c>
      <c r="CW78" s="299">
        <f>(CT78*(1+Inflation!$J$4))*(1+Inflation!$J$4)</f>
        <v>0</v>
      </c>
      <c r="CX78" s="319">
        <v>0.0</v>
      </c>
      <c r="CY78" s="300"/>
      <c r="CZ78" s="300"/>
      <c r="DA78" s="300"/>
      <c r="DB78" s="300"/>
      <c r="DC78" s="300"/>
      <c r="DD78" s="300"/>
      <c r="DE78" s="300"/>
      <c r="DF78" s="300"/>
      <c r="DG78" s="300"/>
      <c r="DH78" s="300"/>
      <c r="DI78" s="300"/>
      <c r="DJ78" s="300"/>
      <c r="DK78" s="300"/>
      <c r="DL78" s="300"/>
      <c r="DM78" s="300"/>
      <c r="DN78" s="300"/>
      <c r="DO78" s="300"/>
      <c r="DP78" s="300"/>
    </row>
    <row r="79" ht="18.75" customHeight="1">
      <c r="A79" s="10" t="s">
        <v>199</v>
      </c>
      <c r="B79" s="73"/>
      <c r="C79" s="73"/>
      <c r="D79" s="320"/>
      <c r="E79" s="73"/>
      <c r="F79" s="73"/>
      <c r="G79" s="73"/>
      <c r="H79" s="73"/>
      <c r="I79" s="73"/>
      <c r="J79" s="73"/>
      <c r="K79" s="251">
        <v>19808.0</v>
      </c>
      <c r="L79" s="321"/>
      <c r="M79" s="73"/>
      <c r="N79" s="316">
        <f t="shared" si="211"/>
        <v>19808</v>
      </c>
      <c r="O79" s="322">
        <v>0.0</v>
      </c>
      <c r="P79" s="75">
        <f t="shared" si="203"/>
        <v>19808</v>
      </c>
      <c r="Q79" s="217" t="s">
        <v>200</v>
      </c>
      <c r="R79" s="61"/>
      <c r="S79" s="61"/>
      <c r="T79" s="61"/>
      <c r="U79" s="61"/>
      <c r="V79" s="323"/>
      <c r="W79" s="323"/>
      <c r="X79" s="323"/>
      <c r="Y79" s="323"/>
      <c r="Z79" s="323"/>
      <c r="AA79" s="233">
        <v>0.0</v>
      </c>
      <c r="AB79" s="61"/>
      <c r="AC79" s="61"/>
      <c r="AD79" s="317">
        <f t="shared" si="210"/>
        <v>0</v>
      </c>
      <c r="AE79" s="220">
        <v>0.0</v>
      </c>
      <c r="AF79" s="10"/>
      <c r="AG79" s="10" t="s">
        <v>199</v>
      </c>
      <c r="AH79" s="61"/>
      <c r="AI79" s="61"/>
      <c r="AJ79" s="61"/>
      <c r="AK79" s="61"/>
      <c r="AL79" s="61"/>
      <c r="AM79" s="61"/>
      <c r="AN79" s="61"/>
      <c r="AO79" s="61"/>
      <c r="AP79" s="61"/>
      <c r="AQ79" s="324">
        <f>AA79*(1+Inflation!$G$4)</f>
        <v>0</v>
      </c>
      <c r="AR79" s="61"/>
      <c r="AS79" s="61"/>
      <c r="AT79" s="317">
        <f t="shared" si="204"/>
        <v>0</v>
      </c>
      <c r="AU79" s="10" t="s">
        <v>199</v>
      </c>
      <c r="AV79" s="61"/>
      <c r="AW79" s="61"/>
      <c r="AX79" s="61"/>
      <c r="AY79" s="61"/>
      <c r="AZ79" s="61"/>
      <c r="BA79" s="61"/>
      <c r="BB79" s="325"/>
      <c r="BC79" s="61"/>
      <c r="BD79" s="61"/>
      <c r="BE79" s="61">
        <f>AQ79*(1+Inflation!$H$4)</f>
        <v>0</v>
      </c>
      <c r="BF79" s="61"/>
      <c r="BG79" s="61"/>
      <c r="BH79" s="317">
        <f t="shared" si="205"/>
        <v>0</v>
      </c>
      <c r="BI79" s="10" t="s">
        <v>199</v>
      </c>
      <c r="BJ79" s="61"/>
      <c r="BK79" s="61"/>
      <c r="BL79" s="61"/>
      <c r="BM79" s="61"/>
      <c r="BN79" s="61"/>
      <c r="BO79" s="61"/>
      <c r="BP79" s="61"/>
      <c r="BQ79" s="61"/>
      <c r="BR79" s="61"/>
      <c r="BS79" s="61">
        <f>BE79*(1+Inflation!$I$4)</f>
        <v>0</v>
      </c>
      <c r="BT79" s="61"/>
      <c r="BU79" s="61"/>
      <c r="BV79" s="61">
        <f t="shared" si="206"/>
        <v>0</v>
      </c>
      <c r="BW79" s="10" t="s">
        <v>199</v>
      </c>
      <c r="BX79" s="324">
        <f>BS79*(1+Inflation!$J$4)</f>
        <v>0</v>
      </c>
      <c r="BY79" s="324">
        <f>BX79*(1+Inflation!$J$4)</f>
        <v>0</v>
      </c>
      <c r="BZ79" s="324">
        <f>BY79*(1+Inflation!$J$4)</f>
        <v>0</v>
      </c>
      <c r="CA79" s="324">
        <f>BZ79*(1+Inflation!$J$4)</f>
        <v>0</v>
      </c>
      <c r="CB79" s="324">
        <f>CA79*(1+Inflation!$J$4)</f>
        <v>0</v>
      </c>
      <c r="CC79" s="324">
        <f>CB79*(1+Inflation!$J$4)</f>
        <v>0</v>
      </c>
      <c r="CD79" s="324">
        <f>CC79*(1+Inflation!$J$4)</f>
        <v>0</v>
      </c>
      <c r="CE79" s="324">
        <f>CD79*(1+Inflation!$J$4)</f>
        <v>0</v>
      </c>
      <c r="CF79" s="324">
        <f>CE79*(1+Inflation!$J$4)</f>
        <v>0</v>
      </c>
      <c r="CG79" s="324">
        <f>CF79*(1+Inflation!$J$4)</f>
        <v>0</v>
      </c>
      <c r="CH79" s="324">
        <f>CG79*(1+Inflation!$J$4)</f>
        <v>0</v>
      </c>
      <c r="CI79" s="324">
        <f>CH79*(1+Inflation!$J$4)</f>
        <v>0</v>
      </c>
      <c r="CJ79" s="324">
        <f>CI79*(1+Inflation!$J$4)</f>
        <v>0</v>
      </c>
      <c r="CK79" s="324">
        <f>CJ79*(1+Inflation!$J$4)</f>
        <v>0</v>
      </c>
      <c r="CL79" s="324">
        <f>CK79*(1+Inflation!$J$4)</f>
        <v>0</v>
      </c>
      <c r="CM79" s="324">
        <f>CL79*(1+Inflation!$J$4)</f>
        <v>0</v>
      </c>
      <c r="CN79" s="324">
        <f>CM79*(1+Inflation!$J$4)</f>
        <v>0</v>
      </c>
      <c r="CO79" s="324">
        <f>CN79*(1+Inflation!$J$4)</f>
        <v>0</v>
      </c>
      <c r="CP79" s="324">
        <f>CO79*(1+Inflation!$J$4)</f>
        <v>0</v>
      </c>
      <c r="CQ79" s="324">
        <f>CP79*(1+Inflation!$J$4)</f>
        <v>0</v>
      </c>
      <c r="CR79" s="324">
        <f>CQ79*(1+Inflation!$J$4)</f>
        <v>0</v>
      </c>
      <c r="CS79" s="324">
        <f>CR79*(1+Inflation!$J$4)</f>
        <v>0</v>
      </c>
      <c r="CT79" s="324">
        <f>CS79*(1+Inflation!$J$4)</f>
        <v>0</v>
      </c>
      <c r="CU79" s="324">
        <f>CT79*(1+Inflation!$J$4)</f>
        <v>0</v>
      </c>
      <c r="CV79" s="324">
        <f>CU79*(1+Inflation!$J$4)</f>
        <v>0</v>
      </c>
      <c r="CW79" s="324">
        <f>CV79*(1+Inflation!$J$4)</f>
        <v>0</v>
      </c>
      <c r="CX79" s="324">
        <f>CW79*(1+Inflation!$J$4)</f>
        <v>0</v>
      </c>
    </row>
    <row r="80" ht="18.75" customHeight="1">
      <c r="A80" s="12"/>
      <c r="B80" s="73"/>
      <c r="C80" s="73"/>
      <c r="D80" s="320"/>
      <c r="E80" s="73"/>
      <c r="F80" s="73"/>
      <c r="G80" s="73"/>
      <c r="H80" s="73"/>
      <c r="I80" s="73"/>
      <c r="J80" s="73"/>
      <c r="K80" s="321"/>
      <c r="L80" s="321"/>
      <c r="M80" s="73"/>
      <c r="N80" s="316">
        <f t="shared" si="211"/>
        <v>0</v>
      </c>
      <c r="O80" s="322">
        <v>0.0</v>
      </c>
      <c r="P80" s="75">
        <f t="shared" si="203"/>
        <v>0</v>
      </c>
      <c r="Q80" s="217" t="s">
        <v>201</v>
      </c>
      <c r="R80" s="61"/>
      <c r="S80" s="61"/>
      <c r="T80" s="61"/>
      <c r="U80" s="233">
        <v>0.0</v>
      </c>
      <c r="V80" s="323"/>
      <c r="W80" s="323"/>
      <c r="X80" s="323"/>
      <c r="Y80" s="323"/>
      <c r="Z80" s="323"/>
      <c r="AA80" s="323"/>
      <c r="AB80" s="61"/>
      <c r="AC80" s="61"/>
      <c r="AD80" s="317">
        <f t="shared" si="210"/>
        <v>0</v>
      </c>
      <c r="AE80" s="220">
        <v>0.0</v>
      </c>
      <c r="AF80" s="10"/>
      <c r="AG80" s="10" t="s">
        <v>202</v>
      </c>
      <c r="AH80" s="61"/>
      <c r="AI80" s="61"/>
      <c r="AJ80" s="61"/>
      <c r="AK80" s="61"/>
      <c r="AL80" s="61"/>
      <c r="AM80" s="61"/>
      <c r="AN80" s="61"/>
      <c r="AO80" s="61"/>
      <c r="AP80" s="61"/>
      <c r="AQ80" s="61"/>
      <c r="AR80" s="61"/>
      <c r="AS80" s="61"/>
      <c r="AT80" s="317">
        <f t="shared" si="204"/>
        <v>0</v>
      </c>
      <c r="AU80" s="10" t="s">
        <v>202</v>
      </c>
      <c r="AV80" s="61"/>
      <c r="AW80" s="61"/>
      <c r="AX80" s="61"/>
      <c r="AY80" s="61">
        <f>(U80*(1+Inflation!$F$4))*(1+Inflation!$G$4)</f>
        <v>0</v>
      </c>
      <c r="AZ80" s="61"/>
      <c r="BA80" s="61"/>
      <c r="BB80" s="325"/>
      <c r="BC80" s="61"/>
      <c r="BD80" s="61"/>
      <c r="BE80" s="61"/>
      <c r="BF80" s="61"/>
      <c r="BG80" s="61"/>
      <c r="BH80" s="317">
        <f t="shared" si="205"/>
        <v>0</v>
      </c>
      <c r="BI80" s="10" t="s">
        <v>202</v>
      </c>
      <c r="BJ80" s="61"/>
      <c r="BK80" s="61"/>
      <c r="BL80" s="61"/>
      <c r="BM80" s="61"/>
      <c r="BN80" s="61"/>
      <c r="BO80" s="61"/>
      <c r="BP80" s="61"/>
      <c r="BQ80" s="61"/>
      <c r="BR80" s="61"/>
      <c r="BS80" s="61"/>
      <c r="BT80" s="61"/>
      <c r="BU80" s="61"/>
      <c r="BV80" s="61">
        <f t="shared" si="206"/>
        <v>0</v>
      </c>
      <c r="BW80" s="10" t="s">
        <v>202</v>
      </c>
      <c r="BX80" s="324">
        <f>(AY80*(1+Inflation!$H$4))*(1+Inflation!$I$4)</f>
        <v>0</v>
      </c>
      <c r="BY80" s="326">
        <v>0.0</v>
      </c>
      <c r="BZ80" s="324">
        <f>(BX80*(1+Inflation!$J$4))*(1+Inflation!$J$4)</f>
        <v>0</v>
      </c>
      <c r="CA80" s="326">
        <v>0.0</v>
      </c>
      <c r="CB80" s="324">
        <f>(BZ80*(1+Inflation!$J$4))*(1+Inflation!$J$4)</f>
        <v>0</v>
      </c>
      <c r="CC80" s="326">
        <v>0.0</v>
      </c>
      <c r="CD80" s="324">
        <f>(CB80*(1+Inflation!$J$4))*(1+Inflation!$J$4)</f>
        <v>0</v>
      </c>
      <c r="CE80" s="326">
        <v>0.0</v>
      </c>
      <c r="CF80" s="324">
        <f>(CD80*(1+Inflation!$J$4))*(1+Inflation!$J$4)</f>
        <v>0</v>
      </c>
      <c r="CG80" s="326">
        <v>0.0</v>
      </c>
      <c r="CH80" s="324">
        <f>(CF80*(1+Inflation!$J$4))*(1+Inflation!$J$4)</f>
        <v>0</v>
      </c>
      <c r="CI80" s="326">
        <v>0.0</v>
      </c>
      <c r="CJ80" s="324">
        <f>(CH80*(1+Inflation!$J$4))*(1+Inflation!$J$4)</f>
        <v>0</v>
      </c>
      <c r="CK80" s="326">
        <v>0.0</v>
      </c>
      <c r="CL80" s="324">
        <f>(CJ80*(1+Inflation!$J$4))*(1+Inflation!$J$4)</f>
        <v>0</v>
      </c>
      <c r="CM80" s="326">
        <v>0.0</v>
      </c>
      <c r="CN80" s="324">
        <f>(CL80*(1+Inflation!$J$4))*(1+Inflation!$J$4)</f>
        <v>0</v>
      </c>
      <c r="CO80" s="326">
        <v>0.0</v>
      </c>
      <c r="CP80" s="324">
        <f>(CN80*(1+Inflation!$J$4))*(1+Inflation!$J$4)</f>
        <v>0</v>
      </c>
      <c r="CQ80" s="326">
        <v>0.0</v>
      </c>
      <c r="CR80" s="324">
        <f>(CP80*(1+Inflation!$J$4))*(1+Inflation!$J$4)</f>
        <v>0</v>
      </c>
      <c r="CS80" s="326">
        <v>0.0</v>
      </c>
      <c r="CT80" s="324">
        <f>(CR80*(1+Inflation!$J$4))*(1+Inflation!$J$4)</f>
        <v>0</v>
      </c>
      <c r="CU80" s="326">
        <v>0.0</v>
      </c>
      <c r="CV80" s="324">
        <f>(CT80*(1+Inflation!$J$4))*(1+Inflation!$J$4)</f>
        <v>0</v>
      </c>
      <c r="CW80" s="326">
        <v>0.0</v>
      </c>
      <c r="CX80" s="324">
        <f>(CV80*(1+Inflation!$J$4))*(1+Inflation!$J$4)</f>
        <v>0</v>
      </c>
    </row>
    <row r="81" ht="18.75" customHeight="1">
      <c r="A81" s="10" t="s">
        <v>203</v>
      </c>
      <c r="B81" s="73"/>
      <c r="C81" s="73"/>
      <c r="D81" s="320"/>
      <c r="E81" s="73"/>
      <c r="F81" s="73"/>
      <c r="G81" s="73"/>
      <c r="H81" s="73"/>
      <c r="I81" s="73"/>
      <c r="J81" s="73"/>
      <c r="K81" s="204"/>
      <c r="L81" s="73"/>
      <c r="M81" s="73"/>
      <c r="N81" s="316">
        <f t="shared" si="211"/>
        <v>0</v>
      </c>
      <c r="O81" s="322">
        <v>0.0</v>
      </c>
      <c r="P81" s="75">
        <f t="shared" si="203"/>
        <v>0</v>
      </c>
      <c r="Q81" s="217" t="s">
        <v>204</v>
      </c>
      <c r="R81" s="61"/>
      <c r="S81" s="61"/>
      <c r="T81" s="61"/>
      <c r="U81" s="235"/>
      <c r="V81" s="233">
        <v>0.0</v>
      </c>
      <c r="W81" s="323"/>
      <c r="X81" s="323"/>
      <c r="Y81" s="323"/>
      <c r="Z81" s="323"/>
      <c r="AA81" s="323"/>
      <c r="AB81" s="61"/>
      <c r="AC81" s="61"/>
      <c r="AD81" s="317">
        <f t="shared" si="210"/>
        <v>0</v>
      </c>
      <c r="AE81" s="220">
        <v>0.0</v>
      </c>
      <c r="AF81" s="10"/>
      <c r="AG81" s="10" t="s">
        <v>204</v>
      </c>
      <c r="AH81" s="61"/>
      <c r="AI81" s="61"/>
      <c r="AJ81" s="61"/>
      <c r="AK81" s="61"/>
      <c r="AL81" s="327">
        <f>('Project Costs'!L37+'Project Costs'!L38)*1/3</f>
        <v>8616.352</v>
      </c>
      <c r="AM81" s="61"/>
      <c r="AN81" s="61"/>
      <c r="AO81" s="61"/>
      <c r="AP81" s="61"/>
      <c r="AQ81" s="61"/>
      <c r="AR81" s="61"/>
      <c r="AS81" s="61"/>
      <c r="AT81" s="317">
        <f t="shared" si="204"/>
        <v>8616.352</v>
      </c>
      <c r="AU81" s="328"/>
      <c r="AV81" s="61"/>
      <c r="AW81" s="61"/>
      <c r="AX81" s="61"/>
      <c r="AY81" s="61"/>
      <c r="AZ81" s="61"/>
      <c r="BA81" s="61"/>
      <c r="BB81" s="325"/>
      <c r="BC81" s="61"/>
      <c r="BD81" s="61"/>
      <c r="BE81" s="61"/>
      <c r="BF81" s="61"/>
      <c r="BG81" s="61"/>
      <c r="BH81" s="317">
        <f t="shared" si="205"/>
        <v>0</v>
      </c>
      <c r="BI81" s="328"/>
      <c r="BJ81" s="61"/>
      <c r="BK81" s="61"/>
      <c r="BL81" s="61"/>
      <c r="BM81" s="61"/>
      <c r="BN81" s="61"/>
      <c r="BO81" s="61"/>
      <c r="BP81" s="61"/>
      <c r="BQ81" s="61"/>
      <c r="BR81" s="61"/>
      <c r="BS81" s="61"/>
      <c r="BT81" s="61"/>
      <c r="BU81" s="61"/>
      <c r="BV81" s="61">
        <f t="shared" si="206"/>
        <v>0</v>
      </c>
      <c r="BW81" s="10" t="s">
        <v>204</v>
      </c>
      <c r="BX81" s="61"/>
      <c r="BY81" s="61"/>
      <c r="BZ81" s="61"/>
      <c r="CA81" s="61"/>
      <c r="CB81" s="61"/>
      <c r="CC81" s="324">
        <f>'Project Costs'!M37+'Project Costs'!M38</f>
        <v>35496.94643</v>
      </c>
      <c r="CD81" s="61"/>
      <c r="CE81" s="61"/>
      <c r="CF81" s="61"/>
      <c r="CG81" s="61"/>
      <c r="CH81" s="61"/>
      <c r="CI81" s="61"/>
      <c r="CJ81" s="61"/>
      <c r="CK81" s="61"/>
      <c r="CL81" s="61"/>
      <c r="CM81" s="61"/>
      <c r="CN81" s="61"/>
      <c r="CO81" s="61"/>
      <c r="CP81" s="61"/>
      <c r="CQ81" s="61"/>
      <c r="CR81" s="61"/>
      <c r="CS81" s="61"/>
      <c r="CT81" s="61"/>
      <c r="CU81" s="61"/>
      <c r="CV81" s="61"/>
    </row>
    <row r="82" ht="18.75" customHeight="1">
      <c r="A82" s="328" t="s">
        <v>205</v>
      </c>
      <c r="B82" s="73">
        <f t="shared" ref="B82:M82" si="212">SUM(B53:B81)</f>
        <v>27685</v>
      </c>
      <c r="C82" s="73">
        <f t="shared" si="212"/>
        <v>0</v>
      </c>
      <c r="D82" s="73">
        <f t="shared" si="212"/>
        <v>25659.5</v>
      </c>
      <c r="E82" s="73">
        <f t="shared" si="212"/>
        <v>0</v>
      </c>
      <c r="F82" s="73">
        <f t="shared" si="212"/>
        <v>0</v>
      </c>
      <c r="G82" s="73">
        <f t="shared" si="212"/>
        <v>10000</v>
      </c>
      <c r="H82" s="73">
        <f t="shared" si="212"/>
        <v>170108</v>
      </c>
      <c r="I82" s="73">
        <f t="shared" si="212"/>
        <v>90246</v>
      </c>
      <c r="J82" s="73">
        <f t="shared" si="212"/>
        <v>0</v>
      </c>
      <c r="K82" s="73">
        <f t="shared" si="212"/>
        <v>40246</v>
      </c>
      <c r="L82" s="73">
        <f t="shared" si="212"/>
        <v>137937</v>
      </c>
      <c r="M82" s="73">
        <f t="shared" si="212"/>
        <v>134702.2665</v>
      </c>
      <c r="N82" s="316">
        <f t="shared" si="211"/>
        <v>636583.7665</v>
      </c>
      <c r="O82" s="329">
        <f>SUM(O53:O78)</f>
        <v>972586</v>
      </c>
      <c r="P82" s="75">
        <f t="shared" si="203"/>
        <v>-336002.2335</v>
      </c>
      <c r="Q82" s="330" t="s">
        <v>205</v>
      </c>
      <c r="R82" s="61">
        <f t="shared" ref="R82:AC82" si="213">SUM(R53:R81)</f>
        <v>0</v>
      </c>
      <c r="S82" s="61">
        <f t="shared" si="213"/>
        <v>0</v>
      </c>
      <c r="T82" s="61">
        <f t="shared" si="213"/>
        <v>0</v>
      </c>
      <c r="U82" s="61">
        <f t="shared" si="213"/>
        <v>0</v>
      </c>
      <c r="V82" s="61">
        <f t="shared" si="213"/>
        <v>10000</v>
      </c>
      <c r="W82" s="61">
        <f t="shared" si="213"/>
        <v>191226</v>
      </c>
      <c r="X82" s="61">
        <f t="shared" si="213"/>
        <v>114983.6429</v>
      </c>
      <c r="Y82" s="61">
        <f t="shared" si="213"/>
        <v>72575.56015</v>
      </c>
      <c r="Z82" s="61">
        <f t="shared" si="213"/>
        <v>99292.84586</v>
      </c>
      <c r="AA82" s="61">
        <f t="shared" si="213"/>
        <v>112446.9511</v>
      </c>
      <c r="AB82" s="61">
        <f t="shared" si="213"/>
        <v>48000</v>
      </c>
      <c r="AC82" s="61">
        <f t="shared" si="213"/>
        <v>0</v>
      </c>
      <c r="AD82" s="331">
        <f t="shared" si="210"/>
        <v>648525</v>
      </c>
      <c r="AE82" s="331">
        <f>SUM(AE53:AE81)</f>
        <v>648525</v>
      </c>
      <c r="AF82" s="328"/>
      <c r="AG82" s="328" t="s">
        <v>205</v>
      </c>
      <c r="AH82" s="61">
        <f t="shared" ref="AH82:AS82" si="214">SUM(AH53:AH81)</f>
        <v>0</v>
      </c>
      <c r="AI82" s="61">
        <f t="shared" si="214"/>
        <v>0</v>
      </c>
      <c r="AJ82" s="61">
        <f t="shared" si="214"/>
        <v>0</v>
      </c>
      <c r="AK82" s="61">
        <f t="shared" si="214"/>
        <v>27855.39677</v>
      </c>
      <c r="AL82" s="61">
        <f t="shared" si="214"/>
        <v>32870.20602</v>
      </c>
      <c r="AM82" s="61">
        <f t="shared" si="214"/>
        <v>156810.5995</v>
      </c>
      <c r="AN82" s="61">
        <f t="shared" si="214"/>
        <v>48000</v>
      </c>
      <c r="AO82" s="61">
        <f t="shared" si="214"/>
        <v>6000</v>
      </c>
      <c r="AP82" s="61">
        <f t="shared" si="214"/>
        <v>0</v>
      </c>
      <c r="AQ82" s="61">
        <f t="shared" si="214"/>
        <v>5000</v>
      </c>
      <c r="AR82" s="61">
        <f t="shared" si="214"/>
        <v>0</v>
      </c>
      <c r="AS82" s="61">
        <f t="shared" si="214"/>
        <v>0</v>
      </c>
      <c r="AT82" s="331">
        <f t="shared" si="204"/>
        <v>276536.2023</v>
      </c>
      <c r="AU82" s="328" t="s">
        <v>205</v>
      </c>
      <c r="AV82" s="61">
        <f t="shared" ref="AV82:BG82" si="215">SUM(AV53:AV81)</f>
        <v>0</v>
      </c>
      <c r="AW82" s="61">
        <f t="shared" si="215"/>
        <v>0</v>
      </c>
      <c r="AX82" s="61">
        <f t="shared" si="215"/>
        <v>0</v>
      </c>
      <c r="AY82" s="61">
        <f t="shared" si="215"/>
        <v>16019.02598</v>
      </c>
      <c r="AZ82" s="61">
        <f t="shared" si="215"/>
        <v>152076.6571</v>
      </c>
      <c r="BA82" s="61">
        <f t="shared" si="215"/>
        <v>0</v>
      </c>
      <c r="BB82" s="61">
        <f t="shared" si="215"/>
        <v>0</v>
      </c>
      <c r="BC82" s="61">
        <f t="shared" si="215"/>
        <v>628.0958347</v>
      </c>
      <c r="BD82" s="61">
        <f t="shared" si="215"/>
        <v>5471.970912</v>
      </c>
      <c r="BE82" s="61">
        <f t="shared" si="215"/>
        <v>5175</v>
      </c>
      <c r="BF82" s="61">
        <f t="shared" si="215"/>
        <v>0</v>
      </c>
      <c r="BG82" s="61">
        <f t="shared" si="215"/>
        <v>0</v>
      </c>
      <c r="BH82" s="331">
        <f t="shared" si="205"/>
        <v>179370.7499</v>
      </c>
      <c r="BI82" s="328" t="s">
        <v>205</v>
      </c>
      <c r="BJ82" s="61">
        <f t="shared" ref="BJ82:BU82" si="216">SUM(BJ53:BJ81)</f>
        <v>0</v>
      </c>
      <c r="BK82" s="61">
        <f t="shared" si="216"/>
        <v>0</v>
      </c>
      <c r="BL82" s="61">
        <f t="shared" si="216"/>
        <v>0</v>
      </c>
      <c r="BM82" s="61">
        <f t="shared" si="216"/>
        <v>16531.63482</v>
      </c>
      <c r="BN82" s="61">
        <f t="shared" si="216"/>
        <v>0</v>
      </c>
      <c r="BO82" s="61">
        <f t="shared" si="216"/>
        <v>0</v>
      </c>
      <c r="BP82" s="61">
        <f t="shared" si="216"/>
        <v>0</v>
      </c>
      <c r="BQ82" s="61">
        <f t="shared" si="216"/>
        <v>650.6254671</v>
      </c>
      <c r="BR82" s="61">
        <f t="shared" si="216"/>
        <v>0</v>
      </c>
      <c r="BS82" s="61">
        <f t="shared" si="216"/>
        <v>5356.125</v>
      </c>
      <c r="BT82" s="61">
        <f t="shared" si="216"/>
        <v>0</v>
      </c>
      <c r="BU82" s="61">
        <f t="shared" si="216"/>
        <v>0</v>
      </c>
      <c r="BV82" s="331">
        <f t="shared" si="206"/>
        <v>22538.38528</v>
      </c>
      <c r="BW82" s="328" t="s">
        <v>205</v>
      </c>
      <c r="BX82" s="61">
        <f t="shared" ref="BX82:CX82" si="217">SUM(BX53:BX81)</f>
        <v>23606.17803</v>
      </c>
      <c r="BY82" s="61">
        <f t="shared" si="217"/>
        <v>24386.90521</v>
      </c>
      <c r="BZ82" s="61">
        <f t="shared" si="217"/>
        <v>147954.6848</v>
      </c>
      <c r="CA82" s="61">
        <f t="shared" si="217"/>
        <v>26026.8962</v>
      </c>
      <c r="CB82" s="61">
        <f t="shared" si="217"/>
        <v>26887.91098</v>
      </c>
      <c r="CC82" s="61">
        <f t="shared" si="217"/>
        <v>581253.1526</v>
      </c>
      <c r="CD82" s="61">
        <f t="shared" si="217"/>
        <v>565255.0563</v>
      </c>
      <c r="CE82" s="61">
        <f t="shared" si="217"/>
        <v>474289.914</v>
      </c>
      <c r="CF82" s="61">
        <f t="shared" si="217"/>
        <v>30627.25545</v>
      </c>
      <c r="CG82" s="61">
        <f t="shared" si="217"/>
        <v>223716.5808</v>
      </c>
      <c r="CH82" s="61">
        <f t="shared" si="217"/>
        <v>231653.5772</v>
      </c>
      <c r="CI82" s="61">
        <f t="shared" si="217"/>
        <v>587212.3582</v>
      </c>
      <c r="CJ82" s="61">
        <f t="shared" si="217"/>
        <v>435601.8774</v>
      </c>
      <c r="CK82" s="61">
        <f t="shared" si="217"/>
        <v>426008.073</v>
      </c>
      <c r="CL82" s="61">
        <f t="shared" si="217"/>
        <v>37236.74474</v>
      </c>
      <c r="CM82" s="61">
        <f t="shared" si="217"/>
        <v>232570.8517</v>
      </c>
      <c r="CN82" s="61">
        <f t="shared" si="217"/>
        <v>83154.08592</v>
      </c>
      <c r="CO82" s="61">
        <f t="shared" si="217"/>
        <v>86027.51824</v>
      </c>
      <c r="CP82" s="61">
        <f t="shared" si="217"/>
        <v>42420.1673</v>
      </c>
      <c r="CQ82" s="61">
        <f t="shared" si="217"/>
        <v>94006.60645</v>
      </c>
      <c r="CR82" s="61">
        <f t="shared" si="217"/>
        <v>365880.6831</v>
      </c>
      <c r="CS82" s="61">
        <f t="shared" si="217"/>
        <v>551708.2631</v>
      </c>
      <c r="CT82" s="61">
        <f t="shared" si="217"/>
        <v>548365.4922</v>
      </c>
      <c r="CU82" s="61">
        <f t="shared" si="217"/>
        <v>49928.83909</v>
      </c>
      <c r="CV82" s="61">
        <f t="shared" si="217"/>
        <v>51583.53174</v>
      </c>
      <c r="CW82" s="61">
        <f t="shared" si="217"/>
        <v>53293.21804</v>
      </c>
      <c r="CX82" s="61">
        <f t="shared" si="217"/>
        <v>55059.7311</v>
      </c>
    </row>
    <row r="83" ht="18.75" customHeight="1">
      <c r="D83" s="332"/>
      <c r="O83" s="333"/>
      <c r="P83" s="333"/>
    </row>
    <row r="84" ht="18.75" customHeight="1">
      <c r="D84" s="332"/>
      <c r="O84" s="333"/>
      <c r="P84" s="333"/>
      <c r="Q84" s="334" t="s">
        <v>206</v>
      </c>
    </row>
    <row r="85" ht="18.75" customHeight="1">
      <c r="D85" s="332"/>
      <c r="O85" s="333"/>
      <c r="P85" s="333"/>
      <c r="Q85" s="335" t="s">
        <v>207</v>
      </c>
      <c r="CG85" s="260"/>
    </row>
    <row r="86" ht="18.75" customHeight="1">
      <c r="D86" s="332"/>
      <c r="O86" s="333"/>
      <c r="P86" s="333"/>
      <c r="Q86" s="335" t="s">
        <v>208</v>
      </c>
      <c r="CE86" s="336"/>
    </row>
    <row r="87" ht="18.75" customHeight="1">
      <c r="D87" s="332"/>
      <c r="O87" s="333"/>
      <c r="P87" s="333"/>
      <c r="Q87" s="335" t="s">
        <v>209</v>
      </c>
    </row>
    <row r="88" ht="18.75" customHeight="1">
      <c r="D88" s="332"/>
      <c r="O88" s="333"/>
      <c r="P88" s="333"/>
      <c r="Q88" s="335" t="s">
        <v>210</v>
      </c>
    </row>
    <row r="89" ht="18.75" customHeight="1">
      <c r="D89" s="332"/>
      <c r="O89" s="333"/>
      <c r="P89" s="333"/>
      <c r="Q89" s="335" t="s">
        <v>211</v>
      </c>
    </row>
    <row r="90" ht="18.75" customHeight="1">
      <c r="D90" s="332"/>
      <c r="O90" s="333"/>
      <c r="P90" s="333"/>
      <c r="Q90" s="335" t="s">
        <v>212</v>
      </c>
    </row>
    <row r="91" ht="18.75" customHeight="1">
      <c r="D91" s="332"/>
      <c r="O91" s="333"/>
      <c r="P91" s="333"/>
      <c r="Q91" s="337" t="s">
        <v>213</v>
      </c>
    </row>
    <row r="92" ht="18.75" customHeight="1">
      <c r="D92" s="332"/>
      <c r="O92" s="333"/>
      <c r="P92" s="333"/>
      <c r="Q92" s="337" t="s">
        <v>214</v>
      </c>
    </row>
    <row r="93" ht="18.75" customHeight="1">
      <c r="D93" s="332"/>
      <c r="O93" s="333"/>
      <c r="P93" s="333"/>
      <c r="Q93" s="337" t="s">
        <v>215</v>
      </c>
    </row>
    <row r="94" ht="18.75" customHeight="1">
      <c r="D94" s="332"/>
      <c r="O94" s="333"/>
      <c r="P94" s="333"/>
      <c r="Q94" s="337" t="s">
        <v>216</v>
      </c>
    </row>
    <row r="95" ht="18.75" customHeight="1">
      <c r="D95" s="332"/>
      <c r="O95" s="333"/>
      <c r="P95" s="333"/>
      <c r="Q95" s="338" t="s">
        <v>217</v>
      </c>
    </row>
    <row r="96" ht="18.75" customHeight="1">
      <c r="D96" s="332"/>
      <c r="O96" s="333"/>
      <c r="P96" s="333"/>
      <c r="Q96" s="338" t="s">
        <v>218</v>
      </c>
    </row>
    <row r="97" ht="18.75" customHeight="1">
      <c r="D97" s="332"/>
      <c r="O97" s="333"/>
      <c r="P97" s="333"/>
      <c r="Q97" s="338" t="s">
        <v>219</v>
      </c>
    </row>
    <row r="98" ht="18.75" customHeight="1">
      <c r="D98" s="332"/>
      <c r="O98" s="333"/>
      <c r="P98" s="333"/>
      <c r="Q98" s="338" t="s">
        <v>220</v>
      </c>
    </row>
    <row r="99" ht="18.75" customHeight="1">
      <c r="D99" s="332"/>
      <c r="O99" s="333"/>
      <c r="P99" s="333"/>
      <c r="Q99" s="338" t="s">
        <v>221</v>
      </c>
    </row>
    <row r="100" ht="18.75" customHeight="1">
      <c r="D100" s="332"/>
      <c r="O100" s="333"/>
      <c r="P100" s="333"/>
      <c r="Q100" s="338" t="s">
        <v>222</v>
      </c>
    </row>
    <row r="101" ht="18.75" customHeight="1">
      <c r="D101" s="332"/>
      <c r="O101" s="333"/>
      <c r="P101" s="333"/>
      <c r="Q101" s="338" t="s">
        <v>223</v>
      </c>
    </row>
    <row r="102" ht="18.75" customHeight="1">
      <c r="D102" s="332"/>
      <c r="O102" s="333"/>
      <c r="P102" s="333"/>
      <c r="Q102" s="339"/>
    </row>
    <row r="103" ht="18.75" customHeight="1">
      <c r="D103" s="332"/>
      <c r="O103" s="333"/>
      <c r="P103" s="333"/>
      <c r="Q103" s="335" t="s">
        <v>224</v>
      </c>
    </row>
    <row r="104" ht="18.75" customHeight="1">
      <c r="D104" s="332"/>
      <c r="O104" s="333"/>
      <c r="P104" s="333"/>
      <c r="Q104" s="339"/>
    </row>
    <row r="105" ht="18.75" customHeight="1">
      <c r="D105" s="332"/>
      <c r="O105" s="333"/>
      <c r="P105" s="333"/>
      <c r="Q105" s="335" t="s">
        <v>225</v>
      </c>
    </row>
    <row r="106" ht="18.75" customHeight="1">
      <c r="D106" s="332"/>
      <c r="O106" s="333"/>
      <c r="P106" s="333"/>
      <c r="Q106" s="339"/>
    </row>
    <row r="107" ht="18.75" customHeight="1">
      <c r="D107" s="332"/>
      <c r="O107" s="333"/>
      <c r="P107" s="333"/>
      <c r="Q107" s="335" t="s">
        <v>226</v>
      </c>
    </row>
    <row r="108" ht="18.75" customHeight="1">
      <c r="D108" s="332"/>
      <c r="O108" s="333"/>
      <c r="P108" s="333"/>
      <c r="Q108" s="335" t="s">
        <v>227</v>
      </c>
    </row>
    <row r="109" ht="18.75" customHeight="1">
      <c r="D109" s="332"/>
      <c r="O109" s="333"/>
      <c r="P109" s="333"/>
      <c r="Q109" s="335" t="s">
        <v>228</v>
      </c>
    </row>
    <row r="110" ht="18.75" customHeight="1">
      <c r="D110" s="332"/>
      <c r="O110" s="333"/>
      <c r="P110" s="333"/>
      <c r="Q110" s="335" t="s">
        <v>229</v>
      </c>
    </row>
    <row r="111" ht="18.75" customHeight="1">
      <c r="D111" s="332"/>
      <c r="O111" s="333"/>
      <c r="P111" s="333"/>
      <c r="Q111" s="335" t="s">
        <v>230</v>
      </c>
    </row>
    <row r="112" ht="18.75" customHeight="1">
      <c r="D112" s="332"/>
      <c r="O112" s="333"/>
      <c r="P112" s="333"/>
      <c r="Q112" s="335" t="s">
        <v>231</v>
      </c>
    </row>
    <row r="113" ht="18.75" customHeight="1">
      <c r="D113" s="332"/>
      <c r="O113" s="333"/>
      <c r="P113" s="333"/>
      <c r="Q113" s="335" t="s">
        <v>232</v>
      </c>
    </row>
    <row r="114" ht="18.75" customHeight="1">
      <c r="D114" s="332"/>
      <c r="O114" s="333"/>
      <c r="P114" s="333"/>
      <c r="Q114" s="335" t="s">
        <v>233</v>
      </c>
    </row>
    <row r="115" ht="18.75" customHeight="1">
      <c r="D115" s="332"/>
      <c r="O115" s="333"/>
      <c r="P115" s="333"/>
    </row>
    <row r="116" ht="18.75" customHeight="1">
      <c r="D116" s="332"/>
      <c r="O116" s="333"/>
      <c r="P116" s="333"/>
      <c r="Q116" s="10" t="s">
        <v>234</v>
      </c>
    </row>
    <row r="117" ht="18.75" customHeight="1">
      <c r="D117" s="332"/>
      <c r="O117" s="333"/>
      <c r="P117" s="333"/>
    </row>
    <row r="118" ht="18.75" customHeight="1">
      <c r="D118" s="332"/>
      <c r="O118" s="333"/>
      <c r="P118" s="333"/>
    </row>
    <row r="119" ht="18.75" customHeight="1">
      <c r="D119" s="332"/>
      <c r="O119" s="333"/>
      <c r="P119" s="333"/>
    </row>
    <row r="120" ht="18.75" customHeight="1">
      <c r="D120" s="332"/>
      <c r="O120" s="333"/>
      <c r="P120" s="333"/>
    </row>
    <row r="121" ht="18.75" customHeight="1">
      <c r="D121" s="332"/>
      <c r="O121" s="333"/>
      <c r="P121" s="333"/>
    </row>
    <row r="122" ht="18.75" customHeight="1">
      <c r="D122" s="332"/>
      <c r="O122" s="333"/>
      <c r="P122" s="333"/>
    </row>
    <row r="123" ht="18.75" customHeight="1">
      <c r="D123" s="332"/>
      <c r="O123" s="333"/>
      <c r="P123" s="333"/>
    </row>
    <row r="124" ht="18.75" customHeight="1">
      <c r="D124" s="332"/>
      <c r="O124" s="333"/>
      <c r="P124" s="333"/>
    </row>
    <row r="125" ht="18.75" customHeight="1">
      <c r="D125" s="332"/>
      <c r="O125" s="333"/>
      <c r="P125" s="333"/>
    </row>
    <row r="126" ht="18.75" customHeight="1">
      <c r="D126" s="332"/>
      <c r="O126" s="333"/>
      <c r="P126" s="333"/>
    </row>
    <row r="127" ht="18.75" customHeight="1">
      <c r="D127" s="332"/>
      <c r="O127" s="333"/>
      <c r="P127" s="333"/>
    </row>
    <row r="128" ht="18.75" customHeight="1">
      <c r="D128" s="332"/>
      <c r="O128" s="333"/>
      <c r="P128" s="333"/>
    </row>
    <row r="129" ht="18.75" customHeight="1">
      <c r="D129" s="332"/>
      <c r="O129" s="333"/>
      <c r="P129" s="333"/>
    </row>
    <row r="130" ht="18.75" customHeight="1">
      <c r="D130" s="332"/>
      <c r="O130" s="333"/>
      <c r="P130" s="333"/>
    </row>
    <row r="131" ht="18.75" customHeight="1">
      <c r="D131" s="332"/>
      <c r="O131" s="333"/>
      <c r="P131" s="333"/>
    </row>
    <row r="132" ht="18.75" customHeight="1">
      <c r="D132" s="332"/>
      <c r="O132" s="333"/>
      <c r="P132" s="333"/>
    </row>
    <row r="133" ht="18.75" customHeight="1">
      <c r="D133" s="332"/>
      <c r="O133" s="333"/>
      <c r="P133" s="333"/>
    </row>
    <row r="134" ht="18.75" customHeight="1">
      <c r="D134" s="332"/>
      <c r="O134" s="333"/>
      <c r="P134" s="333"/>
    </row>
    <row r="135" ht="18.75" customHeight="1">
      <c r="D135" s="332"/>
      <c r="O135" s="333"/>
      <c r="P135" s="333"/>
    </row>
    <row r="136" ht="18.75" customHeight="1">
      <c r="D136" s="332"/>
      <c r="O136" s="333"/>
      <c r="P136" s="333"/>
    </row>
    <row r="137" ht="18.75" customHeight="1">
      <c r="D137" s="332"/>
      <c r="O137" s="333"/>
      <c r="P137" s="333"/>
    </row>
    <row r="138" ht="18.75" customHeight="1">
      <c r="D138" s="332"/>
      <c r="O138" s="333"/>
      <c r="P138" s="333"/>
    </row>
    <row r="139" ht="18.75" customHeight="1">
      <c r="D139" s="332"/>
      <c r="O139" s="333"/>
      <c r="P139" s="333"/>
    </row>
    <row r="140" ht="18.75" customHeight="1">
      <c r="D140" s="332"/>
      <c r="O140" s="333"/>
      <c r="P140" s="333"/>
    </row>
    <row r="141" ht="18.75" customHeight="1">
      <c r="D141" s="332"/>
      <c r="O141" s="333"/>
      <c r="P141" s="333"/>
    </row>
    <row r="142" ht="18.75" customHeight="1">
      <c r="D142" s="332"/>
      <c r="O142" s="333"/>
      <c r="P142" s="333"/>
    </row>
    <row r="143" ht="18.75" customHeight="1">
      <c r="D143" s="332"/>
      <c r="O143" s="333"/>
      <c r="P143" s="333"/>
    </row>
    <row r="144" ht="18.75" customHeight="1">
      <c r="D144" s="332"/>
      <c r="O144" s="333"/>
      <c r="P144" s="333"/>
    </row>
    <row r="145" ht="18.75" customHeight="1">
      <c r="D145" s="332"/>
      <c r="O145" s="333"/>
      <c r="P145" s="333"/>
    </row>
    <row r="146" ht="18.75" customHeight="1">
      <c r="D146" s="332"/>
      <c r="O146" s="333"/>
      <c r="P146" s="333"/>
    </row>
    <row r="147" ht="18.75" customHeight="1">
      <c r="D147" s="332"/>
      <c r="O147" s="333"/>
      <c r="P147" s="333"/>
    </row>
    <row r="148" ht="18.75" customHeight="1">
      <c r="D148" s="332"/>
      <c r="O148" s="333"/>
      <c r="P148" s="333"/>
    </row>
    <row r="149" ht="18.75" customHeight="1">
      <c r="D149" s="332"/>
      <c r="O149" s="333"/>
      <c r="P149" s="333"/>
    </row>
    <row r="150" ht="18.75" customHeight="1">
      <c r="D150" s="332"/>
      <c r="O150" s="333"/>
      <c r="P150" s="333"/>
    </row>
    <row r="151" ht="18.75" customHeight="1">
      <c r="D151" s="332"/>
      <c r="O151" s="333"/>
      <c r="P151" s="333"/>
    </row>
    <row r="152" ht="18.75" customHeight="1">
      <c r="D152" s="332"/>
      <c r="O152" s="333"/>
      <c r="P152" s="333"/>
    </row>
    <row r="153" ht="18.75" customHeight="1">
      <c r="D153" s="332"/>
      <c r="O153" s="333"/>
      <c r="P153" s="333"/>
    </row>
    <row r="154" ht="18.75" customHeight="1">
      <c r="D154" s="332"/>
      <c r="O154" s="333"/>
      <c r="P154" s="333"/>
    </row>
    <row r="155" ht="18.75" customHeight="1">
      <c r="D155" s="332"/>
      <c r="O155" s="333"/>
      <c r="P155" s="333"/>
    </row>
    <row r="156" ht="18.75" customHeight="1">
      <c r="D156" s="332"/>
      <c r="O156" s="333"/>
      <c r="P156" s="333"/>
    </row>
    <row r="157" ht="18.75" customHeight="1">
      <c r="D157" s="332"/>
      <c r="O157" s="333"/>
      <c r="P157" s="333"/>
    </row>
    <row r="158" ht="18.75" customHeight="1">
      <c r="D158" s="332"/>
      <c r="O158" s="333"/>
      <c r="P158" s="333"/>
    </row>
    <row r="159" ht="18.75" customHeight="1">
      <c r="D159" s="332"/>
      <c r="O159" s="333"/>
      <c r="P159" s="333"/>
    </row>
    <row r="160" ht="18.75" customHeight="1">
      <c r="D160" s="332"/>
      <c r="O160" s="333"/>
      <c r="P160" s="333"/>
    </row>
    <row r="161" ht="18.75" customHeight="1">
      <c r="D161" s="332"/>
      <c r="O161" s="333"/>
      <c r="P161" s="333"/>
    </row>
    <row r="162" ht="18.75" customHeight="1">
      <c r="D162" s="332"/>
      <c r="O162" s="333"/>
      <c r="P162" s="333"/>
    </row>
    <row r="163" ht="18.75" customHeight="1">
      <c r="D163" s="332"/>
      <c r="O163" s="333"/>
      <c r="P163" s="333"/>
    </row>
    <row r="164" ht="18.75" customHeight="1">
      <c r="D164" s="332"/>
      <c r="O164" s="333"/>
      <c r="P164" s="333"/>
    </row>
    <row r="165" ht="18.75" customHeight="1">
      <c r="D165" s="332"/>
      <c r="O165" s="333"/>
      <c r="P165" s="333"/>
    </row>
    <row r="166" ht="18.75" customHeight="1">
      <c r="D166" s="332"/>
      <c r="O166" s="333"/>
      <c r="P166" s="333"/>
    </row>
    <row r="167" ht="18.75" customHeight="1">
      <c r="D167" s="332"/>
      <c r="O167" s="333"/>
      <c r="P167" s="333"/>
    </row>
    <row r="168" ht="18.75" customHeight="1">
      <c r="D168" s="332"/>
      <c r="O168" s="333"/>
      <c r="P168" s="333"/>
    </row>
    <row r="169" ht="18.75" customHeight="1">
      <c r="D169" s="332"/>
      <c r="O169" s="333"/>
      <c r="P169" s="333"/>
    </row>
    <row r="170" ht="18.75" customHeight="1">
      <c r="D170" s="332"/>
      <c r="O170" s="333"/>
      <c r="P170" s="333"/>
    </row>
    <row r="171" ht="18.75" customHeight="1">
      <c r="D171" s="332"/>
      <c r="O171" s="333"/>
      <c r="P171" s="333"/>
    </row>
    <row r="172" ht="18.75" customHeight="1">
      <c r="D172" s="332"/>
      <c r="O172" s="333"/>
      <c r="P172" s="333"/>
    </row>
    <row r="173" ht="18.75" customHeight="1">
      <c r="D173" s="332"/>
      <c r="O173" s="333"/>
      <c r="P173" s="333"/>
    </row>
    <row r="174" ht="18.75" customHeight="1">
      <c r="D174" s="332"/>
      <c r="O174" s="333"/>
      <c r="P174" s="333"/>
    </row>
    <row r="175" ht="18.75" customHeight="1">
      <c r="D175" s="332"/>
      <c r="O175" s="333"/>
      <c r="P175" s="333"/>
    </row>
    <row r="176" ht="18.75" customHeight="1">
      <c r="D176" s="332"/>
      <c r="O176" s="333"/>
      <c r="P176" s="333"/>
    </row>
    <row r="177" ht="18.75" customHeight="1">
      <c r="D177" s="332"/>
      <c r="O177" s="333"/>
      <c r="P177" s="333"/>
    </row>
    <row r="178" ht="18.75" customHeight="1">
      <c r="D178" s="332"/>
      <c r="O178" s="333"/>
      <c r="P178" s="333"/>
    </row>
    <row r="179" ht="18.75" customHeight="1">
      <c r="D179" s="332"/>
      <c r="O179" s="333"/>
      <c r="P179" s="333"/>
    </row>
    <row r="180" ht="18.75" customHeight="1">
      <c r="D180" s="332"/>
      <c r="O180" s="333"/>
      <c r="P180" s="333"/>
    </row>
    <row r="181" ht="18.75" customHeight="1">
      <c r="D181" s="332"/>
      <c r="O181" s="333"/>
      <c r="P181" s="333"/>
    </row>
    <row r="182" ht="18.75" customHeight="1">
      <c r="D182" s="332"/>
      <c r="O182" s="333"/>
      <c r="P182" s="333"/>
    </row>
    <row r="183" ht="18.75" customHeight="1">
      <c r="D183" s="332"/>
      <c r="O183" s="333"/>
      <c r="P183" s="333"/>
    </row>
    <row r="184" ht="18.75" customHeight="1">
      <c r="D184" s="332"/>
      <c r="O184" s="333"/>
      <c r="P184" s="333"/>
    </row>
    <row r="185" ht="18.75" customHeight="1">
      <c r="D185" s="332"/>
      <c r="O185" s="333"/>
      <c r="P185" s="333"/>
    </row>
    <row r="186" ht="18.75" customHeight="1">
      <c r="D186" s="332"/>
      <c r="O186" s="333"/>
      <c r="P186" s="333"/>
    </row>
    <row r="187" ht="18.75" customHeight="1">
      <c r="D187" s="332"/>
      <c r="O187" s="333"/>
      <c r="P187" s="333"/>
    </row>
    <row r="188" ht="18.75" customHeight="1">
      <c r="D188" s="332"/>
      <c r="O188" s="333"/>
      <c r="P188" s="333"/>
    </row>
    <row r="189" ht="18.75" customHeight="1">
      <c r="D189" s="332"/>
      <c r="O189" s="333"/>
      <c r="P189" s="333"/>
    </row>
    <row r="190" ht="18.75" customHeight="1">
      <c r="D190" s="332"/>
      <c r="O190" s="333"/>
      <c r="P190" s="333"/>
    </row>
    <row r="191" ht="18.75" customHeight="1">
      <c r="D191" s="332"/>
      <c r="O191" s="333"/>
      <c r="P191" s="333"/>
    </row>
    <row r="192" ht="18.75" customHeight="1">
      <c r="D192" s="332"/>
      <c r="O192" s="333"/>
      <c r="P192" s="333"/>
    </row>
    <row r="193" ht="18.75" customHeight="1">
      <c r="D193" s="332"/>
      <c r="O193" s="333"/>
      <c r="P193" s="333"/>
    </row>
    <row r="194" ht="18.75" customHeight="1">
      <c r="D194" s="332"/>
      <c r="O194" s="333"/>
      <c r="P194" s="333"/>
    </row>
    <row r="195" ht="18.75" customHeight="1">
      <c r="D195" s="332"/>
      <c r="O195" s="333"/>
      <c r="P195" s="333"/>
    </row>
    <row r="196" ht="18.75" customHeight="1">
      <c r="D196" s="332"/>
      <c r="O196" s="333"/>
      <c r="P196" s="333"/>
    </row>
    <row r="197" ht="18.75" customHeight="1">
      <c r="D197" s="332"/>
      <c r="O197" s="333"/>
      <c r="P197" s="333"/>
    </row>
    <row r="198" ht="18.75" customHeight="1">
      <c r="D198" s="332"/>
      <c r="O198" s="333"/>
      <c r="P198" s="333"/>
    </row>
    <row r="199" ht="18.75" customHeight="1">
      <c r="D199" s="332"/>
      <c r="O199" s="333"/>
      <c r="P199" s="333"/>
    </row>
    <row r="200" ht="18.75" customHeight="1">
      <c r="D200" s="332"/>
      <c r="O200" s="333"/>
      <c r="P200" s="333"/>
    </row>
    <row r="201" ht="18.75" customHeight="1">
      <c r="D201" s="332"/>
      <c r="O201" s="333"/>
      <c r="P201" s="333"/>
    </row>
    <row r="202" ht="18.75" customHeight="1">
      <c r="D202" s="332"/>
      <c r="O202" s="333"/>
      <c r="P202" s="333"/>
    </row>
    <row r="203" ht="18.75" customHeight="1">
      <c r="D203" s="332"/>
      <c r="O203" s="333"/>
      <c r="P203" s="333"/>
    </row>
    <row r="204" ht="18.75" customHeight="1">
      <c r="D204" s="332"/>
      <c r="O204" s="333"/>
      <c r="P204" s="333"/>
    </row>
    <row r="205" ht="18.75" customHeight="1">
      <c r="D205" s="332"/>
      <c r="O205" s="333"/>
      <c r="P205" s="333"/>
    </row>
    <row r="206" ht="18.75" customHeight="1">
      <c r="D206" s="332"/>
      <c r="O206" s="333"/>
      <c r="P206" s="333"/>
    </row>
    <row r="207" ht="18.75" customHeight="1">
      <c r="D207" s="332"/>
      <c r="O207" s="333"/>
      <c r="P207" s="333"/>
    </row>
    <row r="208" ht="18.75" customHeight="1">
      <c r="D208" s="332"/>
      <c r="O208" s="333"/>
      <c r="P208" s="333"/>
    </row>
    <row r="209" ht="18.75" customHeight="1">
      <c r="D209" s="332"/>
      <c r="O209" s="333"/>
      <c r="P209" s="333"/>
    </row>
    <row r="210" ht="18.75" customHeight="1">
      <c r="D210" s="332"/>
      <c r="O210" s="333"/>
      <c r="P210" s="333"/>
    </row>
    <row r="211" ht="18.75" customHeight="1">
      <c r="D211" s="332"/>
      <c r="O211" s="333"/>
      <c r="P211" s="333"/>
    </row>
    <row r="212" ht="18.75" customHeight="1">
      <c r="D212" s="332"/>
      <c r="O212" s="333"/>
      <c r="P212" s="333"/>
    </row>
    <row r="213" ht="18.75" customHeight="1">
      <c r="D213" s="332"/>
      <c r="O213" s="333"/>
      <c r="P213" s="333"/>
    </row>
    <row r="214" ht="18.75" customHeight="1">
      <c r="D214" s="332"/>
      <c r="O214" s="333"/>
      <c r="P214" s="333"/>
    </row>
    <row r="215" ht="18.75" customHeight="1">
      <c r="D215" s="332"/>
      <c r="O215" s="333"/>
      <c r="P215" s="333"/>
    </row>
    <row r="216" ht="18.75" customHeight="1">
      <c r="D216" s="332"/>
      <c r="O216" s="333"/>
      <c r="P216" s="333"/>
    </row>
    <row r="217" ht="18.75" customHeight="1">
      <c r="D217" s="332"/>
      <c r="O217" s="333"/>
      <c r="P217" s="333"/>
    </row>
    <row r="218" ht="18.75" customHeight="1">
      <c r="D218" s="332"/>
      <c r="O218" s="333"/>
      <c r="P218" s="333"/>
    </row>
    <row r="219" ht="18.75" customHeight="1">
      <c r="D219" s="332"/>
      <c r="O219" s="333"/>
      <c r="P219" s="333"/>
    </row>
    <row r="220" ht="18.75" customHeight="1">
      <c r="D220" s="332"/>
      <c r="O220" s="333"/>
      <c r="P220" s="333"/>
    </row>
    <row r="221" ht="18.75" customHeight="1">
      <c r="D221" s="332"/>
      <c r="O221" s="333"/>
      <c r="P221" s="333"/>
    </row>
    <row r="222" ht="18.75" customHeight="1">
      <c r="D222" s="332"/>
      <c r="O222" s="333"/>
      <c r="P222" s="333"/>
    </row>
    <row r="223" ht="18.75" customHeight="1">
      <c r="D223" s="332"/>
      <c r="O223" s="333"/>
      <c r="P223" s="333"/>
    </row>
    <row r="224" ht="18.75" customHeight="1">
      <c r="D224" s="332"/>
      <c r="O224" s="333"/>
      <c r="P224" s="333"/>
    </row>
    <row r="225" ht="18.75" customHeight="1">
      <c r="D225" s="332"/>
      <c r="O225" s="333"/>
      <c r="P225" s="333"/>
    </row>
    <row r="226" ht="18.75" customHeight="1">
      <c r="D226" s="332"/>
      <c r="O226" s="333"/>
      <c r="P226" s="333"/>
    </row>
    <row r="227" ht="18.75" customHeight="1">
      <c r="D227" s="332"/>
      <c r="O227" s="333"/>
      <c r="P227" s="333"/>
    </row>
    <row r="228" ht="18.75" customHeight="1">
      <c r="D228" s="332"/>
      <c r="O228" s="333"/>
      <c r="P228" s="333"/>
    </row>
    <row r="229" ht="18.75" customHeight="1">
      <c r="D229" s="332"/>
      <c r="O229" s="333"/>
      <c r="P229" s="333"/>
    </row>
    <row r="230" ht="18.75" customHeight="1">
      <c r="D230" s="332"/>
      <c r="O230" s="333"/>
      <c r="P230" s="333"/>
    </row>
    <row r="231" ht="18.75" customHeight="1">
      <c r="D231" s="332"/>
      <c r="O231" s="333"/>
      <c r="P231" s="333"/>
    </row>
    <row r="232" ht="18.75" customHeight="1">
      <c r="D232" s="332"/>
      <c r="O232" s="333"/>
      <c r="P232" s="333"/>
    </row>
    <row r="233" ht="18.75" customHeight="1">
      <c r="D233" s="332"/>
      <c r="O233" s="333"/>
      <c r="P233" s="333"/>
    </row>
    <row r="234" ht="18.75" customHeight="1">
      <c r="D234" s="332"/>
      <c r="O234" s="333"/>
      <c r="P234" s="333"/>
    </row>
    <row r="235" ht="18.75" customHeight="1">
      <c r="D235" s="332"/>
      <c r="O235" s="333"/>
      <c r="P235" s="333"/>
    </row>
    <row r="236" ht="18.75" customHeight="1">
      <c r="D236" s="332"/>
      <c r="O236" s="333"/>
      <c r="P236" s="333"/>
    </row>
    <row r="237" ht="18.75" customHeight="1">
      <c r="D237" s="332"/>
      <c r="O237" s="333"/>
      <c r="P237" s="333"/>
    </row>
    <row r="238" ht="18.75" customHeight="1">
      <c r="D238" s="332"/>
      <c r="O238" s="333"/>
      <c r="P238" s="333"/>
    </row>
    <row r="239" ht="18.75" customHeight="1">
      <c r="D239" s="332"/>
      <c r="O239" s="333"/>
      <c r="P239" s="333"/>
    </row>
    <row r="240" ht="18.75" customHeight="1">
      <c r="D240" s="332"/>
      <c r="O240" s="333"/>
      <c r="P240" s="333"/>
    </row>
    <row r="241" ht="18.75" customHeight="1">
      <c r="D241" s="332"/>
      <c r="O241" s="333"/>
      <c r="P241" s="333"/>
    </row>
    <row r="242" ht="18.75" customHeight="1">
      <c r="D242" s="332"/>
      <c r="O242" s="333"/>
      <c r="P242" s="333"/>
    </row>
    <row r="243" ht="18.75" customHeight="1">
      <c r="D243" s="332"/>
      <c r="O243" s="333"/>
      <c r="P243" s="333"/>
    </row>
    <row r="244" ht="18.75" customHeight="1">
      <c r="D244" s="332"/>
      <c r="O244" s="333"/>
      <c r="P244" s="333"/>
    </row>
    <row r="245" ht="18.75" customHeight="1">
      <c r="D245" s="332"/>
      <c r="O245" s="333"/>
      <c r="P245" s="333"/>
    </row>
    <row r="246" ht="18.75" customHeight="1">
      <c r="D246" s="332"/>
      <c r="O246" s="333"/>
      <c r="P246" s="333"/>
    </row>
    <row r="247" ht="18.75" customHeight="1">
      <c r="D247" s="332"/>
      <c r="O247" s="333"/>
      <c r="P247" s="333"/>
    </row>
    <row r="248" ht="18.75" customHeight="1">
      <c r="D248" s="332"/>
      <c r="O248" s="333"/>
      <c r="P248" s="333"/>
    </row>
    <row r="249" ht="18.75" customHeight="1">
      <c r="D249" s="332"/>
      <c r="O249" s="333"/>
      <c r="P249" s="333"/>
    </row>
    <row r="250" ht="18.75" customHeight="1">
      <c r="D250" s="332"/>
      <c r="O250" s="333"/>
      <c r="P250" s="333"/>
    </row>
    <row r="251" ht="18.75" customHeight="1">
      <c r="D251" s="332"/>
      <c r="O251" s="333"/>
      <c r="P251" s="333"/>
    </row>
    <row r="252" ht="18.75" customHeight="1">
      <c r="D252" s="332"/>
      <c r="O252" s="333"/>
      <c r="P252" s="333"/>
    </row>
    <row r="253" ht="18.75" customHeight="1">
      <c r="D253" s="332"/>
      <c r="O253" s="333"/>
      <c r="P253" s="333"/>
    </row>
    <row r="254" ht="18.75" customHeight="1">
      <c r="D254" s="332"/>
      <c r="O254" s="333"/>
      <c r="P254" s="333"/>
    </row>
    <row r="255" ht="18.75" customHeight="1">
      <c r="D255" s="332"/>
      <c r="O255" s="333"/>
      <c r="P255" s="333"/>
    </row>
    <row r="256" ht="18.75" customHeight="1">
      <c r="D256" s="332"/>
      <c r="O256" s="333"/>
      <c r="P256" s="333"/>
    </row>
    <row r="257" ht="18.75" customHeight="1">
      <c r="D257" s="332"/>
      <c r="O257" s="333"/>
      <c r="P257" s="333"/>
    </row>
    <row r="258" ht="18.75" customHeight="1">
      <c r="D258" s="332"/>
      <c r="O258" s="333"/>
      <c r="P258" s="333"/>
    </row>
    <row r="259" ht="18.75" customHeight="1">
      <c r="D259" s="332"/>
      <c r="O259" s="333"/>
      <c r="P259" s="333"/>
    </row>
    <row r="260" ht="18.75" customHeight="1">
      <c r="D260" s="332"/>
      <c r="O260" s="333"/>
      <c r="P260" s="333"/>
    </row>
    <row r="261" ht="18.75" customHeight="1">
      <c r="D261" s="332"/>
      <c r="O261" s="333"/>
      <c r="P261" s="333"/>
    </row>
    <row r="262" ht="18.75" customHeight="1">
      <c r="D262" s="332"/>
      <c r="O262" s="333"/>
      <c r="P262" s="333"/>
    </row>
    <row r="263" ht="18.75" customHeight="1">
      <c r="D263" s="332"/>
      <c r="O263" s="333"/>
      <c r="P263" s="333"/>
    </row>
    <row r="264" ht="18.75" customHeight="1">
      <c r="D264" s="332"/>
      <c r="O264" s="333"/>
      <c r="P264" s="333"/>
    </row>
    <row r="265" ht="18.75" customHeight="1">
      <c r="D265" s="332"/>
      <c r="O265" s="333"/>
      <c r="P265" s="333"/>
    </row>
    <row r="266" ht="18.75" customHeight="1">
      <c r="D266" s="332"/>
      <c r="O266" s="333"/>
      <c r="P266" s="333"/>
    </row>
    <row r="267" ht="18.75" customHeight="1">
      <c r="D267" s="332"/>
      <c r="O267" s="333"/>
      <c r="P267" s="333"/>
    </row>
    <row r="268" ht="18.75" customHeight="1">
      <c r="D268" s="332"/>
      <c r="O268" s="333"/>
      <c r="P268" s="333"/>
    </row>
    <row r="269" ht="18.75" customHeight="1">
      <c r="D269" s="332"/>
      <c r="O269" s="333"/>
      <c r="P269" s="333"/>
    </row>
    <row r="270" ht="18.75" customHeight="1">
      <c r="D270" s="332"/>
      <c r="O270" s="333"/>
      <c r="P270" s="333"/>
    </row>
    <row r="271" ht="18.75" customHeight="1">
      <c r="D271" s="332"/>
      <c r="O271" s="333"/>
      <c r="P271" s="333"/>
    </row>
    <row r="272" ht="18.75" customHeight="1">
      <c r="D272" s="332"/>
      <c r="O272" s="333"/>
      <c r="P272" s="333"/>
    </row>
    <row r="273" ht="18.75" customHeight="1">
      <c r="D273" s="332"/>
      <c r="O273" s="333"/>
      <c r="P273" s="333"/>
    </row>
    <row r="274" ht="18.75" customHeight="1">
      <c r="D274" s="332"/>
      <c r="O274" s="333"/>
      <c r="P274" s="333"/>
    </row>
    <row r="275" ht="18.75" customHeight="1">
      <c r="D275" s="332"/>
      <c r="O275" s="333"/>
      <c r="P275" s="333"/>
    </row>
    <row r="276" ht="18.75" customHeight="1">
      <c r="D276" s="332"/>
      <c r="O276" s="333"/>
      <c r="P276" s="333"/>
    </row>
    <row r="277" ht="18.75" customHeight="1">
      <c r="D277" s="332"/>
      <c r="O277" s="333"/>
      <c r="P277" s="333"/>
    </row>
    <row r="278" ht="18.75" customHeight="1">
      <c r="D278" s="332"/>
      <c r="O278" s="333"/>
      <c r="P278" s="333"/>
    </row>
    <row r="279" ht="18.75" customHeight="1">
      <c r="D279" s="332"/>
      <c r="O279" s="333"/>
      <c r="P279" s="333"/>
    </row>
    <row r="280" ht="18.75" customHeight="1">
      <c r="D280" s="332"/>
      <c r="O280" s="333"/>
      <c r="P280" s="333"/>
    </row>
    <row r="281" ht="18.75" customHeight="1">
      <c r="D281" s="332"/>
      <c r="O281" s="333"/>
      <c r="P281" s="333"/>
    </row>
    <row r="282" ht="18.75" customHeight="1">
      <c r="D282" s="332"/>
      <c r="O282" s="333"/>
      <c r="P282" s="333"/>
    </row>
  </sheetData>
  <hyperlinks>
    <hyperlink r:id="rId2" ref="CY69"/>
    <hyperlink r:id="rId3" ref="CZ69"/>
    <hyperlink r:id="rId4" ref="DA69"/>
    <hyperlink r:id="rId5" location="fpstate=ive&amp;vld=cid:0a541bb1,vid:i6cysOpwpe0,st:0" ref="DB69"/>
  </hyperlinks>
  <printOptions gridLines="1"/>
  <pageMargins bottom="0.75" footer="0.0" header="0.0" left="0.25" right="0.25" top="0.75"/>
  <pageSetup fitToHeight="0" orientation="landscape" paperHeight="11in" paperWidth="60in"/>
  <headerFooter>
    <oddHeader>&amp;CRidge Park Luxury Condominiums 2023 Approved Budget</oddHeader>
  </headerFooter>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39.1"/>
    <col customWidth="1" min="2" max="2" width="9.3"/>
    <col customWidth="1" min="3" max="10" width="6.7"/>
    <col customWidth="1" min="11" max="11" width="7.0"/>
    <col customWidth="1" min="12" max="34" width="6.7"/>
  </cols>
  <sheetData>
    <row r="1">
      <c r="A1" s="340" t="s">
        <v>235</v>
      </c>
      <c r="B1" s="341">
        <v>2022.0</v>
      </c>
      <c r="C1" s="341">
        <v>2023.0</v>
      </c>
      <c r="D1" s="341">
        <v>2024.0</v>
      </c>
      <c r="E1" s="341">
        <v>2025.0</v>
      </c>
      <c r="F1" s="341">
        <v>2026.0</v>
      </c>
      <c r="G1" s="341">
        <v>2027.0</v>
      </c>
      <c r="H1" s="341">
        <v>2028.0</v>
      </c>
      <c r="I1" s="341">
        <v>2029.0</v>
      </c>
      <c r="J1" s="342" t="s">
        <v>1</v>
      </c>
      <c r="K1" s="342" t="s">
        <v>2</v>
      </c>
      <c r="L1" s="342" t="s">
        <v>3</v>
      </c>
      <c r="M1" s="342" t="s">
        <v>4</v>
      </c>
      <c r="N1" s="342" t="s">
        <v>5</v>
      </c>
      <c r="O1" s="342" t="s">
        <v>6</v>
      </c>
      <c r="P1" s="342" t="s">
        <v>7</v>
      </c>
      <c r="Q1" s="342" t="s">
        <v>8</v>
      </c>
      <c r="R1" s="342" t="s">
        <v>9</v>
      </c>
      <c r="S1" s="342" t="s">
        <v>10</v>
      </c>
      <c r="T1" s="342" t="s">
        <v>11</v>
      </c>
      <c r="U1" s="342" t="s">
        <v>12</v>
      </c>
      <c r="V1" s="342" t="s">
        <v>13</v>
      </c>
      <c r="W1" s="342" t="s">
        <v>14</v>
      </c>
      <c r="X1" s="342" t="s">
        <v>15</v>
      </c>
      <c r="Y1" s="342" t="s">
        <v>16</v>
      </c>
      <c r="Z1" s="342" t="s">
        <v>17</v>
      </c>
      <c r="AA1" s="342" t="s">
        <v>18</v>
      </c>
      <c r="AB1" s="342" t="s">
        <v>19</v>
      </c>
      <c r="AC1" s="342" t="s">
        <v>20</v>
      </c>
      <c r="AD1" s="342" t="s">
        <v>21</v>
      </c>
      <c r="AE1" s="342" t="s">
        <v>22</v>
      </c>
      <c r="AF1" s="342" t="s">
        <v>23</v>
      </c>
      <c r="AG1" s="342" t="s">
        <v>24</v>
      </c>
      <c r="AH1" s="342" t="s">
        <v>25</v>
      </c>
      <c r="AI1" s="342"/>
      <c r="AJ1" s="342"/>
      <c r="AK1" s="342"/>
      <c r="AL1" s="342"/>
      <c r="AM1" s="342"/>
    </row>
    <row r="2">
      <c r="A2" s="343" t="s">
        <v>236</v>
      </c>
      <c r="B2" s="344">
        <v>0.171</v>
      </c>
      <c r="C2" s="344">
        <v>0.1996</v>
      </c>
      <c r="D2" s="344">
        <v>-9.8E-4</v>
      </c>
      <c r="E2" s="345">
        <v>0.0279</v>
      </c>
      <c r="F2" s="345">
        <v>0.037</v>
      </c>
      <c r="G2" s="345">
        <v>0.035</v>
      </c>
      <c r="H2" s="345">
        <v>0.035</v>
      </c>
      <c r="I2" s="345">
        <v>0.035</v>
      </c>
      <c r="J2" s="345">
        <v>0.035</v>
      </c>
      <c r="K2" s="346" t="s">
        <v>237</v>
      </c>
      <c r="L2" s="347"/>
    </row>
    <row r="3">
      <c r="A3" s="343" t="s">
        <v>238</v>
      </c>
      <c r="B3" s="348">
        <v>0.04</v>
      </c>
      <c r="C3" s="348">
        <v>0.04</v>
      </c>
      <c r="D3" s="348">
        <v>0.04</v>
      </c>
      <c r="E3" s="349">
        <v>0.049</v>
      </c>
      <c r="F3" s="345">
        <v>0.06</v>
      </c>
      <c r="G3" s="345">
        <v>0.05</v>
      </c>
      <c r="H3" s="345">
        <v>0.05</v>
      </c>
      <c r="I3" s="345">
        <v>0.05</v>
      </c>
      <c r="J3" s="345">
        <v>0.05</v>
      </c>
      <c r="K3" s="274" t="s">
        <v>239</v>
      </c>
      <c r="L3" s="280" t="s">
        <v>240</v>
      </c>
    </row>
    <row r="4">
      <c r="A4" s="343" t="s">
        <v>241</v>
      </c>
      <c r="B4" s="344">
        <v>0.118</v>
      </c>
      <c r="C4" s="344">
        <v>0.063</v>
      </c>
      <c r="D4" s="344">
        <v>0.0275</v>
      </c>
      <c r="E4" s="345">
        <v>0.047</v>
      </c>
      <c r="F4" s="345">
        <v>0.032</v>
      </c>
      <c r="G4" s="345">
        <v>0.032</v>
      </c>
      <c r="H4" s="345">
        <v>0.032</v>
      </c>
      <c r="I4" s="345">
        <v>0.032</v>
      </c>
      <c r="J4" s="345">
        <v>0.032</v>
      </c>
      <c r="K4" s="350" t="s">
        <v>242</v>
      </c>
    </row>
    <row r="5">
      <c r="A5" s="351" t="s">
        <v>243</v>
      </c>
      <c r="B5" s="348">
        <v>0.068</v>
      </c>
      <c r="C5" s="348">
        <v>0.065</v>
      </c>
      <c r="D5" s="348">
        <v>0.025</v>
      </c>
      <c r="E5" s="344">
        <v>0.033</v>
      </c>
      <c r="F5" s="348">
        <v>0.025</v>
      </c>
      <c r="G5" s="348">
        <v>0.025</v>
      </c>
      <c r="H5" s="348">
        <v>0.025</v>
      </c>
      <c r="I5" s="348">
        <v>0.025</v>
      </c>
      <c r="J5" s="348">
        <v>0.025</v>
      </c>
      <c r="K5" s="350" t="s">
        <v>244</v>
      </c>
    </row>
    <row r="6">
      <c r="A6" s="351" t="s">
        <v>245</v>
      </c>
      <c r="B6" s="348">
        <v>0.05</v>
      </c>
      <c r="C6" s="348">
        <v>0.04</v>
      </c>
      <c r="D6" s="348">
        <v>0.025</v>
      </c>
      <c r="E6" s="348">
        <v>0.025</v>
      </c>
      <c r="F6" s="348">
        <v>0.025</v>
      </c>
      <c r="G6" s="348">
        <v>0.025</v>
      </c>
      <c r="H6" s="348">
        <v>0.025</v>
      </c>
      <c r="I6" s="348">
        <v>0.025</v>
      </c>
      <c r="J6" s="348">
        <v>0.025</v>
      </c>
      <c r="K6" s="350" t="s">
        <v>246</v>
      </c>
    </row>
    <row r="7">
      <c r="A7" s="343" t="s">
        <v>247</v>
      </c>
      <c r="B7" s="199">
        <v>138.0</v>
      </c>
      <c r="C7" s="199">
        <v>138.0</v>
      </c>
      <c r="D7" s="199">
        <v>138.0</v>
      </c>
      <c r="E7" s="199">
        <v>138.0</v>
      </c>
      <c r="F7" s="199">
        <v>138.0</v>
      </c>
      <c r="G7" s="199">
        <v>138.0</v>
      </c>
      <c r="H7" s="199">
        <v>138.0</v>
      </c>
      <c r="I7" s="199">
        <v>138.0</v>
      </c>
      <c r="J7" s="199">
        <v>138.0</v>
      </c>
    </row>
    <row r="8">
      <c r="A8" s="343" t="s">
        <v>248</v>
      </c>
      <c r="B8" s="348">
        <v>0.0866</v>
      </c>
      <c r="C8" s="348">
        <v>0.0866</v>
      </c>
      <c r="D8" s="348">
        <v>0.0866</v>
      </c>
      <c r="E8" s="348">
        <v>0.0866</v>
      </c>
      <c r="F8" s="348">
        <v>0.0866</v>
      </c>
      <c r="G8" s="348">
        <v>0.0866</v>
      </c>
      <c r="H8" s="348">
        <v>0.0866</v>
      </c>
      <c r="I8" s="348">
        <v>0.0866</v>
      </c>
      <c r="J8" s="348">
        <v>0.0866</v>
      </c>
    </row>
    <row r="9">
      <c r="A9" s="343" t="s">
        <v>249</v>
      </c>
      <c r="B9" s="352">
        <v>0.1</v>
      </c>
      <c r="C9" s="352">
        <v>0.1</v>
      </c>
      <c r="D9" s="352">
        <v>0.1</v>
      </c>
      <c r="E9" s="352">
        <v>0.1</v>
      </c>
      <c r="F9" s="352">
        <v>0.1</v>
      </c>
      <c r="G9" s="352">
        <v>0.1</v>
      </c>
      <c r="H9" s="352">
        <v>0.1</v>
      </c>
      <c r="I9" s="352">
        <v>0.1</v>
      </c>
      <c r="J9" s="352">
        <v>0.1</v>
      </c>
    </row>
    <row r="10">
      <c r="A10" s="343"/>
      <c r="B10" s="353"/>
      <c r="C10" s="353"/>
      <c r="D10" s="353"/>
      <c r="E10" s="353"/>
      <c r="F10" s="353"/>
      <c r="G10" s="353"/>
      <c r="H10" s="353"/>
      <c r="I10" s="353"/>
      <c r="J10" s="353"/>
    </row>
    <row r="11">
      <c r="A11" s="354" t="s">
        <v>250</v>
      </c>
      <c r="E11" s="355">
        <v>0.0225</v>
      </c>
      <c r="F11" s="356">
        <v>0.02</v>
      </c>
      <c r="G11" s="356">
        <v>0.02</v>
      </c>
      <c r="H11" s="356">
        <v>0.02</v>
      </c>
      <c r="I11" s="356">
        <v>0.02</v>
      </c>
      <c r="J11" s="356">
        <v>0.02</v>
      </c>
    </row>
    <row r="13">
      <c r="A13" s="357" t="s">
        <v>251</v>
      </c>
      <c r="E13" s="358"/>
      <c r="F13" s="359">
        <f t="shared" ref="F13:J13" si="1">(F2*$C$16)+(F4*$C$17)</f>
        <v>0.03586973699</v>
      </c>
      <c r="G13" s="359">
        <f t="shared" si="1"/>
        <v>0.03432184219</v>
      </c>
      <c r="H13" s="359">
        <f t="shared" si="1"/>
        <v>0.03432184219</v>
      </c>
      <c r="I13" s="359">
        <f t="shared" si="1"/>
        <v>0.03432184219</v>
      </c>
      <c r="J13" s="359">
        <f t="shared" si="1"/>
        <v>0.03432184219</v>
      </c>
    </row>
    <row r="15">
      <c r="A15" s="360" t="s">
        <v>252</v>
      </c>
      <c r="B15" s="361" t="s">
        <v>253</v>
      </c>
      <c r="C15" s="357" t="s">
        <v>254</v>
      </c>
    </row>
    <row r="16">
      <c r="A16" s="362" t="s">
        <v>255</v>
      </c>
      <c r="B16" s="363">
        <f>'30 Year'!AE27</f>
        <v>566158</v>
      </c>
      <c r="C16" s="358">
        <f>B16/B18</f>
        <v>0.7739473972</v>
      </c>
      <c r="G16" s="10" t="s">
        <v>256</v>
      </c>
    </row>
    <row r="17">
      <c r="A17" s="362" t="s">
        <v>257</v>
      </c>
      <c r="B17" s="363">
        <f>'30 Year'!AE31-'30 Year'!AE27</f>
        <v>165362</v>
      </c>
      <c r="C17" s="358">
        <f>B17/B18</f>
        <v>0.2260526028</v>
      </c>
    </row>
    <row r="18">
      <c r="A18" s="364" t="s">
        <v>258</v>
      </c>
      <c r="B18" s="365">
        <f t="shared" ref="B18:C18" si="2">SUM(B16:B17)</f>
        <v>731520</v>
      </c>
      <c r="C18" s="358">
        <f t="shared" si="2"/>
        <v>1</v>
      </c>
    </row>
    <row r="19">
      <c r="A19" s="366"/>
      <c r="C19" s="36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K2"/>
    <hyperlink r:id="rId3" ref="L3"/>
    <hyperlink r:id="rId4" ref="K4"/>
    <hyperlink r:id="rId5" location=":~:text=The%20annual%20inflation%20rate%20for%20the%20United%20States,inflation%20over%20the%2012%20months%20ended%20October%202021." ref="K5"/>
    <hyperlink r:id="rId6" ref="K6"/>
  </hyperlinks>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0.1" defaultRowHeight="15.0"/>
  <cols>
    <col customWidth="1" min="1" max="1" width="32.2"/>
  </cols>
  <sheetData>
    <row r="1">
      <c r="A1" s="13" t="s">
        <v>259</v>
      </c>
      <c r="B1" s="20"/>
    </row>
    <row r="2">
      <c r="A2" s="368"/>
      <c r="B2" s="20"/>
    </row>
    <row r="3">
      <c r="A3" s="369"/>
      <c r="B3" s="370">
        <f>'30 Year'!AD3</f>
        <v>2026</v>
      </c>
      <c r="C3" s="370" t="str">
        <f>'30 Year'!AT3</f>
        <v>2027</v>
      </c>
      <c r="D3" s="370" t="str">
        <f>'30 Year'!BH3</f>
        <v>2028</v>
      </c>
      <c r="E3" s="370" t="str">
        <f>'30 Year'!BV3</f>
        <v>2029</v>
      </c>
      <c r="F3" s="370" t="str">
        <f>'30 Year'!BX3</f>
        <v>2030</v>
      </c>
    </row>
    <row r="4">
      <c r="A4" s="371" t="s">
        <v>260</v>
      </c>
      <c r="B4" s="372">
        <v>547842.0</v>
      </c>
      <c r="C4" s="372">
        <f>'30 Year'!AH9</f>
        <v>268775.7167</v>
      </c>
      <c r="D4" s="372">
        <f>'30 Year'!AV9</f>
        <v>228405.764</v>
      </c>
      <c r="E4" s="372">
        <f>'30 Year'!BJ9</f>
        <v>350309.58</v>
      </c>
      <c r="F4" s="372">
        <f>'30 Year'!BX9</f>
        <v>527869.512</v>
      </c>
    </row>
    <row r="5">
      <c r="A5" s="104" t="s">
        <v>89</v>
      </c>
      <c r="B5" s="373" t="str">
        <f>'30 Year'!AD10</f>
        <v/>
      </c>
      <c r="C5" s="208" t="str">
        <f>'30 Year'!AT10</f>
        <v/>
      </c>
      <c r="D5" s="208" t="str">
        <f>'30 Year'!BH10</f>
        <v/>
      </c>
      <c r="E5" s="208" t="str">
        <f>'30 Year'!BV10</f>
        <v/>
      </c>
      <c r="F5" s="208" t="str">
        <f>'30 Year'!BX10</f>
        <v/>
      </c>
    </row>
    <row r="6">
      <c r="A6" s="90" t="s">
        <v>90</v>
      </c>
      <c r="B6" s="373">
        <f>'30 Year'!AE11</f>
        <v>5300</v>
      </c>
      <c r="C6" s="373">
        <f>'30 Year'!AT11</f>
        <v>2949.316667</v>
      </c>
      <c r="D6" s="373">
        <f>'30 Year'!BH11</f>
        <v>2577.686667</v>
      </c>
      <c r="E6" s="373">
        <f>'30 Year'!BV11</f>
        <v>3361.02</v>
      </c>
      <c r="F6" s="373">
        <f>'30 Year'!BX11</f>
        <v>334.2516667</v>
      </c>
    </row>
    <row r="7">
      <c r="A7" s="119" t="s">
        <v>91</v>
      </c>
      <c r="B7" s="373">
        <f>'30 Year'!AE12</f>
        <v>703800</v>
      </c>
      <c r="C7" s="373">
        <f>'30 Year'!AT12</f>
        <v>703800</v>
      </c>
      <c r="D7" s="373">
        <f>'30 Year'!BH12</f>
        <v>786600</v>
      </c>
      <c r="E7" s="373">
        <f>'30 Year'!BV12</f>
        <v>703800</v>
      </c>
      <c r="F7" s="373">
        <f>'30 Year'!BX12</f>
        <v>703800</v>
      </c>
    </row>
    <row r="8">
      <c r="A8" s="119" t="s">
        <v>92</v>
      </c>
      <c r="B8" s="373">
        <f>'30 Year'!AE13</f>
        <v>30000</v>
      </c>
      <c r="C8" s="373">
        <f>'30 Year'!AT13</f>
        <v>30750</v>
      </c>
      <c r="D8" s="373">
        <f>'30 Year'!BH13</f>
        <v>31518.75</v>
      </c>
      <c r="E8" s="373">
        <f>'30 Year'!BV13</f>
        <v>32306.71875</v>
      </c>
      <c r="F8" s="373">
        <f>'30 Year'!BX13</f>
        <v>33114.38672</v>
      </c>
    </row>
    <row r="9">
      <c r="A9" s="119" t="s">
        <v>93</v>
      </c>
      <c r="B9" s="373">
        <f>'30 Year'!AE14</f>
        <v>2100</v>
      </c>
      <c r="C9" s="373">
        <f>'30 Year'!AT14</f>
        <v>2152.5</v>
      </c>
      <c r="D9" s="373">
        <f>'30 Year'!BH14</f>
        <v>2206.3125</v>
      </c>
      <c r="E9" s="373">
        <f>'30 Year'!BV14</f>
        <v>2261.470313</v>
      </c>
      <c r="F9" s="373">
        <f>'30 Year'!BX14</f>
        <v>2318.00707</v>
      </c>
    </row>
    <row r="10">
      <c r="A10" s="119" t="s">
        <v>94</v>
      </c>
      <c r="B10" s="373">
        <f>'30 Year'!AE15</f>
        <v>0</v>
      </c>
      <c r="C10" s="373">
        <f>'30 Year'!AT15</f>
        <v>0</v>
      </c>
      <c r="D10" s="373">
        <f>'30 Year'!BH15</f>
        <v>0</v>
      </c>
      <c r="E10" s="373">
        <f>'30 Year'!BV15</f>
        <v>0</v>
      </c>
      <c r="F10" s="373">
        <f>'30 Year'!BX15</f>
        <v>0</v>
      </c>
    </row>
    <row r="11">
      <c r="A11" s="374" t="s">
        <v>95</v>
      </c>
      <c r="B11" s="375">
        <f>'30 Year'!AE16</f>
        <v>741200</v>
      </c>
      <c r="C11" s="375">
        <f>'30 Year'!AT16</f>
        <v>736702.5</v>
      </c>
      <c r="D11" s="375">
        <f>'30 Year'!BH16</f>
        <v>820325.0625</v>
      </c>
      <c r="E11" s="375">
        <f>'30 Year'!BV16</f>
        <v>738368.1891</v>
      </c>
      <c r="F11" s="375">
        <f>'30 Year'!BX16</f>
        <v>739232.3938</v>
      </c>
    </row>
    <row r="12">
      <c r="A12" s="104" t="s">
        <v>96</v>
      </c>
      <c r="B12" s="373" t="str">
        <f>'30 Year'!AE17</f>
        <v/>
      </c>
      <c r="C12" s="208" t="str">
        <f>'30 Year'!AT17</f>
        <v/>
      </c>
      <c r="D12" s="208" t="str">
        <f>'30 Year'!BH17</f>
        <v/>
      </c>
      <c r="E12" s="208" t="str">
        <f>'30 Year'!BV17</f>
        <v/>
      </c>
      <c r="F12" s="208" t="str">
        <f>'30 Year'!BX17</f>
        <v/>
      </c>
    </row>
    <row r="13">
      <c r="A13" s="104" t="s">
        <v>97</v>
      </c>
      <c r="B13" s="373" t="str">
        <f>'30 Year'!AE18</f>
        <v/>
      </c>
      <c r="C13" s="208" t="str">
        <f>'30 Year'!AT18</f>
        <v/>
      </c>
      <c r="D13" s="208" t="str">
        <f>'30 Year'!BH18</f>
        <v/>
      </c>
      <c r="E13" s="208" t="str">
        <f>'30 Year'!BV18</f>
        <v/>
      </c>
      <c r="F13" s="208" t="str">
        <f>'30 Year'!BX18</f>
        <v/>
      </c>
    </row>
    <row r="14">
      <c r="A14" s="119" t="s">
        <v>98</v>
      </c>
      <c r="B14" s="373">
        <f>'30 Year'!AE19</f>
        <v>6824</v>
      </c>
      <c r="C14" s="373">
        <f>'30 Year'!AT19</f>
        <v>5824.05</v>
      </c>
      <c r="D14" s="373">
        <f>'30 Year'!BH19</f>
        <v>5969.65125</v>
      </c>
      <c r="E14" s="373">
        <f>'30 Year'!BV19</f>
        <v>6118.892531</v>
      </c>
      <c r="F14" s="373">
        <f>'30 Year'!BX19</f>
        <v>6271.864845</v>
      </c>
    </row>
    <row r="15">
      <c r="A15" s="119" t="s">
        <v>100</v>
      </c>
      <c r="B15" s="373">
        <f>'30 Year'!AE20</f>
        <v>95097</v>
      </c>
      <c r="C15" s="373">
        <f>'30 Year'!AT20</f>
        <v>93783.4</v>
      </c>
      <c r="D15" s="373">
        <f>'30 Year'!BH20</f>
        <v>96127.985</v>
      </c>
      <c r="E15" s="373">
        <f>'30 Year'!BV20</f>
        <v>98531.18463</v>
      </c>
      <c r="F15" s="373">
        <f>'30 Year'!BX20</f>
        <v>100994.4642</v>
      </c>
    </row>
    <row r="16">
      <c r="A16" s="119" t="s">
        <v>101</v>
      </c>
      <c r="B16" s="373">
        <f>'30 Year'!AE21</f>
        <v>10295</v>
      </c>
      <c r="C16" s="373">
        <f>'30 Year'!AT21</f>
        <v>10552.4775</v>
      </c>
      <c r="D16" s="373">
        <f>'30 Year'!BH21</f>
        <v>10816.28944</v>
      </c>
      <c r="E16" s="373">
        <f>'30 Year'!BV21</f>
        <v>11086.69667</v>
      </c>
      <c r="F16" s="373">
        <f>'30 Year'!BX21</f>
        <v>11363.86409</v>
      </c>
    </row>
    <row r="17">
      <c r="A17" s="104" t="s">
        <v>102</v>
      </c>
      <c r="B17" s="376">
        <f>'30 Year'!AE22</f>
        <v>112216</v>
      </c>
      <c r="C17" s="376">
        <f>'30 Year'!AT22</f>
        <v>110159.9275</v>
      </c>
      <c r="D17" s="376">
        <f>'30 Year'!BH22</f>
        <v>112913.9257</v>
      </c>
      <c r="E17" s="376">
        <f>'30 Year'!BV22</f>
        <v>115736.7738</v>
      </c>
      <c r="F17" s="376">
        <f>'30 Year'!BX22</f>
        <v>118630.1932</v>
      </c>
    </row>
    <row r="18">
      <c r="A18" s="104" t="s">
        <v>103</v>
      </c>
      <c r="B18" s="373" t="str">
        <f>'30 Year'!AE23</f>
        <v/>
      </c>
      <c r="C18" s="208" t="str">
        <f>'30 Year'!AT23</f>
        <v/>
      </c>
      <c r="D18" s="208" t="str">
        <f>'30 Year'!BH23</f>
        <v/>
      </c>
      <c r="E18" s="208" t="str">
        <f>'30 Year'!BV23</f>
        <v/>
      </c>
      <c r="F18" s="373" t="str">
        <f>'30 Year'!BX23</f>
        <v/>
      </c>
    </row>
    <row r="19">
      <c r="A19" s="142" t="s">
        <v>104</v>
      </c>
      <c r="B19" s="373">
        <f>'30 Year'!AE24</f>
        <v>1969</v>
      </c>
      <c r="C19" s="373">
        <f>'30 Year'!AT24</f>
        <v>2018.225</v>
      </c>
      <c r="D19" s="373">
        <f>'30 Year'!BH24</f>
        <v>2068.680625</v>
      </c>
      <c r="E19" s="373">
        <f>'30 Year'!BV24</f>
        <v>2120.397641</v>
      </c>
      <c r="F19" s="373">
        <f>'30 Year'!BX24</f>
        <v>2188.250365</v>
      </c>
    </row>
    <row r="20">
      <c r="A20" s="142" t="s">
        <v>106</v>
      </c>
      <c r="B20" s="373">
        <f>'30 Year'!AE25</f>
        <v>61874</v>
      </c>
      <c r="C20" s="373">
        <f>'30 Year'!AT25</f>
        <v>63420.85</v>
      </c>
      <c r="D20" s="373">
        <f>'30 Year'!BH25</f>
        <v>65006.37125</v>
      </c>
      <c r="E20" s="373">
        <f>'30 Year'!BV25</f>
        <v>66631.53053</v>
      </c>
      <c r="F20" s="373">
        <f>'30 Year'!BX25</f>
        <v>68297.31879</v>
      </c>
    </row>
    <row r="21">
      <c r="A21" s="142" t="s">
        <v>109</v>
      </c>
      <c r="B21" s="373">
        <f>'30 Year'!AE26</f>
        <v>71892</v>
      </c>
      <c r="C21" s="373">
        <f>'30 Year'!AT26</f>
        <v>74552.004</v>
      </c>
      <c r="D21" s="373">
        <f>'30 Year'!BH26</f>
        <v>77310.42815</v>
      </c>
      <c r="E21" s="373">
        <f>'30 Year'!BV26</f>
        <v>80170.91399</v>
      </c>
      <c r="F21" s="373">
        <f>'30 Year'!BX26</f>
        <v>83137.23781</v>
      </c>
    </row>
    <row r="22">
      <c r="A22" s="377" t="s">
        <v>261</v>
      </c>
      <c r="B22" s="165">
        <f>'30 Year'!AE27</f>
        <v>566158</v>
      </c>
      <c r="C22" s="165">
        <f>'30 Year'!AT27</f>
        <v>276536.2023</v>
      </c>
      <c r="D22" s="165">
        <f>'30 Year'!BH27</f>
        <v>179370.7499</v>
      </c>
      <c r="E22" s="165">
        <f>'30 Year'!BV27</f>
        <v>22538.38528</v>
      </c>
      <c r="F22" s="165">
        <f>'30 Year'!BX27</f>
        <v>23606.17803</v>
      </c>
    </row>
    <row r="23">
      <c r="A23" s="119" t="s">
        <v>112</v>
      </c>
      <c r="B23" s="373">
        <f>'30 Year'!AE28</f>
        <v>8850</v>
      </c>
      <c r="C23" s="373">
        <f>'30 Year'!AT28</f>
        <v>9093.375</v>
      </c>
      <c r="D23" s="373">
        <f>'30 Year'!BH28</f>
        <v>9343.442813</v>
      </c>
      <c r="E23" s="373">
        <f>'30 Year'!BV28</f>
        <v>9600.38749</v>
      </c>
      <c r="F23" s="373">
        <f>'30 Year'!BX28</f>
        <v>9907.59989</v>
      </c>
    </row>
    <row r="24">
      <c r="A24" s="119" t="s">
        <v>113</v>
      </c>
      <c r="B24" s="373">
        <f>'30 Year'!AE29</f>
        <v>1538</v>
      </c>
      <c r="C24" s="373">
        <f>'30 Year'!AT29</f>
        <v>1576.45</v>
      </c>
      <c r="D24" s="373">
        <f>'30 Year'!BH29</f>
        <v>1615.86125</v>
      </c>
      <c r="E24" s="373">
        <f>'30 Year'!BV29</f>
        <v>1656.257781</v>
      </c>
      <c r="F24" s="373">
        <f>'30 Year'!BX29</f>
        <v>1709.25803</v>
      </c>
    </row>
    <row r="25">
      <c r="A25" s="119" t="s">
        <v>114</v>
      </c>
      <c r="B25" s="373">
        <f>'30 Year'!AE30</f>
        <v>19239</v>
      </c>
      <c r="C25" s="373">
        <f>'30 Year'!AT30</f>
        <v>20854.648</v>
      </c>
      <c r="D25" s="373">
        <f>'30 Year'!BH30</f>
        <v>22521.99674</v>
      </c>
      <c r="E25" s="373">
        <f>'30 Year'!BV30</f>
        <v>24242.70063</v>
      </c>
      <c r="F25" s="373">
        <f>'30 Year'!BX30</f>
        <v>25018.46705</v>
      </c>
    </row>
    <row r="26">
      <c r="A26" s="104" t="s">
        <v>102</v>
      </c>
      <c r="B26" s="376">
        <f>'30 Year'!AE31</f>
        <v>731520</v>
      </c>
      <c r="C26" s="376">
        <f>'30 Year'!AT31</f>
        <v>448051.7543</v>
      </c>
      <c r="D26" s="376">
        <f>'30 Year'!BH31</f>
        <v>357237.5307</v>
      </c>
      <c r="E26" s="376">
        <f>'30 Year'!BV31</f>
        <v>206960.5733</v>
      </c>
      <c r="F26" s="376">
        <f>'30 Year'!BX31</f>
        <v>213864.31</v>
      </c>
    </row>
    <row r="27">
      <c r="A27" s="104" t="s">
        <v>115</v>
      </c>
      <c r="B27" s="373" t="str">
        <f>'30 Year'!AE32</f>
        <v/>
      </c>
      <c r="C27" s="208" t="str">
        <f>'30 Year'!AT32</f>
        <v/>
      </c>
      <c r="D27" s="208" t="str">
        <f>'30 Year'!BH32</f>
        <v/>
      </c>
      <c r="E27" s="208" t="str">
        <f>'30 Year'!BV32</f>
        <v/>
      </c>
      <c r="F27" s="208" t="str">
        <f>'30 Year'!BX32</f>
        <v/>
      </c>
    </row>
    <row r="28">
      <c r="A28" s="119" t="s">
        <v>116</v>
      </c>
      <c r="B28" s="373">
        <f>'30 Year'!AE33</f>
        <v>49400</v>
      </c>
      <c r="C28" s="373">
        <f>'30 Year'!AT33</f>
        <v>50635</v>
      </c>
      <c r="D28" s="373">
        <f>'30 Year'!BH33</f>
        <v>51900.875</v>
      </c>
      <c r="E28" s="373">
        <f>'30 Year'!BV33</f>
        <v>53198.39688</v>
      </c>
      <c r="F28" s="373">
        <f>'30 Year'!BX33</f>
        <v>54528.3568</v>
      </c>
    </row>
    <row r="29">
      <c r="A29" s="142" t="s">
        <v>117</v>
      </c>
      <c r="B29" s="373">
        <f>'30 Year'!AE34</f>
        <v>0</v>
      </c>
      <c r="C29" s="373">
        <f>'30 Year'!AT34</f>
        <v>0</v>
      </c>
      <c r="D29" s="373">
        <f>'30 Year'!BH34</f>
        <v>0</v>
      </c>
      <c r="E29" s="373">
        <f>'30 Year'!BV34</f>
        <v>0</v>
      </c>
      <c r="F29" s="373">
        <f>'30 Year'!BX34</f>
        <v>0</v>
      </c>
    </row>
    <row r="30">
      <c r="A30" s="142" t="s">
        <v>118</v>
      </c>
      <c r="B30" s="373">
        <f>'30 Year'!AE35</f>
        <v>4258</v>
      </c>
      <c r="C30" s="373">
        <f>'30 Year'!AT35</f>
        <v>4364.45</v>
      </c>
      <c r="D30" s="373">
        <f>'30 Year'!BH35</f>
        <v>4473.56125</v>
      </c>
      <c r="E30" s="373">
        <f>'30 Year'!BV35</f>
        <v>4585.400281</v>
      </c>
      <c r="F30" s="373">
        <f>'30 Year'!BX35</f>
        <v>4700.035288</v>
      </c>
    </row>
    <row r="31">
      <c r="A31" s="104" t="s">
        <v>102</v>
      </c>
      <c r="B31" s="373">
        <f>'30 Year'!AE36</f>
        <v>53658</v>
      </c>
      <c r="C31" s="373">
        <f>'30 Year'!AT36</f>
        <v>54999.45</v>
      </c>
      <c r="D31" s="373">
        <f>'30 Year'!BH36</f>
        <v>56374.43625</v>
      </c>
      <c r="E31" s="373">
        <f>'30 Year'!BV36</f>
        <v>57783.79716</v>
      </c>
      <c r="F31" s="373">
        <f>'30 Year'!BX36</f>
        <v>59228.39209</v>
      </c>
    </row>
    <row r="32">
      <c r="A32" s="104" t="s">
        <v>120</v>
      </c>
      <c r="B32" s="373" t="str">
        <f>'30 Year'!AE37</f>
        <v/>
      </c>
      <c r="C32" s="208" t="str">
        <f>'30 Year'!AT37</f>
        <v/>
      </c>
      <c r="D32" s="208" t="str">
        <f>'30 Year'!BH37</f>
        <v/>
      </c>
      <c r="E32" s="208" t="str">
        <f>'30 Year'!BV37</f>
        <v/>
      </c>
      <c r="F32" s="208" t="str">
        <f>'30 Year'!BX37</f>
        <v/>
      </c>
    </row>
    <row r="33">
      <c r="A33" s="119" t="s">
        <v>121</v>
      </c>
      <c r="B33" s="373">
        <f>'30 Year'!AE38</f>
        <v>1306</v>
      </c>
      <c r="C33" s="373">
        <f>'30 Year'!AT38</f>
        <v>1338.65</v>
      </c>
      <c r="D33" s="373">
        <f>'30 Year'!BH38</f>
        <v>1372.11625</v>
      </c>
      <c r="E33" s="373">
        <f>'30 Year'!BV38</f>
        <v>1406.419156</v>
      </c>
      <c r="F33" s="373">
        <f>'30 Year'!BX38</f>
        <v>1441.579635</v>
      </c>
    </row>
    <row r="34">
      <c r="A34" s="119" t="s">
        <v>122</v>
      </c>
      <c r="B34" s="373">
        <f>'30 Year'!AE39</f>
        <v>149</v>
      </c>
      <c r="C34" s="373">
        <f>'30 Year'!AT39</f>
        <v>207.2208333</v>
      </c>
      <c r="D34" s="373">
        <f>'30 Year'!BH39</f>
        <v>212.4013542</v>
      </c>
      <c r="E34" s="373">
        <f>'30 Year'!BV39</f>
        <v>217.711388</v>
      </c>
      <c r="F34" s="373">
        <f>'30 Year'!BX39</f>
        <v>223.1541727</v>
      </c>
    </row>
    <row r="35">
      <c r="A35" s="119" t="s">
        <v>123</v>
      </c>
      <c r="B35" s="373">
        <f>'30 Year'!AE40</f>
        <v>85</v>
      </c>
      <c r="C35" s="373">
        <f>'30 Year'!AT40</f>
        <v>87.125</v>
      </c>
      <c r="D35" s="373">
        <f>'30 Year'!BH40</f>
        <v>89.303125</v>
      </c>
      <c r="E35" s="373">
        <f>'30 Year'!BV40</f>
        <v>91.53570313</v>
      </c>
      <c r="F35" s="373">
        <f>'30 Year'!BX40</f>
        <v>93.8240957</v>
      </c>
    </row>
    <row r="36">
      <c r="A36" s="104" t="s">
        <v>102</v>
      </c>
      <c r="B36" s="376">
        <f>'30 Year'!AE41</f>
        <v>1540</v>
      </c>
      <c r="C36" s="376">
        <f>'30 Year'!AT41</f>
        <v>1632.995833</v>
      </c>
      <c r="D36" s="376">
        <f>'30 Year'!BH41</f>
        <v>1673.820729</v>
      </c>
      <c r="E36" s="376">
        <f>'30 Year'!BV41</f>
        <v>1715.666247</v>
      </c>
      <c r="F36" s="376">
        <f>'30 Year'!BX41</f>
        <v>1758.557904</v>
      </c>
    </row>
    <row r="37">
      <c r="A37" s="104" t="s">
        <v>124</v>
      </c>
      <c r="B37" s="373" t="str">
        <f>'30 Year'!AE42</f>
        <v/>
      </c>
      <c r="C37" s="208" t="str">
        <f>'30 Year'!AT42</f>
        <v/>
      </c>
      <c r="D37" s="208" t="str">
        <f>'30 Year'!BH42</f>
        <v/>
      </c>
      <c r="E37" s="208" t="str">
        <f>'30 Year'!BV42</f>
        <v/>
      </c>
      <c r="F37" s="208" t="str">
        <f>'30 Year'!BX42</f>
        <v/>
      </c>
    </row>
    <row r="38">
      <c r="A38" s="119" t="s">
        <v>125</v>
      </c>
      <c r="B38" s="373">
        <f>'30 Year'!AE43</f>
        <v>150000</v>
      </c>
      <c r="C38" s="373">
        <f>'30 Year'!AT43</f>
        <v>157500</v>
      </c>
      <c r="D38" s="373">
        <f>'30 Year'!BH43</f>
        <v>165375</v>
      </c>
      <c r="E38" s="373">
        <f>'30 Year'!BV43</f>
        <v>173643.75</v>
      </c>
      <c r="F38" s="373">
        <f>'30 Year'!BX43</f>
        <v>182325.9375</v>
      </c>
    </row>
    <row r="39">
      <c r="A39" s="119" t="s">
        <v>126</v>
      </c>
      <c r="B39" s="373">
        <f>'30 Year'!AE44</f>
        <v>4613</v>
      </c>
      <c r="C39" s="373">
        <f>'30 Year'!AT44</f>
        <v>4728.325</v>
      </c>
      <c r="D39" s="373">
        <f>'30 Year'!BH44</f>
        <v>4846.533125</v>
      </c>
      <c r="E39" s="373">
        <f>'30 Year'!BV44</f>
        <v>4967.696453</v>
      </c>
      <c r="F39" s="373">
        <f>'30 Year'!BX44</f>
        <v>5091.888864</v>
      </c>
    </row>
    <row r="40">
      <c r="A40" s="104" t="s">
        <v>102</v>
      </c>
      <c r="B40" s="376">
        <f>'30 Year'!AE45</f>
        <v>154613</v>
      </c>
      <c r="C40" s="376">
        <f>'30 Year'!AT45</f>
        <v>162228.325</v>
      </c>
      <c r="D40" s="376">
        <f>'30 Year'!BH45</f>
        <v>170221.5331</v>
      </c>
      <c r="E40" s="376">
        <f>'30 Year'!BV45</f>
        <v>178611.4465</v>
      </c>
      <c r="F40" s="376">
        <f>'30 Year'!BX45</f>
        <v>187417.8264</v>
      </c>
    </row>
    <row r="41">
      <c r="A41" s="374" t="s">
        <v>127</v>
      </c>
      <c r="B41" s="375">
        <f>'30 Year'!AE46</f>
        <v>1053547</v>
      </c>
      <c r="C41" s="375">
        <f>'30 Year'!AT46</f>
        <v>777072.4527</v>
      </c>
      <c r="D41" s="375">
        <f>'30 Year'!BH46</f>
        <v>698421.2465</v>
      </c>
      <c r="E41" s="375">
        <f>'30 Year'!BV46</f>
        <v>560808.257</v>
      </c>
      <c r="F41" s="375">
        <f>'30 Year'!BX46</f>
        <v>580899.2795</v>
      </c>
    </row>
    <row r="42">
      <c r="A42" s="371" t="s">
        <v>128</v>
      </c>
      <c r="B42" s="372">
        <f>'30 Year'!AE47</f>
        <v>235497</v>
      </c>
      <c r="C42" s="372">
        <f>'30 Year'!AT47</f>
        <v>228405.764</v>
      </c>
      <c r="D42" s="372">
        <f>'30 Year'!BH47</f>
        <v>350309.58</v>
      </c>
      <c r="E42" s="372">
        <f>'30 Year'!BV47</f>
        <v>527869.512</v>
      </c>
      <c r="F42" s="372">
        <f>'30 Year'!BX47</f>
        <v>686202.6263</v>
      </c>
    </row>
    <row r="43">
      <c r="A43" s="378"/>
      <c r="B43" s="379" t="str">
        <f>'30 Year'!AE48</f>
        <v/>
      </c>
      <c r="C43" s="12" t="str">
        <f>'30 Year'!AT48</f>
        <v/>
      </c>
      <c r="D43" s="12" t="str">
        <f>'30 Year'!BH48</f>
        <v/>
      </c>
      <c r="E43" s="12" t="str">
        <f>'30 Year'!BV48</f>
        <v/>
      </c>
      <c r="F43" s="12" t="str">
        <f>'30 Year'!BX48</f>
        <v/>
      </c>
    </row>
    <row r="44">
      <c r="A44" s="119" t="s">
        <v>132</v>
      </c>
      <c r="B44" s="373">
        <f>'30 Year'!AE49</f>
        <v>425</v>
      </c>
      <c r="C44" s="208">
        <f>'30 Year'!AT49</f>
        <v>425</v>
      </c>
      <c r="D44" s="208">
        <f>'30 Year'!BH49</f>
        <v>475</v>
      </c>
      <c r="E44" s="208">
        <f>'30 Year'!BV49</f>
        <v>425</v>
      </c>
      <c r="F44" s="208">
        <f>'30 Year'!BX49</f>
        <v>425</v>
      </c>
    </row>
  </sheetData>
  <printOptions gridLines="1" horizontalCentered="1"/>
  <pageMargins bottom="0.75" footer="0.0" header="0.0" left="0.7" right="0.7" top="0.75"/>
  <pageSetup fitToHeight="0" orientation="portrait"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0.1" defaultRowHeight="15.0"/>
  <cols>
    <col customWidth="1" min="1" max="1" width="42.4"/>
  </cols>
  <sheetData>
    <row r="1">
      <c r="A1" s="13" t="s">
        <v>262</v>
      </c>
    </row>
    <row r="2">
      <c r="A2" s="1"/>
      <c r="B2" s="1"/>
      <c r="C2" s="380"/>
      <c r="D2" s="381"/>
      <c r="E2" s="381"/>
      <c r="F2" s="381"/>
    </row>
    <row r="3">
      <c r="A3" s="382" t="s">
        <v>261</v>
      </c>
      <c r="B3" s="382">
        <v>2026.0</v>
      </c>
      <c r="C3" s="383">
        <v>2027.0</v>
      </c>
      <c r="D3" s="384">
        <v>2028.0</v>
      </c>
      <c r="E3" s="384">
        <v>2029.0</v>
      </c>
      <c r="F3" s="384">
        <v>2030.0</v>
      </c>
    </row>
    <row r="4">
      <c r="A4" s="208" t="str">
        <f>'30 Year'!Q53</f>
        <v>Asphalt Cracks &amp; Holes, Fill</v>
      </c>
      <c r="B4" s="373">
        <f>'30 Year'!AD53</f>
        <v>48000</v>
      </c>
      <c r="C4" s="373">
        <f>'30 Year'!AT53</f>
        <v>48000</v>
      </c>
      <c r="D4" s="208"/>
      <c r="E4" s="208"/>
      <c r="F4" s="208" t="str">
        <f>'30 Year'!BX53</f>
        <v/>
      </c>
    </row>
    <row r="5" ht="1.5" customHeight="1">
      <c r="A5" s="208"/>
      <c r="B5" s="208"/>
      <c r="C5" s="208"/>
      <c r="D5" s="208"/>
      <c r="E5" s="208"/>
      <c r="F5" s="208" t="str">
        <f>'30 Year'!BX54</f>
        <v/>
      </c>
    </row>
    <row r="6" ht="1.5" customHeight="1">
      <c r="A6" s="208"/>
      <c r="B6" s="208"/>
      <c r="C6" s="208"/>
      <c r="D6" s="208"/>
      <c r="E6" s="208"/>
      <c r="F6" s="208" t="str">
        <f>#REF!</f>
        <v>#REF!</v>
      </c>
    </row>
    <row r="7">
      <c r="A7" s="208" t="str">
        <f>'30 Year'!Q56</f>
        <v>Chimney Chase Flashing &amp; Siding Repairs, 13 Bldgs</v>
      </c>
      <c r="B7" s="373">
        <f>'30 Year'!AD56</f>
        <v>54348</v>
      </c>
      <c r="C7" s="208"/>
      <c r="D7" s="208"/>
      <c r="E7" s="208"/>
      <c r="F7" s="208"/>
    </row>
    <row r="8">
      <c r="A8" s="208" t="str">
        <f>'30 Year'!Q55</f>
        <v>Landscaping, Wildfire Defensible Space</v>
      </c>
      <c r="B8" s="373">
        <f>'30 Year'!AD55</f>
        <v>10000</v>
      </c>
      <c r="C8" s="373">
        <f>'30 Year'!AT55</f>
        <v>10000</v>
      </c>
      <c r="D8" s="208"/>
      <c r="E8" s="208"/>
      <c r="F8" s="208"/>
    </row>
    <row r="9">
      <c r="A9" s="208" t="str">
        <f>'30 Year'!Q58</f>
        <v>Chimney Chase Covers, 76 Covers</v>
      </c>
      <c r="B9" s="373">
        <f>'30 Year'!AD58</f>
        <v>113697</v>
      </c>
      <c r="C9" s="208"/>
      <c r="D9" s="208"/>
      <c r="E9" s="208"/>
      <c r="F9" s="208"/>
    </row>
    <row r="10" ht="1.5" customHeight="1">
      <c r="A10" s="208" t="str">
        <f>'30 Year'!Q59</f>
        <v>Gutters, Clean and Repair</v>
      </c>
      <c r="B10" s="208"/>
      <c r="C10" s="208"/>
      <c r="D10" s="208"/>
      <c r="E10" s="208"/>
      <c r="F10" s="373" t="str">
        <f>'30 Year'!BX59</f>
        <v/>
      </c>
    </row>
    <row r="11" ht="1.5" customHeight="1">
      <c r="A11" s="208"/>
      <c r="B11" s="208"/>
      <c r="C11" s="208"/>
      <c r="D11" s="208"/>
      <c r="E11" s="208"/>
      <c r="F11" s="208"/>
    </row>
    <row r="12" ht="1.5" customHeight="1">
      <c r="A12" s="208"/>
      <c r="B12" s="208"/>
      <c r="C12" s="208"/>
      <c r="D12" s="208"/>
      <c r="E12" s="208"/>
      <c r="F12" s="208"/>
    </row>
    <row r="13">
      <c r="A13" s="208" t="str">
        <f>'30 Year'!Q62</f>
        <v>Paint 4 Full Buildings and Trim on 2 Stucco Buildings</v>
      </c>
      <c r="B13" s="373">
        <f>'30 Year'!AD62</f>
        <v>187035</v>
      </c>
      <c r="C13" s="373">
        <f>'30 Year'!AT62</f>
        <v>146810.5995</v>
      </c>
      <c r="D13" s="373">
        <f>'30 Year'!BH62</f>
        <v>152076.6571</v>
      </c>
      <c r="E13" s="373">
        <f>'30 Year'!BV62</f>
        <v>0</v>
      </c>
      <c r="F13" s="208"/>
    </row>
    <row r="14">
      <c r="A14" s="208" t="str">
        <f>'30 Year'!Q63</f>
        <v>Parking Lots, Restripe</v>
      </c>
      <c r="B14" s="373">
        <f>'30 Year'!AD63</f>
        <v>0</v>
      </c>
      <c r="C14" s="208"/>
      <c r="D14" s="373">
        <f>'30 Year'!BH63</f>
        <v>5471.970912</v>
      </c>
      <c r="E14" s="208"/>
      <c r="F14" s="373">
        <f>'30 Year'!BX63</f>
        <v>5871.567672</v>
      </c>
    </row>
    <row r="15" ht="1.5" customHeight="1">
      <c r="A15" s="208"/>
      <c r="B15" s="208"/>
      <c r="C15" s="208"/>
      <c r="D15" s="208"/>
      <c r="E15" s="208"/>
      <c r="F15" s="208"/>
    </row>
    <row r="16" ht="1.5" customHeight="1">
      <c r="A16" s="208"/>
      <c r="B16" s="208"/>
      <c r="C16" s="208"/>
      <c r="D16" s="208"/>
      <c r="E16" s="208"/>
      <c r="F16" s="208"/>
    </row>
    <row r="17">
      <c r="A17" s="208" t="str">
        <f>'30 Year'!Q66</f>
        <v>Repair retaining wall by building 4</v>
      </c>
      <c r="B17" s="208"/>
      <c r="C17" s="373">
        <f>'30 Year'!AT66</f>
        <v>24253.85402</v>
      </c>
      <c r="D17" s="208"/>
      <c r="E17" s="208"/>
      <c r="F17" s="208"/>
    </row>
    <row r="18">
      <c r="A18" s="208" t="str">
        <f>'30 Year'!Q67</f>
        <v>Townhouse Walls, Decks</v>
      </c>
      <c r="B18" s="208"/>
      <c r="C18" s="373">
        <f>'30 Year'!AT67</f>
        <v>12333.08477</v>
      </c>
      <c r="D18" s="208"/>
      <c r="E18" s="208"/>
      <c r="F18" s="208"/>
    </row>
    <row r="19">
      <c r="A19" s="208" t="str">
        <f>'30 Year'!Q57</f>
        <v>Roof Flashing Repairs, 13 Buildings</v>
      </c>
      <c r="B19" s="373">
        <f>'30 Year'!AD57</f>
        <v>64835</v>
      </c>
      <c r="C19" s="208"/>
      <c r="D19" s="208"/>
      <c r="E19" s="208"/>
      <c r="F19" s="208"/>
    </row>
    <row r="20" ht="1.5" customHeight="1">
      <c r="A20" s="208"/>
      <c r="B20" s="208"/>
      <c r="C20" s="208"/>
      <c r="D20" s="208"/>
      <c r="E20" s="208"/>
      <c r="F20" s="208"/>
    </row>
    <row r="21">
      <c r="A21" s="208" t="str">
        <f>'30 Year'!Q70</f>
        <v>Roof Inspection and Repair, All Bldgs</v>
      </c>
      <c r="B21" s="373">
        <f>'30 Year'!AD70</f>
        <v>15041</v>
      </c>
      <c r="C21" s="373">
        <f>'30 Year'!AT70</f>
        <v>15522.312</v>
      </c>
      <c r="D21" s="373">
        <f>'30 Year'!BH70</f>
        <v>16019.02598</v>
      </c>
      <c r="E21" s="373">
        <f>'30 Year'!BV70</f>
        <v>16531.63482</v>
      </c>
      <c r="F21" s="373">
        <f>'30 Year'!BX70</f>
        <v>17060.64713</v>
      </c>
    </row>
    <row r="22">
      <c r="A22" s="208" t="str">
        <f>'30 Year'!Q71</f>
        <v>Sidewalks, Replace Concrete</v>
      </c>
      <c r="B22" s="373">
        <f>'30 Year'!AD71</f>
        <v>6000</v>
      </c>
      <c r="C22" s="373">
        <f>'30 Year'!AT71</f>
        <v>6000</v>
      </c>
      <c r="D22" s="373">
        <f>'30 Year'!BH71</f>
        <v>628.0958347</v>
      </c>
      <c r="E22" s="373">
        <f>'30 Year'!BV71</f>
        <v>650.6254671</v>
      </c>
      <c r="F22" s="385">
        <f>'30 Year'!BX71</f>
        <v>673.9632314</v>
      </c>
    </row>
    <row r="23" ht="1.5" customHeight="1">
      <c r="A23" s="208"/>
      <c r="B23" s="208"/>
      <c r="C23" s="208"/>
      <c r="D23" s="208"/>
      <c r="E23" s="208"/>
      <c r="F23" s="208" t="str">
        <f>'30 Year'!BX72</f>
        <v/>
      </c>
    </row>
    <row r="24" ht="1.5" customHeight="1">
      <c r="A24" s="208"/>
      <c r="B24" s="208"/>
      <c r="C24" s="208"/>
      <c r="D24" s="208"/>
      <c r="E24" s="208"/>
      <c r="F24" s="208"/>
    </row>
    <row r="25">
      <c r="A25" s="208" t="str">
        <f>'30 Year'!Q74</f>
        <v>Tree Removal &amp; Grind, 15 Small Trees</v>
      </c>
      <c r="B25" s="373">
        <f>'30 Year'!AD74</f>
        <v>15605</v>
      </c>
      <c r="C25" s="208"/>
      <c r="D25" s="208"/>
      <c r="E25" s="208"/>
      <c r="F25" s="208"/>
    </row>
    <row r="26" ht="1.5" customHeight="1">
      <c r="A26" s="208"/>
      <c r="B26" s="208"/>
      <c r="C26" s="208"/>
      <c r="D26" s="208"/>
      <c r="E26" s="208"/>
      <c r="F26" s="373" t="str">
        <f>'30 Year'!BX75</f>
        <v/>
      </c>
    </row>
    <row r="27">
      <c r="A27" s="208" t="str">
        <f>'30 Year'!Q76</f>
        <v>Balcony and Stairwell Repairs, 41 Treads</v>
      </c>
      <c r="B27" s="373">
        <f>'30 Year'!AD76</f>
        <v>23173</v>
      </c>
      <c r="C27" s="373">
        <f>'30 Year'!AT76</f>
        <v>5000</v>
      </c>
      <c r="D27" s="208"/>
      <c r="E27" s="373">
        <f>'30 Year'!BV76</f>
        <v>5356.125</v>
      </c>
      <c r="F27" s="208"/>
    </row>
    <row r="28" ht="1.5" customHeight="1">
      <c r="A28" s="208"/>
      <c r="B28" s="208"/>
      <c r="C28" s="208"/>
      <c r="D28" s="208"/>
      <c r="E28" s="208"/>
      <c r="F28" s="208"/>
    </row>
    <row r="29">
      <c r="A29" s="208" t="str">
        <f>'30 Year'!Q78</f>
        <v>Breaker Maintenance, Inspection</v>
      </c>
      <c r="B29" s="208"/>
      <c r="C29" s="373">
        <f>'30 Year'!AT78</f>
        <v>0</v>
      </c>
      <c r="D29" s="208"/>
      <c r="E29" s="373">
        <f>'30 Year'!BV78</f>
        <v>0</v>
      </c>
      <c r="F29" s="208"/>
    </row>
    <row r="30">
      <c r="A30" s="208" t="str">
        <f>'30 Year'!Q79</f>
        <v>Water Valve and Line Annual Inspection</v>
      </c>
      <c r="B30" s="373">
        <f>'30 Year'!AD79</f>
        <v>0</v>
      </c>
      <c r="C30" s="373">
        <f>'30 Year'!AT79</f>
        <v>0</v>
      </c>
      <c r="D30" s="373">
        <f>'30 Year'!BH79</f>
        <v>0</v>
      </c>
      <c r="E30" s="373">
        <f>'30 Year'!BV79</f>
        <v>0</v>
      </c>
      <c r="F30" s="373">
        <f>'30 Year'!BX79</f>
        <v>0</v>
      </c>
    </row>
    <row r="31">
      <c r="A31" s="208" t="str">
        <f>'30 Year'!Q80</f>
        <v>Sewer Inspection, Bi-annual Inspection</v>
      </c>
      <c r="B31" s="373">
        <f>'30 Year'!AD80</f>
        <v>0</v>
      </c>
      <c r="C31" s="208"/>
      <c r="D31" s="373">
        <f>'30 Year'!BH80</f>
        <v>0</v>
      </c>
      <c r="E31" s="208"/>
      <c r="F31" s="373">
        <f>'30 Year'!BX80</f>
        <v>0</v>
      </c>
    </row>
    <row r="32">
      <c r="A32" s="208" t="str">
        <f>'30 Year'!Q81</f>
        <v>Raise or Replace windows in Apt Bldgs.</v>
      </c>
      <c r="B32" s="373">
        <f>'30 Year'!AD81</f>
        <v>0</v>
      </c>
      <c r="C32" s="373">
        <f>'30 Year'!AT81</f>
        <v>8616.352</v>
      </c>
      <c r="D32" s="208"/>
      <c r="E32" s="208"/>
      <c r="F32" s="373" t="str">
        <f>'30 Year'!BX81</f>
        <v/>
      </c>
    </row>
    <row r="33">
      <c r="A33" s="386" t="str">
        <f>'30 Year'!Q82</f>
        <v>TOTAL</v>
      </c>
      <c r="B33" s="376">
        <f>'30 Year'!AD82</f>
        <v>648525</v>
      </c>
      <c r="C33" s="376">
        <f>'30 Year'!AT82</f>
        <v>276536.2023</v>
      </c>
      <c r="D33" s="376">
        <f>'30 Year'!BH82</f>
        <v>179370.7499</v>
      </c>
      <c r="E33" s="376">
        <f>'30 Year'!BV82</f>
        <v>22538.38528</v>
      </c>
      <c r="F33" s="376">
        <f>'30 Year'!BX82</f>
        <v>23606.17803</v>
      </c>
    </row>
    <row r="35">
      <c r="A35" s="208" t="str">
        <f>'30 Year'!Q49</f>
        <v>Monthly Assessment per Unit</v>
      </c>
      <c r="B35" s="208">
        <f>'30 Year'!R49</f>
        <v>425</v>
      </c>
      <c r="C35" s="208">
        <f>'30 Year'!AH49</f>
        <v>425</v>
      </c>
      <c r="D35" s="208">
        <f>'30 Year'!AV49</f>
        <v>475</v>
      </c>
      <c r="E35" s="208">
        <f>'30 Year'!BJ49</f>
        <v>425</v>
      </c>
      <c r="F35" s="208">
        <f>'30 Year'!BX49</f>
        <v>425</v>
      </c>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0.1" defaultRowHeight="15.0"/>
  <cols>
    <col customWidth="1" min="1" max="1" width="41.6"/>
    <col customWidth="1" min="2" max="2" width="6.8"/>
    <col customWidth="1" min="3" max="3" width="5.6"/>
    <col customWidth="1" min="4" max="4" width="7.4"/>
    <col customWidth="1" min="5" max="5" width="5.4"/>
    <col customWidth="1" min="6" max="6" width="9.3"/>
    <col customWidth="1" min="7" max="8" width="10.1"/>
    <col customWidth="1" min="9" max="9" width="10.4"/>
    <col customWidth="1" min="10" max="10" width="10.6"/>
    <col customWidth="1" min="11" max="11" width="7.7"/>
    <col customWidth="1" min="12" max="13" width="10.4"/>
    <col customWidth="1" min="14" max="14" width="8.2"/>
    <col customWidth="1" min="15" max="15" width="7.5"/>
  </cols>
  <sheetData>
    <row r="1">
      <c r="A1" s="387" t="s">
        <v>263</v>
      </c>
      <c r="C1" s="388"/>
      <c r="D1" s="389" t="s">
        <v>264</v>
      </c>
      <c r="E1" s="390">
        <v>0.1</v>
      </c>
      <c r="H1" s="391" t="s">
        <v>265</v>
      </c>
      <c r="I1" s="364">
        <v>2026.0</v>
      </c>
      <c r="J1" s="392">
        <f>Inflation!F13</f>
        <v>0.03586973699</v>
      </c>
      <c r="K1" s="393">
        <v>0.0707</v>
      </c>
      <c r="L1" s="387"/>
      <c r="M1" s="387"/>
      <c r="N1" s="394" t="s">
        <v>266</v>
      </c>
      <c r="P1" s="394" t="s">
        <v>267</v>
      </c>
      <c r="R1" s="395"/>
      <c r="S1" s="395"/>
      <c r="T1" s="395"/>
      <c r="U1" s="395"/>
      <c r="V1" s="395"/>
      <c r="W1" s="395"/>
      <c r="X1" s="395"/>
      <c r="Y1" s="395"/>
      <c r="Z1" s="395"/>
      <c r="AA1" s="395"/>
      <c r="AB1" s="395"/>
      <c r="AC1" s="395"/>
    </row>
    <row r="2" ht="62.25" customHeight="1">
      <c r="A2" s="396" t="s">
        <v>268</v>
      </c>
      <c r="B2" s="397" t="s">
        <v>269</v>
      </c>
      <c r="C2" s="398" t="s">
        <v>270</v>
      </c>
      <c r="D2" s="398" t="s">
        <v>271</v>
      </c>
      <c r="E2" s="398" t="s">
        <v>272</v>
      </c>
      <c r="F2" s="399" t="s">
        <v>273</v>
      </c>
      <c r="G2" s="400" t="s">
        <v>274</v>
      </c>
      <c r="H2" s="401" t="s">
        <v>275</v>
      </c>
      <c r="I2" s="401" t="s">
        <v>276</v>
      </c>
      <c r="J2" s="398" t="s">
        <v>264</v>
      </c>
      <c r="K2" s="401" t="s">
        <v>277</v>
      </c>
      <c r="L2" s="401" t="s">
        <v>278</v>
      </c>
      <c r="M2" s="401" t="s">
        <v>279</v>
      </c>
      <c r="N2" s="398" t="s">
        <v>280</v>
      </c>
      <c r="O2" s="398" t="s">
        <v>281</v>
      </c>
      <c r="P2" s="398" t="s">
        <v>282</v>
      </c>
    </row>
    <row r="3">
      <c r="A3" s="221" t="s">
        <v>283</v>
      </c>
      <c r="B3" s="402"/>
      <c r="C3" s="403">
        <v>2010.0</v>
      </c>
      <c r="D3" s="404">
        <v>8.0</v>
      </c>
      <c r="E3" s="402">
        <v>2032.0</v>
      </c>
      <c r="F3" s="405"/>
      <c r="G3" s="405">
        <v>12591.0</v>
      </c>
      <c r="H3" s="406"/>
      <c r="I3" s="407">
        <f>48295*power(1+$J$1,$I$1-$C$3)</f>
        <v>84875.92011</v>
      </c>
      <c r="J3" s="406">
        <f t="shared" ref="J3:J10" si="1">SUM(H3:I3)*$E$1</f>
        <v>8487.592011</v>
      </c>
      <c r="K3" s="406">
        <f t="shared" ref="K3:K10" si="2">(H3+I3)*$K$1</f>
        <v>6000.727552</v>
      </c>
      <c r="L3" s="407">
        <f t="shared" ref="L3:L10" si="3">SUM(H3:K3)</f>
        <v>99364.23967</v>
      </c>
      <c r="M3" s="407">
        <f t="shared" ref="M3:M7" si="4">L3*((1+$J$1)^(E3-$I$1))</f>
        <v>122761.1606</v>
      </c>
      <c r="N3" s="280" t="s">
        <v>284</v>
      </c>
      <c r="O3" s="394" t="s">
        <v>285</v>
      </c>
      <c r="P3" s="408" t="s">
        <v>286</v>
      </c>
      <c r="Q3" s="409" t="s">
        <v>287</v>
      </c>
    </row>
    <row r="4">
      <c r="A4" s="410" t="s">
        <v>288</v>
      </c>
      <c r="B4" s="411"/>
      <c r="C4" s="411"/>
      <c r="D4" s="412">
        <v>15.0</v>
      </c>
      <c r="E4" s="402">
        <v>2041.0</v>
      </c>
      <c r="F4" s="405">
        <f>'Cost Data'!Q18</f>
        <v>104926</v>
      </c>
      <c r="G4" s="90"/>
      <c r="H4" s="413">
        <v>524630.0</v>
      </c>
      <c r="I4" s="90"/>
      <c r="J4" s="406">
        <f t="shared" si="1"/>
        <v>52463</v>
      </c>
      <c r="K4" s="406">
        <f t="shared" si="2"/>
        <v>37091.341</v>
      </c>
      <c r="L4" s="407">
        <f t="shared" si="3"/>
        <v>614184.341</v>
      </c>
      <c r="M4" s="407">
        <f t="shared" si="4"/>
        <v>1042019.675</v>
      </c>
      <c r="N4" s="280" t="s">
        <v>289</v>
      </c>
      <c r="O4" s="414" t="s">
        <v>290</v>
      </c>
    </row>
    <row r="5">
      <c r="A5" s="90" t="s">
        <v>291</v>
      </c>
      <c r="B5" s="411"/>
      <c r="C5" s="411">
        <v>1984.0</v>
      </c>
      <c r="D5" s="411">
        <v>25.0</v>
      </c>
      <c r="E5" s="415">
        <v>2053.0</v>
      </c>
      <c r="F5" s="405">
        <f>'Cost Data'!Q18</f>
        <v>104926</v>
      </c>
      <c r="G5" s="90"/>
      <c r="H5" s="413">
        <v>944334.0</v>
      </c>
      <c r="I5" s="90"/>
      <c r="J5" s="406">
        <f t="shared" si="1"/>
        <v>94433.4</v>
      </c>
      <c r="K5" s="406">
        <f t="shared" si="2"/>
        <v>66764.4138</v>
      </c>
      <c r="L5" s="407">
        <f t="shared" si="3"/>
        <v>1105531.814</v>
      </c>
      <c r="M5" s="407">
        <f t="shared" si="4"/>
        <v>2862926.299</v>
      </c>
      <c r="N5" s="280" t="s">
        <v>289</v>
      </c>
      <c r="O5" s="416" t="s">
        <v>292</v>
      </c>
    </row>
    <row r="6">
      <c r="A6" s="221" t="s">
        <v>293</v>
      </c>
      <c r="B6" s="411"/>
      <c r="C6" s="411"/>
      <c r="D6" s="404">
        <v>8.0</v>
      </c>
      <c r="E6" s="402">
        <v>2026.0</v>
      </c>
      <c r="F6" s="405">
        <v>9030.0</v>
      </c>
      <c r="G6" s="405"/>
      <c r="H6" s="406">
        <v>32580.0</v>
      </c>
      <c r="I6" s="411"/>
      <c r="J6" s="406">
        <f t="shared" si="1"/>
        <v>3258</v>
      </c>
      <c r="K6" s="406">
        <f t="shared" si="2"/>
        <v>2303.406</v>
      </c>
      <c r="L6" s="407">
        <f t="shared" si="3"/>
        <v>38141.406</v>
      </c>
      <c r="M6" s="407">
        <f t="shared" si="4"/>
        <v>38141.406</v>
      </c>
      <c r="N6" s="394" t="s">
        <v>294</v>
      </c>
      <c r="O6" s="350"/>
      <c r="Q6" s="394"/>
    </row>
    <row r="7">
      <c r="A7" s="221" t="s">
        <v>295</v>
      </c>
      <c r="B7" s="411"/>
      <c r="C7" s="411">
        <v>2015.0</v>
      </c>
      <c r="D7" s="404">
        <v>15.0</v>
      </c>
      <c r="E7" s="403">
        <v>2026.0</v>
      </c>
      <c r="F7" s="405">
        <v>7029.0</v>
      </c>
      <c r="G7" s="405"/>
      <c r="H7" s="406">
        <v>21885.0</v>
      </c>
      <c r="I7" s="411"/>
      <c r="J7" s="406">
        <f t="shared" si="1"/>
        <v>2188.5</v>
      </c>
      <c r="K7" s="406">
        <f t="shared" si="2"/>
        <v>1547.2695</v>
      </c>
      <c r="L7" s="407">
        <f t="shared" si="3"/>
        <v>25620.7695</v>
      </c>
      <c r="M7" s="407">
        <f t="shared" si="4"/>
        <v>25620.7695</v>
      </c>
      <c r="N7" s="394" t="s">
        <v>294</v>
      </c>
      <c r="O7" s="350"/>
      <c r="Q7" s="394"/>
    </row>
    <row r="8">
      <c r="A8" s="221" t="s">
        <v>296</v>
      </c>
      <c r="B8" s="411"/>
      <c r="C8" s="411"/>
      <c r="D8" s="404"/>
      <c r="E8" s="403">
        <v>2024.0</v>
      </c>
      <c r="F8" s="405"/>
      <c r="G8" s="405"/>
      <c r="H8" s="406"/>
      <c r="I8" s="411"/>
      <c r="J8" s="406">
        <f t="shared" si="1"/>
        <v>0</v>
      </c>
      <c r="K8" s="406">
        <f t="shared" si="2"/>
        <v>0</v>
      </c>
      <c r="L8" s="407">
        <f t="shared" si="3"/>
        <v>0</v>
      </c>
      <c r="M8" s="407">
        <f>L8*power(1+$J$1,E8-$I$1)</f>
        <v>0</v>
      </c>
      <c r="N8" s="417" t="s">
        <v>297</v>
      </c>
      <c r="O8" s="350"/>
      <c r="P8" s="394"/>
    </row>
    <row r="9">
      <c r="A9" s="243" t="s">
        <v>298</v>
      </c>
      <c r="B9" s="402"/>
      <c r="C9" s="403"/>
      <c r="D9" s="404">
        <v>20.0</v>
      </c>
      <c r="E9" s="403">
        <v>2026.0</v>
      </c>
      <c r="F9" s="405"/>
      <c r="G9" s="405">
        <v>1892.0</v>
      </c>
      <c r="H9" s="413">
        <v>55708.0</v>
      </c>
      <c r="I9" s="413"/>
      <c r="J9" s="406">
        <f t="shared" si="1"/>
        <v>5570.8</v>
      </c>
      <c r="K9" s="406">
        <f t="shared" si="2"/>
        <v>3938.5556</v>
      </c>
      <c r="L9" s="407">
        <f t="shared" si="3"/>
        <v>65217.3556</v>
      </c>
      <c r="M9" s="407">
        <f t="shared" ref="M9:M14" si="5">L9*((1+$J$1)^(E9-$I$1))</f>
        <v>65217.3556</v>
      </c>
      <c r="N9" s="418" t="s">
        <v>299</v>
      </c>
      <c r="P9" s="394" t="s">
        <v>300</v>
      </c>
      <c r="Q9" s="394" t="s">
        <v>301</v>
      </c>
      <c r="R9" s="419" t="s">
        <v>302</v>
      </c>
    </row>
    <row r="10">
      <c r="A10" s="243" t="s">
        <v>303</v>
      </c>
      <c r="B10" s="402"/>
      <c r="C10" s="403"/>
      <c r="D10" s="404">
        <v>20.0</v>
      </c>
      <c r="E10" s="403">
        <v>2026.0</v>
      </c>
      <c r="F10" s="405">
        <v>12768.0</v>
      </c>
      <c r="G10" s="405"/>
      <c r="H10" s="413">
        <v>20400.0</v>
      </c>
      <c r="I10" s="413"/>
      <c r="J10" s="406">
        <f t="shared" si="1"/>
        <v>2040</v>
      </c>
      <c r="K10" s="406">
        <f t="shared" si="2"/>
        <v>1442.28</v>
      </c>
      <c r="L10" s="407">
        <f t="shared" si="3"/>
        <v>23882.28</v>
      </c>
      <c r="M10" s="407">
        <f t="shared" si="5"/>
        <v>23882.28</v>
      </c>
      <c r="N10" s="420" t="s">
        <v>304</v>
      </c>
      <c r="P10" s="350" t="s">
        <v>305</v>
      </c>
    </row>
    <row r="11">
      <c r="A11" s="421" t="s">
        <v>306</v>
      </c>
      <c r="B11" s="403"/>
      <c r="C11" s="402">
        <v>2025.0</v>
      </c>
      <c r="D11" s="422">
        <v>25.0</v>
      </c>
      <c r="E11" s="402">
        <v>2050.0</v>
      </c>
      <c r="F11" s="405">
        <f>'Cost Data'!X18+'Cost Data'!Y18</f>
        <v>11180</v>
      </c>
      <c r="G11" s="405"/>
      <c r="H11" s="406">
        <v>235144.0</v>
      </c>
      <c r="I11" s="413">
        <v>239250.0</v>
      </c>
      <c r="J11" s="406"/>
      <c r="K11" s="406">
        <v>0.0</v>
      </c>
      <c r="L11" s="407">
        <f>SUM(I11:K11)</f>
        <v>239250</v>
      </c>
      <c r="M11" s="407">
        <f t="shared" si="5"/>
        <v>557410.8703</v>
      </c>
      <c r="N11" s="416" t="s">
        <v>307</v>
      </c>
      <c r="O11" s="394" t="s">
        <v>308</v>
      </c>
      <c r="P11" s="394" t="s">
        <v>309</v>
      </c>
      <c r="Q11" s="420" t="s">
        <v>310</v>
      </c>
    </row>
    <row r="12">
      <c r="A12" s="221" t="s">
        <v>159</v>
      </c>
      <c r="B12" s="412"/>
      <c r="C12" s="411"/>
      <c r="D12" s="404">
        <v>1.0</v>
      </c>
      <c r="E12" s="402">
        <v>2026.0</v>
      </c>
      <c r="F12" s="405"/>
      <c r="G12" s="405"/>
      <c r="H12" s="406"/>
      <c r="I12" s="405">
        <v>6000.0</v>
      </c>
      <c r="J12" s="406"/>
      <c r="K12" s="406"/>
      <c r="L12" s="407">
        <f t="shared" ref="L12:L29" si="6">SUM(H12:K12)</f>
        <v>6000</v>
      </c>
      <c r="M12" s="407">
        <f t="shared" si="5"/>
        <v>6000</v>
      </c>
      <c r="N12" s="417" t="s">
        <v>311</v>
      </c>
      <c r="O12" s="350"/>
      <c r="P12" s="394"/>
      <c r="Q12" s="394"/>
    </row>
    <row r="13">
      <c r="A13" s="221" t="s">
        <v>161</v>
      </c>
      <c r="B13" s="411"/>
      <c r="C13" s="402">
        <v>2025.0</v>
      </c>
      <c r="D13" s="422">
        <v>25.0</v>
      </c>
      <c r="E13" s="402">
        <v>2050.0</v>
      </c>
      <c r="F13" s="405"/>
      <c r="G13" s="423">
        <v>4036.0</v>
      </c>
      <c r="H13" s="406"/>
      <c r="I13" s="423">
        <v>79641.0</v>
      </c>
      <c r="J13" s="406">
        <f t="shared" ref="J13:J26" si="7">SUM(H13:I13)*$E$1</f>
        <v>7964.1</v>
      </c>
      <c r="K13" s="406">
        <v>0.0</v>
      </c>
      <c r="L13" s="407">
        <f t="shared" si="6"/>
        <v>87605.1</v>
      </c>
      <c r="M13" s="407">
        <f t="shared" si="5"/>
        <v>204104.6396</v>
      </c>
      <c r="N13" s="424" t="s">
        <v>312</v>
      </c>
      <c r="O13" s="350" t="s">
        <v>313</v>
      </c>
    </row>
    <row r="14">
      <c r="A14" s="221" t="s">
        <v>314</v>
      </c>
      <c r="B14" s="403"/>
      <c r="C14" s="402">
        <v>2025.0</v>
      </c>
      <c r="D14" s="422">
        <v>25.0</v>
      </c>
      <c r="E14" s="402">
        <v>2050.0</v>
      </c>
      <c r="F14" s="405"/>
      <c r="G14" s="423">
        <v>4036.0</v>
      </c>
      <c r="H14" s="406"/>
      <c r="I14" s="423">
        <v>174335.0</v>
      </c>
      <c r="J14" s="406">
        <f t="shared" si="7"/>
        <v>17433.5</v>
      </c>
      <c r="K14" s="406">
        <v>0.0</v>
      </c>
      <c r="L14" s="407">
        <f t="shared" si="6"/>
        <v>191768.5</v>
      </c>
      <c r="M14" s="407">
        <f t="shared" si="5"/>
        <v>446787.2371</v>
      </c>
      <c r="N14" s="425" t="s">
        <v>315</v>
      </c>
      <c r="O14" s="350" t="s">
        <v>316</v>
      </c>
      <c r="P14" s="426" t="s">
        <v>317</v>
      </c>
    </row>
    <row r="15">
      <c r="A15" s="427" t="s">
        <v>166</v>
      </c>
      <c r="B15" s="403"/>
      <c r="C15" s="428">
        <v>2015.0</v>
      </c>
      <c r="D15" s="429">
        <v>15.0</v>
      </c>
      <c r="E15" s="428">
        <v>2026.0</v>
      </c>
      <c r="F15" s="430">
        <f>'Cost Data'!C18</f>
        <v>145273</v>
      </c>
      <c r="G15" s="405"/>
      <c r="H15" s="413">
        <v>0.0</v>
      </c>
      <c r="I15" s="406"/>
      <c r="J15" s="406">
        <f t="shared" si="7"/>
        <v>0</v>
      </c>
      <c r="K15" s="406">
        <f t="shared" ref="K15:K21" si="8">(H15+I15)*$K$1</f>
        <v>0</v>
      </c>
      <c r="L15" s="407">
        <f t="shared" si="6"/>
        <v>0</v>
      </c>
      <c r="M15" s="407">
        <f>L15*power(1+$J$1,E15-$I$1)</f>
        <v>0</v>
      </c>
      <c r="N15" s="394" t="s">
        <v>294</v>
      </c>
      <c r="O15" s="394" t="s">
        <v>318</v>
      </c>
      <c r="P15" s="408" t="s">
        <v>286</v>
      </c>
      <c r="Q15" s="419" t="s">
        <v>319</v>
      </c>
    </row>
    <row r="16">
      <c r="A16" s="410" t="s">
        <v>320</v>
      </c>
      <c r="B16" s="402"/>
      <c r="C16" s="403">
        <v>2015.0</v>
      </c>
      <c r="D16" s="422">
        <v>10.0</v>
      </c>
      <c r="E16" s="402">
        <v>2026.0</v>
      </c>
      <c r="F16" s="405">
        <f>'Cost Data'!C18</f>
        <v>145273</v>
      </c>
      <c r="G16" s="405"/>
      <c r="H16" s="413"/>
      <c r="I16" s="413">
        <v>363185.0</v>
      </c>
      <c r="J16" s="406">
        <f t="shared" si="7"/>
        <v>36318.5</v>
      </c>
      <c r="K16" s="406">
        <f t="shared" si="8"/>
        <v>25677.1795</v>
      </c>
      <c r="L16" s="407">
        <f t="shared" si="6"/>
        <v>425180.6795</v>
      </c>
      <c r="M16" s="407">
        <f t="shared" ref="M16:M23" si="9">L16*((1+$J$1)^(E16-$I$1))</f>
        <v>425180.6795</v>
      </c>
      <c r="N16" s="426" t="s">
        <v>321</v>
      </c>
      <c r="O16" s="408" t="s">
        <v>286</v>
      </c>
      <c r="P16" s="280" t="s">
        <v>322</v>
      </c>
      <c r="Q16" s="431" t="s">
        <v>323</v>
      </c>
      <c r="R16" s="280" t="s">
        <v>324</v>
      </c>
    </row>
    <row r="17">
      <c r="A17" s="221" t="s">
        <v>167</v>
      </c>
      <c r="B17" s="403"/>
      <c r="C17" s="402">
        <v>2024.0</v>
      </c>
      <c r="D17" s="422">
        <v>3.0</v>
      </c>
      <c r="E17" s="402">
        <v>2027.0</v>
      </c>
      <c r="F17" s="405"/>
      <c r="G17" s="423">
        <v>4356.0</v>
      </c>
      <c r="H17" s="406">
        <f>G17*1</f>
        <v>4356</v>
      </c>
      <c r="I17" s="406"/>
      <c r="J17" s="406">
        <f t="shared" si="7"/>
        <v>435.6</v>
      </c>
      <c r="K17" s="406">
        <f t="shared" si="8"/>
        <v>307.9692</v>
      </c>
      <c r="L17" s="407">
        <f t="shared" si="6"/>
        <v>5099.5692</v>
      </c>
      <c r="M17" s="407">
        <f t="shared" si="9"/>
        <v>5282.489406</v>
      </c>
      <c r="N17" s="408" t="s">
        <v>286</v>
      </c>
      <c r="O17" s="350" t="s">
        <v>325</v>
      </c>
      <c r="P17" s="394" t="s">
        <v>326</v>
      </c>
    </row>
    <row r="18">
      <c r="A18" s="221" t="s">
        <v>169</v>
      </c>
      <c r="B18" s="411"/>
      <c r="C18" s="411">
        <v>2022.0</v>
      </c>
      <c r="D18" s="404">
        <v>20.0</v>
      </c>
      <c r="E18" s="403">
        <v>2042.0</v>
      </c>
      <c r="F18" s="405">
        <v>720.0</v>
      </c>
      <c r="G18" s="405"/>
      <c r="H18" s="406"/>
      <c r="I18" s="406">
        <v>20000.0</v>
      </c>
      <c r="J18" s="406">
        <f t="shared" si="7"/>
        <v>2000</v>
      </c>
      <c r="K18" s="406">
        <f t="shared" si="8"/>
        <v>1414</v>
      </c>
      <c r="L18" s="407">
        <f t="shared" si="6"/>
        <v>23414</v>
      </c>
      <c r="M18" s="407">
        <f t="shared" si="9"/>
        <v>41148.87242</v>
      </c>
      <c r="N18" s="417" t="s">
        <v>327</v>
      </c>
      <c r="O18" s="350"/>
      <c r="P18" s="426" t="s">
        <v>328</v>
      </c>
    </row>
    <row r="19">
      <c r="A19" s="221" t="s">
        <v>173</v>
      </c>
      <c r="B19" s="403"/>
      <c r="C19" s="403">
        <v>2023.0</v>
      </c>
      <c r="D19" s="404">
        <v>50.0</v>
      </c>
      <c r="E19" s="402">
        <v>2073.0</v>
      </c>
      <c r="F19" s="405">
        <v>112.5</v>
      </c>
      <c r="G19" s="405"/>
      <c r="H19" s="406"/>
      <c r="I19" s="406">
        <v>20000.0</v>
      </c>
      <c r="J19" s="406">
        <f t="shared" si="7"/>
        <v>2000</v>
      </c>
      <c r="K19" s="406">
        <f t="shared" si="8"/>
        <v>1414</v>
      </c>
      <c r="L19" s="407">
        <f t="shared" si="6"/>
        <v>23414</v>
      </c>
      <c r="M19" s="407">
        <f t="shared" si="9"/>
        <v>122692.3383</v>
      </c>
      <c r="N19" s="417" t="s">
        <v>329</v>
      </c>
      <c r="O19" s="350" t="s">
        <v>330</v>
      </c>
      <c r="P19" s="394" t="s">
        <v>331</v>
      </c>
    </row>
    <row r="20">
      <c r="A20" s="421" t="s">
        <v>332</v>
      </c>
      <c r="B20" s="403"/>
      <c r="C20" s="403"/>
      <c r="D20" s="404">
        <v>50.0</v>
      </c>
      <c r="E20" s="402">
        <v>2026.0</v>
      </c>
      <c r="F20" s="405"/>
      <c r="G20" s="405"/>
      <c r="H20" s="406"/>
      <c r="I20" s="432">
        <v>10170.0</v>
      </c>
      <c r="J20" s="406">
        <f t="shared" si="7"/>
        <v>1017</v>
      </c>
      <c r="K20" s="406">
        <f t="shared" si="8"/>
        <v>719.019</v>
      </c>
      <c r="L20" s="407">
        <f t="shared" si="6"/>
        <v>11906.019</v>
      </c>
      <c r="M20" s="407">
        <f t="shared" si="9"/>
        <v>11906.019</v>
      </c>
      <c r="N20" s="417" t="s">
        <v>297</v>
      </c>
      <c r="O20" s="350"/>
      <c r="P20" s="394" t="s">
        <v>331</v>
      </c>
    </row>
    <row r="21" ht="15.75" customHeight="1">
      <c r="A21" s="221" t="s">
        <v>154</v>
      </c>
      <c r="B21" s="402"/>
      <c r="C21" s="403"/>
      <c r="D21" s="404">
        <v>20.0</v>
      </c>
      <c r="E21" s="403">
        <v>2025.0</v>
      </c>
      <c r="F21" s="90"/>
      <c r="G21" s="433">
        <f>SUM('Cost Data'!M18:O18)</f>
        <v>9771</v>
      </c>
      <c r="H21" s="406"/>
      <c r="I21" s="434">
        <v>158779.0</v>
      </c>
      <c r="J21" s="406">
        <f t="shared" si="7"/>
        <v>15877.9</v>
      </c>
      <c r="K21" s="406">
        <f t="shared" si="8"/>
        <v>11225.6753</v>
      </c>
      <c r="L21" s="407">
        <f t="shared" si="6"/>
        <v>185882.5753</v>
      </c>
      <c r="M21" s="407">
        <f t="shared" si="9"/>
        <v>179445.8981</v>
      </c>
      <c r="N21" s="416" t="s">
        <v>333</v>
      </c>
      <c r="O21" s="350" t="s">
        <v>334</v>
      </c>
      <c r="P21" s="435" t="s">
        <v>299</v>
      </c>
      <c r="R21" s="416" t="s">
        <v>335</v>
      </c>
    </row>
    <row r="22" ht="15.75" customHeight="1">
      <c r="A22" s="221" t="s">
        <v>179</v>
      </c>
      <c r="B22" s="403"/>
      <c r="C22" s="403">
        <v>2011.0</v>
      </c>
      <c r="D22" s="404">
        <v>25.0</v>
      </c>
      <c r="E22" s="403">
        <v>2036.0</v>
      </c>
      <c r="F22" s="405">
        <f>'Cost Data'!I18</f>
        <v>122484.1806</v>
      </c>
      <c r="G22" s="405"/>
      <c r="H22" s="413">
        <v>896733.0</v>
      </c>
      <c r="I22" s="406"/>
      <c r="J22" s="406">
        <f t="shared" si="7"/>
        <v>89673.3</v>
      </c>
      <c r="K22" s="406">
        <f>(H22+I22+J22)*$K$1</f>
        <v>69738.92541</v>
      </c>
      <c r="L22" s="407">
        <f t="shared" si="6"/>
        <v>1056145.225</v>
      </c>
      <c r="M22" s="407">
        <f t="shared" si="9"/>
        <v>1502363.74</v>
      </c>
      <c r="N22" s="394" t="s">
        <v>336</v>
      </c>
      <c r="O22" s="346" t="s">
        <v>337</v>
      </c>
      <c r="P22" s="436" t="s">
        <v>338</v>
      </c>
      <c r="Q22" s="416" t="s">
        <v>339</v>
      </c>
      <c r="R22" s="437" t="s">
        <v>340</v>
      </c>
      <c r="S22" s="416" t="s">
        <v>341</v>
      </c>
      <c r="T22" s="437" t="s">
        <v>181</v>
      </c>
      <c r="U22" s="416" t="s">
        <v>342</v>
      </c>
    </row>
    <row r="23" ht="15.75" customHeight="1">
      <c r="A23" s="243" t="s">
        <v>187</v>
      </c>
      <c r="B23" s="403"/>
      <c r="C23" s="403"/>
      <c r="D23" s="404">
        <v>25.0</v>
      </c>
      <c r="E23" s="402">
        <v>2026.0</v>
      </c>
      <c r="F23" s="405">
        <v>100.0</v>
      </c>
      <c r="G23" s="405"/>
      <c r="H23" s="406">
        <v>500.0</v>
      </c>
      <c r="I23" s="403"/>
      <c r="J23" s="406">
        <f t="shared" si="7"/>
        <v>50</v>
      </c>
      <c r="K23" s="406">
        <f>(H23+I23)*$K$1</f>
        <v>35.35</v>
      </c>
      <c r="L23" s="407">
        <f t="shared" si="6"/>
        <v>585.35</v>
      </c>
      <c r="M23" s="407">
        <f t="shared" si="9"/>
        <v>585.35</v>
      </c>
      <c r="N23" s="417"/>
      <c r="O23" s="350" t="s">
        <v>343</v>
      </c>
      <c r="P23" s="394" t="s">
        <v>344</v>
      </c>
    </row>
    <row r="24" ht="15.75" customHeight="1">
      <c r="A24" s="438" t="s">
        <v>345</v>
      </c>
      <c r="B24" s="439"/>
      <c r="C24" s="439"/>
      <c r="D24" s="439"/>
      <c r="E24" s="438"/>
      <c r="F24" s="439"/>
      <c r="G24" s="439"/>
      <c r="H24" s="439"/>
      <c r="I24" s="439"/>
      <c r="J24" s="406">
        <f t="shared" si="7"/>
        <v>0</v>
      </c>
      <c r="K24" s="439"/>
      <c r="L24" s="407">
        <f t="shared" si="6"/>
        <v>0</v>
      </c>
      <c r="M24" s="407">
        <f>L24*power(1+$J$1,E24-$I$1)</f>
        <v>0</v>
      </c>
      <c r="N24" s="113" t="s">
        <v>346</v>
      </c>
    </row>
    <row r="25" ht="15.75" customHeight="1">
      <c r="A25" s="221" t="s">
        <v>347</v>
      </c>
      <c r="B25" s="403"/>
      <c r="C25" s="403">
        <v>2021.0</v>
      </c>
      <c r="D25" s="404">
        <v>10.0</v>
      </c>
      <c r="E25" s="403">
        <v>2031.0</v>
      </c>
      <c r="F25" s="405">
        <f>'Cost Data'!D18</f>
        <v>12510</v>
      </c>
      <c r="G25" s="405"/>
      <c r="H25" s="406">
        <v>66803.0</v>
      </c>
      <c r="I25" s="411"/>
      <c r="J25" s="406">
        <f t="shared" si="7"/>
        <v>6680.3</v>
      </c>
      <c r="K25" s="406">
        <f t="shared" ref="K25:K26" si="10">(H25+I25)*$K$1</f>
        <v>4722.9721</v>
      </c>
      <c r="L25" s="407">
        <f t="shared" si="6"/>
        <v>78206.2721</v>
      </c>
      <c r="M25" s="407">
        <f t="shared" ref="M25:M27" si="11">L25*((1+$J$1)^(E25-$I$1))</f>
        <v>93275.44103</v>
      </c>
      <c r="N25" s="417"/>
      <c r="O25" s="350" t="s">
        <v>318</v>
      </c>
      <c r="P25" s="394" t="s">
        <v>294</v>
      </c>
    </row>
    <row r="26" ht="15.75" customHeight="1">
      <c r="A26" s="440" t="s">
        <v>348</v>
      </c>
      <c r="B26" s="90"/>
      <c r="C26" s="411">
        <v>2014.0</v>
      </c>
      <c r="D26" s="412">
        <v>100.0</v>
      </c>
      <c r="E26" s="415">
        <v>2114.0</v>
      </c>
      <c r="F26" s="439"/>
      <c r="G26" s="439"/>
      <c r="H26" s="439"/>
      <c r="I26" s="406">
        <v>96000.0</v>
      </c>
      <c r="J26" s="406">
        <f t="shared" si="7"/>
        <v>9600</v>
      </c>
      <c r="K26" s="406">
        <f t="shared" si="10"/>
        <v>6787.2</v>
      </c>
      <c r="L26" s="407">
        <f t="shared" si="6"/>
        <v>112387.2</v>
      </c>
      <c r="M26" s="407">
        <f t="shared" si="11"/>
        <v>2497868.887</v>
      </c>
      <c r="N26" s="113" t="s">
        <v>349</v>
      </c>
      <c r="P26" s="350"/>
      <c r="Q26" s="350"/>
    </row>
    <row r="27" ht="15.75" customHeight="1">
      <c r="A27" s="440" t="s">
        <v>350</v>
      </c>
      <c r="B27" s="411"/>
      <c r="C27" s="90">
        <v>2024.0</v>
      </c>
      <c r="D27" s="439"/>
      <c r="E27" s="441">
        <v>2024.0</v>
      </c>
      <c r="F27" s="439"/>
      <c r="G27" s="439"/>
      <c r="H27" s="439"/>
      <c r="I27" s="406">
        <v>48178.0</v>
      </c>
      <c r="J27" s="406"/>
      <c r="K27" s="406">
        <v>0.0</v>
      </c>
      <c r="L27" s="407">
        <f t="shared" si="6"/>
        <v>48178</v>
      </c>
      <c r="M27" s="407">
        <f t="shared" si="11"/>
        <v>44899.18695</v>
      </c>
      <c r="N27" s="113" t="s">
        <v>351</v>
      </c>
      <c r="P27" s="350"/>
      <c r="Q27" s="350"/>
    </row>
    <row r="28" ht="15.75" customHeight="1">
      <c r="A28" s="438" t="s">
        <v>352</v>
      </c>
      <c r="B28" s="439"/>
      <c r="C28" s="439"/>
      <c r="D28" s="439"/>
      <c r="E28" s="441">
        <v>2024.0</v>
      </c>
      <c r="F28" s="439"/>
      <c r="G28" s="439"/>
      <c r="H28" s="439"/>
      <c r="I28" s="439"/>
      <c r="J28" s="406">
        <f t="shared" ref="J28:J29" si="12">SUM(H28:I28)*$E$1</f>
        <v>0</v>
      </c>
      <c r="K28" s="439"/>
      <c r="L28" s="407">
        <f t="shared" si="6"/>
        <v>0</v>
      </c>
      <c r="M28" s="407">
        <f>L28*power(1+$J$1,E28-$I$1)</f>
        <v>0</v>
      </c>
      <c r="N28" s="113" t="s">
        <v>353</v>
      </c>
      <c r="Q28" s="350"/>
    </row>
    <row r="29" ht="15.75" customHeight="1">
      <c r="A29" s="410" t="s">
        <v>148</v>
      </c>
      <c r="B29" s="412"/>
      <c r="C29" s="411"/>
      <c r="D29" s="404">
        <v>25.0</v>
      </c>
      <c r="E29" s="402">
        <v>2026.0</v>
      </c>
      <c r="F29" s="405">
        <v>1650.0</v>
      </c>
      <c r="G29" s="405"/>
      <c r="H29" s="406">
        <v>33000.0</v>
      </c>
      <c r="I29" s="411"/>
      <c r="J29" s="406">
        <f t="shared" si="12"/>
        <v>3300</v>
      </c>
      <c r="K29" s="406">
        <f>(H29+I29)*$K$1</f>
        <v>2333.1</v>
      </c>
      <c r="L29" s="407">
        <f t="shared" si="6"/>
        <v>38633.1</v>
      </c>
      <c r="M29" s="407">
        <f>L29*((1+$J$1)^(E29-$I$1))</f>
        <v>38633.1</v>
      </c>
      <c r="N29" s="350" t="s">
        <v>354</v>
      </c>
    </row>
    <row r="30" ht="15.75" customHeight="1">
      <c r="A30" s="442" t="s">
        <v>194</v>
      </c>
      <c r="B30" s="443"/>
      <c r="C30" s="439"/>
      <c r="D30" s="439"/>
      <c r="E30" s="439"/>
      <c r="F30" s="439"/>
      <c r="G30" s="439"/>
      <c r="H30" s="439"/>
      <c r="I30" s="439"/>
      <c r="J30" s="439"/>
      <c r="K30" s="439"/>
      <c r="L30" s="444">
        <v>25000.0</v>
      </c>
      <c r="M30" s="439"/>
      <c r="N30" s="10" t="s">
        <v>355</v>
      </c>
    </row>
    <row r="31" ht="15.75" customHeight="1">
      <c r="A31" s="442" t="s">
        <v>199</v>
      </c>
      <c r="B31" s="439"/>
      <c r="C31" s="439"/>
      <c r="D31" s="439"/>
      <c r="E31" s="442">
        <v>2026.0</v>
      </c>
      <c r="F31" s="439"/>
      <c r="G31" s="439"/>
      <c r="H31" s="432"/>
      <c r="I31" s="432">
        <v>1500.0</v>
      </c>
      <c r="J31" s="406">
        <f t="shared" ref="J31:J32" si="13">SUM(H31:I31)*$E$1</f>
        <v>150</v>
      </c>
      <c r="K31" s="406">
        <f t="shared" ref="K31:K34" si="14">(H31+I31)*$K$1</f>
        <v>106.05</v>
      </c>
      <c r="L31" s="407">
        <f t="shared" ref="L31:L34" si="15">SUM(H31:K31)</f>
        <v>1756.05</v>
      </c>
      <c r="M31" s="407">
        <f t="shared" ref="M31:M34" si="16">L31*((1+$J$1)^(E31-$I$1))</f>
        <v>1756.05</v>
      </c>
      <c r="N31" s="280" t="s">
        <v>356</v>
      </c>
      <c r="O31" s="280" t="s">
        <v>357</v>
      </c>
    </row>
    <row r="32" ht="15.75" customHeight="1">
      <c r="A32" s="442" t="s">
        <v>358</v>
      </c>
      <c r="B32" s="439"/>
      <c r="C32" s="439"/>
      <c r="D32" s="439"/>
      <c r="E32" s="442">
        <v>2026.0</v>
      </c>
      <c r="F32" s="439"/>
      <c r="G32" s="439"/>
      <c r="H32" s="432"/>
      <c r="I32" s="432">
        <v>3500.0</v>
      </c>
      <c r="J32" s="406">
        <f t="shared" si="13"/>
        <v>350</v>
      </c>
      <c r="K32" s="406">
        <f t="shared" si="14"/>
        <v>247.45</v>
      </c>
      <c r="L32" s="407">
        <f t="shared" si="15"/>
        <v>4097.45</v>
      </c>
      <c r="M32" s="407">
        <f t="shared" si="16"/>
        <v>4097.45</v>
      </c>
      <c r="N32" s="280" t="s">
        <v>359</v>
      </c>
      <c r="O32" s="280" t="s">
        <v>360</v>
      </c>
    </row>
    <row r="33" ht="15.75" customHeight="1">
      <c r="A33" s="442" t="s">
        <v>361</v>
      </c>
      <c r="B33" s="439"/>
      <c r="C33" s="439"/>
      <c r="D33" s="439"/>
      <c r="E33" s="442">
        <v>2026.0</v>
      </c>
      <c r="F33" s="439"/>
      <c r="G33" s="439"/>
      <c r="H33" s="432">
        <v>14000.0</v>
      </c>
      <c r="I33" s="439"/>
      <c r="J33" s="439"/>
      <c r="K33" s="406">
        <f t="shared" si="14"/>
        <v>989.8</v>
      </c>
      <c r="L33" s="407">
        <f t="shared" si="15"/>
        <v>14989.8</v>
      </c>
      <c r="M33" s="407">
        <f t="shared" si="16"/>
        <v>14989.8</v>
      </c>
    </row>
    <row r="34" ht="15.75" customHeight="1">
      <c r="A34" s="442" t="s">
        <v>362</v>
      </c>
      <c r="B34" s="439"/>
      <c r="C34" s="439"/>
      <c r="D34" s="439"/>
      <c r="E34" s="442">
        <v>2026.0</v>
      </c>
      <c r="F34" s="439"/>
      <c r="G34" s="439"/>
      <c r="H34" s="439"/>
      <c r="I34" s="432">
        <v>15000.0</v>
      </c>
      <c r="J34" s="439"/>
      <c r="K34" s="406">
        <f t="shared" si="14"/>
        <v>1060.5</v>
      </c>
      <c r="L34" s="407">
        <f t="shared" si="15"/>
        <v>16060.5</v>
      </c>
      <c r="M34" s="407">
        <f t="shared" si="16"/>
        <v>16060.5</v>
      </c>
    </row>
    <row r="35" ht="15.75" customHeight="1">
      <c r="A35" s="442" t="s">
        <v>363</v>
      </c>
      <c r="B35" s="439"/>
      <c r="C35" s="439"/>
      <c r="D35" s="439"/>
      <c r="E35" s="439"/>
      <c r="F35" s="439"/>
      <c r="G35" s="439"/>
      <c r="H35" s="439"/>
      <c r="I35" s="439"/>
      <c r="J35" s="439"/>
      <c r="K35" s="439"/>
      <c r="L35" s="439"/>
      <c r="M35" s="439"/>
    </row>
    <row r="36" ht="15.75" customHeight="1">
      <c r="A36" s="442" t="s">
        <v>364</v>
      </c>
      <c r="B36" s="443"/>
      <c r="C36" s="439"/>
      <c r="D36" s="439"/>
      <c r="E36" s="442">
        <v>2026.0</v>
      </c>
      <c r="F36" s="439"/>
      <c r="G36" s="439"/>
      <c r="H36" s="432">
        <v>113696.0</v>
      </c>
      <c r="I36" s="439"/>
      <c r="J36" s="406"/>
      <c r="K36" s="406"/>
      <c r="L36" s="407">
        <f t="shared" ref="L36:L38" si="17">SUM(H36:K36)</f>
        <v>113696</v>
      </c>
      <c r="M36" s="439"/>
      <c r="N36" s="280" t="s">
        <v>365</v>
      </c>
      <c r="O36" s="445" t="s">
        <v>366</v>
      </c>
    </row>
    <row r="37" ht="15.75" customHeight="1">
      <c r="A37" s="442" t="s">
        <v>367</v>
      </c>
      <c r="B37" s="439"/>
      <c r="C37" s="439"/>
      <c r="D37" s="439"/>
      <c r="E37" s="442">
        <v>2035.0</v>
      </c>
      <c r="F37" s="439"/>
      <c r="G37" s="439"/>
      <c r="H37" s="432">
        <v>16930.0</v>
      </c>
      <c r="I37" s="439"/>
      <c r="J37" s="406">
        <f t="shared" ref="J37:J38" si="18">SUM(H37:I37)*$E$1</f>
        <v>1693</v>
      </c>
      <c r="K37" s="406">
        <f t="shared" ref="K37:K38" si="19">(H37+I37)*$K$1</f>
        <v>1196.951</v>
      </c>
      <c r="L37" s="407">
        <f t="shared" si="17"/>
        <v>19819.951</v>
      </c>
      <c r="M37" s="407">
        <f t="shared" ref="M37:M38" si="20">L37*((1+$J$1)^(E37-$I$1))</f>
        <v>27217.5409</v>
      </c>
      <c r="N37" s="280" t="s">
        <v>368</v>
      </c>
      <c r="O37" s="10" t="s">
        <v>369</v>
      </c>
    </row>
    <row r="38" ht="15.75" customHeight="1">
      <c r="A38" s="442" t="s">
        <v>370</v>
      </c>
      <c r="B38" s="439"/>
      <c r="C38" s="439"/>
      <c r="D38" s="439"/>
      <c r="E38" s="442">
        <v>2035.0</v>
      </c>
      <c r="F38" s="439"/>
      <c r="G38" s="439"/>
      <c r="H38" s="432">
        <v>5150.0</v>
      </c>
      <c r="I38" s="439"/>
      <c r="J38" s="406">
        <f t="shared" si="18"/>
        <v>515</v>
      </c>
      <c r="K38" s="406">
        <f t="shared" si="19"/>
        <v>364.105</v>
      </c>
      <c r="L38" s="407">
        <f t="shared" si="17"/>
        <v>6029.105</v>
      </c>
      <c r="M38" s="407">
        <f t="shared" si="20"/>
        <v>8279.405531</v>
      </c>
      <c r="N38" s="280" t="s">
        <v>371</v>
      </c>
    </row>
    <row r="39" ht="15.75" customHeight="1">
      <c r="A39" s="442" t="s">
        <v>191</v>
      </c>
      <c r="B39" s="439"/>
      <c r="C39" s="439"/>
      <c r="D39" s="439"/>
      <c r="E39" s="439"/>
      <c r="F39" s="439"/>
      <c r="G39" s="439"/>
      <c r="H39" s="439"/>
      <c r="I39" s="439"/>
      <c r="J39" s="439"/>
      <c r="K39" s="439"/>
      <c r="L39" s="444">
        <v>15000.0</v>
      </c>
      <c r="M39" s="439"/>
      <c r="N39" s="10" t="s">
        <v>372</v>
      </c>
    </row>
    <row r="40" ht="15.75" customHeight="1">
      <c r="A40" s="442" t="s">
        <v>373</v>
      </c>
      <c r="B40" s="439"/>
      <c r="C40" s="439"/>
      <c r="D40" s="439"/>
      <c r="E40" s="442">
        <v>2025.0</v>
      </c>
      <c r="F40" s="439"/>
      <c r="G40" s="439"/>
      <c r="H40" s="432">
        <v>10500.0</v>
      </c>
      <c r="I40" s="439"/>
      <c r="J40" s="406">
        <f>SUM(H40:I40)*$E$1</f>
        <v>1050</v>
      </c>
      <c r="K40" s="406">
        <f>(H40+I40)*$K$1</f>
        <v>742.35</v>
      </c>
      <c r="L40" s="407">
        <f>SUM(H40:K40)</f>
        <v>12292.35</v>
      </c>
      <c r="M40" s="407">
        <f>L40*((1+$J$1)^(E40-$I$1))</f>
        <v>11866.69478</v>
      </c>
      <c r="N40" s="280" t="s">
        <v>374</v>
      </c>
      <c r="O40" s="280" t="s">
        <v>375</v>
      </c>
      <c r="P40" s="280" t="s">
        <v>376</v>
      </c>
      <c r="Q40" s="280" t="s">
        <v>377</v>
      </c>
    </row>
    <row r="41" ht="15.75" customHeight="1">
      <c r="A41" s="10" t="s">
        <v>378</v>
      </c>
      <c r="C41" s="10">
        <v>2025.0</v>
      </c>
      <c r="E41" s="10">
        <v>2029.0</v>
      </c>
      <c r="I41" s="446"/>
      <c r="L41" s="447">
        <v>5000.0</v>
      </c>
    </row>
    <row r="42" ht="15.75" customHeight="1"/>
    <row r="43" ht="15.75" customHeight="1">
      <c r="A43" s="10" t="s">
        <v>379</v>
      </c>
    </row>
    <row r="44" ht="15.75" customHeight="1"/>
    <row r="45" ht="15.75" customHeight="1">
      <c r="A45" s="10" t="s">
        <v>380</v>
      </c>
    </row>
    <row r="46" ht="15.75" customHeight="1">
      <c r="A46" s="14" t="s">
        <v>381</v>
      </c>
    </row>
    <row r="47" ht="15.75" customHeight="1"/>
    <row r="48" ht="15.75" customHeight="1">
      <c r="A48" s="12"/>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P19:Q19"/>
    <mergeCell ref="P20:Q20"/>
    <mergeCell ref="P21:Q21"/>
    <mergeCell ref="P23:Q23"/>
    <mergeCell ref="P25:Q25"/>
    <mergeCell ref="N29:O29"/>
    <mergeCell ref="N1:O1"/>
    <mergeCell ref="P1:Q1"/>
    <mergeCell ref="P8:Q8"/>
    <mergeCell ref="O13:P13"/>
    <mergeCell ref="P14:Q14"/>
    <mergeCell ref="P17:Q17"/>
    <mergeCell ref="P18:Q18"/>
  </mergeCells>
  <conditionalFormatting sqref="I3:M1000 B4:D1000 F4:H1000 E5 E14 E17:E21 E23:E24 E26:E1000">
    <cfRule type="cellIs" dxfId="0" priority="1" operator="equal">
      <formula>0</formula>
    </cfRule>
  </conditionalFormatting>
  <hyperlinks>
    <hyperlink r:id="rId2" location=":~:text=Current%20and%20predicted%20Inflation%20rates%20updated%209%2D19%2D22%3A&amp;text=Infra%20Avg%20%2D0.3%25-,2021%20Rsdn%20Inflation%2013.4%25%2C%20Nonres%20Bldgs%206.8%25%2C%20Non,Non%2Dbldg%20Infra%20Avg%2012.0%25" ref="N1"/>
    <hyperlink r:id="rId3" location="PvB6ecvWDI" ref="P1"/>
    <hyperlink r:id="rId4" ref="N3"/>
    <hyperlink r:id="rId5" ref="O3"/>
    <hyperlink r:id="rId6" ref="N4"/>
    <hyperlink r:id="rId7" ref="O4"/>
    <hyperlink r:id="rId8" ref="N5"/>
    <hyperlink r:id="rId9" ref="O5"/>
    <hyperlink r:id="rId10" ref="N6"/>
    <hyperlink r:id="rId11" ref="N7"/>
    <hyperlink r:id="rId12" ref="N9"/>
    <hyperlink r:id="rId13" ref="P9"/>
    <hyperlink r:id="rId14" ref="Q9"/>
    <hyperlink r:id="rId15" ref="N10"/>
    <hyperlink r:id="rId16" location=":~:text=Chimney%20flashing%20repair%20costs%20%24200,chimney%20meet%20to%20prevent%20leaking." ref="P10"/>
    <hyperlink r:id="rId17" ref="N11"/>
    <hyperlink r:id="rId18" ref="O11"/>
    <hyperlink r:id="rId19" ref="P11"/>
    <hyperlink r:id="rId20" ref="Q11"/>
    <hyperlink r:id="rId21" ref="N13"/>
    <hyperlink r:id="rId22" ref="O13"/>
    <hyperlink r:id="rId23" ref="N14"/>
    <hyperlink r:id="rId24" ref="O14"/>
    <hyperlink r:id="rId25" location="google_vignette" ref="P14"/>
    <hyperlink r:id="rId26" ref="N15"/>
    <hyperlink r:id="rId27" location=":~:text=A%3A%20Typically%205%2D10%20years,a%20contractor%20and%20quality%20products." ref="O15"/>
    <hyperlink r:id="rId28" ref="N16"/>
    <hyperlink r:id="rId29" ref="P16"/>
    <hyperlink r:id="rId30" ref="Q16"/>
    <hyperlink r:id="rId31" ref="R16"/>
    <hyperlink r:id="rId32" ref="O17"/>
    <hyperlink r:id="rId33" ref="P17"/>
    <hyperlink r:id="rId34" ref="P18"/>
    <hyperlink r:id="rId35" ref="O19"/>
    <hyperlink r:id="rId36" ref="P19"/>
    <hyperlink r:id="rId37" ref="P20"/>
    <hyperlink r:id="rId38" ref="N21"/>
    <hyperlink r:id="rId39" ref="O21"/>
    <hyperlink r:id="rId40" ref="P21"/>
    <hyperlink r:id="rId41" ref="R21"/>
    <hyperlink r:id="rId42" ref="N22"/>
    <hyperlink r:id="rId43" ref="O22"/>
    <hyperlink r:id="rId44" location="UmpNAXEirk" ref="Q22"/>
    <hyperlink r:id="rId45" location="calresult" ref="R22"/>
    <hyperlink r:id="rId46" location=":~:text=With%20proper%20maintenance%2C%20you%20can,outshine%20many%20other%20roofing%20materials%3F" ref="S22"/>
    <hyperlink r:id="rId47" ref="T22"/>
    <hyperlink r:id="rId48" ref="U22"/>
    <hyperlink r:id="rId49" ref="O23"/>
    <hyperlink r:id="rId50" ref="P23"/>
    <hyperlink r:id="rId51" location=":~:text=A%3A%20Typically%205%2D10%20years,a%20contractor%20and%20quality%20products." ref="O25"/>
    <hyperlink r:id="rId52" ref="P25"/>
    <hyperlink r:id="rId53" ref="N29"/>
    <hyperlink r:id="rId54" ref="N31"/>
    <hyperlink r:id="rId55" location=":~:text=When%20to%20schedule%20maintenance,safe%20water%20efficiently%20and%20reliably." ref="O31"/>
    <hyperlink r:id="rId56" ref="N32"/>
    <hyperlink r:id="rId57" ref="O32"/>
    <hyperlink r:id="rId58" ref="N36"/>
    <hyperlink r:id="rId59" ref="O36"/>
    <hyperlink r:id="rId60" ref="N37"/>
    <hyperlink r:id="rId61" ref="N38"/>
    <hyperlink r:id="rId62" ref="N40"/>
    <hyperlink r:id="rId63" ref="O40"/>
    <hyperlink r:id="rId64" ref="P40"/>
    <hyperlink r:id="rId65" ref="Q40"/>
    <hyperlink r:id="rId66" ref="A46"/>
  </hyperlinks>
  <drawing r:id="rId67"/>
  <legacyDrawing r:id="rId6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7.2"/>
    <col customWidth="1" min="2" max="2" width="6.6"/>
    <col customWidth="1" min="3" max="3" width="10.1"/>
    <col customWidth="1" min="4" max="5" width="6.8"/>
    <col customWidth="1" min="6" max="6" width="6.6"/>
    <col customWidth="1" min="7" max="7" width="11.8"/>
    <col customWidth="1" min="8" max="8" width="6.9"/>
    <col customWidth="1" min="9" max="9" width="6.7"/>
    <col customWidth="1" min="10" max="10" width="7.8"/>
    <col customWidth="1" min="11" max="11" width="7.7"/>
    <col customWidth="1" min="12" max="12" width="7.5"/>
    <col customWidth="1" min="13" max="13" width="9.2"/>
    <col customWidth="1" min="14" max="14" width="7.5"/>
    <col customWidth="1" min="15" max="15" width="8.1"/>
    <col customWidth="1" min="16" max="16" width="14.7"/>
    <col customWidth="1" min="17" max="17" width="7.9"/>
    <col customWidth="1" min="18" max="18" width="6.8"/>
    <col customWidth="1" min="19" max="19" width="6.1"/>
    <col customWidth="1" min="20" max="20" width="7.3"/>
    <col customWidth="1" min="21" max="21" width="8.5"/>
    <col customWidth="1" min="22" max="22" width="6.5"/>
    <col customWidth="1" min="23" max="23" width="5.6"/>
    <col customWidth="1" min="24" max="24" width="10.6"/>
    <col customWidth="1" min="25" max="25" width="7.4"/>
    <col customWidth="1" min="26" max="26" width="7.1"/>
    <col customWidth="1" min="27" max="27" width="6.9"/>
    <col customWidth="1" min="28" max="28" width="7.4"/>
    <col customWidth="1" min="29" max="29" width="5.9"/>
    <col customWidth="1" min="30" max="30" width="7.7"/>
    <col customWidth="1" min="31" max="31" width="8.3"/>
    <col customWidth="1" min="32" max="32" width="6.5"/>
    <col customWidth="1" min="33" max="33" width="8.8"/>
  </cols>
  <sheetData>
    <row r="1">
      <c r="A1" s="448" t="s">
        <v>382</v>
      </c>
      <c r="B1" s="448"/>
      <c r="C1" s="448"/>
      <c r="D1" s="448"/>
      <c r="F1" s="449"/>
      <c r="G1" s="449"/>
      <c r="H1" s="449"/>
      <c r="I1" s="449"/>
      <c r="J1" s="203"/>
      <c r="K1" s="203"/>
      <c r="L1" s="203"/>
      <c r="M1" s="203"/>
      <c r="N1" s="203"/>
      <c r="O1" s="203"/>
      <c r="P1" s="203"/>
      <c r="Q1" s="203"/>
      <c r="R1" s="199">
        <v>0.12</v>
      </c>
      <c r="S1" s="203"/>
      <c r="T1" s="203"/>
      <c r="AC1" s="450"/>
    </row>
    <row r="2" ht="24.0" customHeight="1">
      <c r="A2" s="451" t="s">
        <v>383</v>
      </c>
      <c r="B2" s="452"/>
      <c r="C2" s="452"/>
      <c r="D2" s="452"/>
      <c r="E2" s="450"/>
      <c r="F2" s="453"/>
      <c r="G2" s="450"/>
      <c r="H2" s="453"/>
      <c r="I2" s="454"/>
      <c r="J2" s="455"/>
      <c r="K2" s="450"/>
      <c r="L2" s="450"/>
      <c r="M2" s="450"/>
      <c r="N2" s="454"/>
      <c r="O2" s="454"/>
      <c r="P2" s="453"/>
      <c r="Q2" s="453"/>
      <c r="R2" s="453"/>
      <c r="S2" s="453"/>
      <c r="T2" s="453"/>
      <c r="U2" s="450"/>
      <c r="V2" s="453"/>
      <c r="W2" s="453"/>
      <c r="X2" s="453"/>
      <c r="Y2" s="453"/>
      <c r="Z2" s="453"/>
      <c r="AA2" s="453"/>
      <c r="AB2" s="450"/>
      <c r="AC2" s="450"/>
      <c r="AD2" s="450"/>
      <c r="AE2" s="450"/>
      <c r="AF2" s="450"/>
      <c r="AG2" s="450"/>
      <c r="AH2" s="456"/>
      <c r="AI2" s="456"/>
      <c r="AJ2" s="456"/>
    </row>
    <row r="3" ht="68.25" customHeight="1">
      <c r="A3" s="453" t="s">
        <v>384</v>
      </c>
      <c r="B3" s="453" t="s">
        <v>385</v>
      </c>
      <c r="C3" s="453" t="s">
        <v>386</v>
      </c>
      <c r="D3" s="453" t="s">
        <v>387</v>
      </c>
      <c r="E3" s="450" t="s">
        <v>388</v>
      </c>
      <c r="F3" s="453" t="s">
        <v>389</v>
      </c>
      <c r="G3" s="450" t="s">
        <v>390</v>
      </c>
      <c r="H3" s="453" t="s">
        <v>391</v>
      </c>
      <c r="I3" s="454" t="s">
        <v>392</v>
      </c>
      <c r="J3" s="455" t="s">
        <v>393</v>
      </c>
      <c r="K3" s="450" t="s">
        <v>394</v>
      </c>
      <c r="L3" s="450" t="s">
        <v>395</v>
      </c>
      <c r="M3" s="450" t="s">
        <v>396</v>
      </c>
      <c r="N3" s="454" t="s">
        <v>397</v>
      </c>
      <c r="O3" s="454" t="s">
        <v>398</v>
      </c>
      <c r="P3" s="453" t="s">
        <v>399</v>
      </c>
      <c r="Q3" s="453" t="s">
        <v>400</v>
      </c>
      <c r="R3" s="453" t="s">
        <v>401</v>
      </c>
      <c r="S3" s="453" t="s">
        <v>402</v>
      </c>
      <c r="T3" s="453" t="s">
        <v>403</v>
      </c>
      <c r="U3" s="450" t="s">
        <v>404</v>
      </c>
      <c r="V3" s="453" t="s">
        <v>405</v>
      </c>
      <c r="W3" s="453" t="s">
        <v>406</v>
      </c>
      <c r="X3" s="453" t="s">
        <v>407</v>
      </c>
      <c r="Y3" s="453" t="s">
        <v>408</v>
      </c>
      <c r="Z3" s="453" t="s">
        <v>409</v>
      </c>
      <c r="AA3" s="453" t="s">
        <v>410</v>
      </c>
      <c r="AB3" s="450" t="s">
        <v>411</v>
      </c>
      <c r="AC3" s="450" t="s">
        <v>412</v>
      </c>
      <c r="AD3" s="450" t="s">
        <v>413</v>
      </c>
      <c r="AE3" s="450" t="s">
        <v>414</v>
      </c>
      <c r="AF3" s="450" t="s">
        <v>415</v>
      </c>
      <c r="AG3" s="450" t="s">
        <v>416</v>
      </c>
      <c r="AH3" s="457"/>
      <c r="AI3" s="457"/>
      <c r="AJ3" s="457"/>
    </row>
    <row r="4">
      <c r="A4" s="343">
        <v>1.0</v>
      </c>
      <c r="B4" s="343" t="s">
        <v>417</v>
      </c>
      <c r="C4" s="199">
        <v>11539.0</v>
      </c>
      <c r="D4" s="203"/>
      <c r="E4" s="419">
        <v>3.0</v>
      </c>
      <c r="F4" s="113">
        <v>4.0</v>
      </c>
      <c r="G4" s="458" t="s">
        <v>418</v>
      </c>
      <c r="H4" s="459">
        <f t="shared" ref="H4:H17" si="1">20.26*F4</f>
        <v>81.04</v>
      </c>
      <c r="I4" s="460">
        <v>6905.735594999999</v>
      </c>
      <c r="J4" s="460">
        <f t="shared" ref="J4:J17" si="2">I4*0.94</f>
        <v>6491.391459</v>
      </c>
      <c r="K4" s="461">
        <v>0.0</v>
      </c>
      <c r="L4" s="217">
        <v>184.0</v>
      </c>
      <c r="M4" s="224">
        <f t="shared" ref="M4:M17" si="3">K4+L4</f>
        <v>184</v>
      </c>
      <c r="N4" s="224">
        <v>0.0</v>
      </c>
      <c r="O4" s="224">
        <v>222.0</v>
      </c>
      <c r="P4" s="203" t="s">
        <v>419</v>
      </c>
      <c r="Q4" s="199">
        <v>17648.0</v>
      </c>
      <c r="R4" s="462">
        <v>2118.0</v>
      </c>
      <c r="S4" s="463">
        <v>49.0</v>
      </c>
      <c r="T4" s="463">
        <v>1.0</v>
      </c>
      <c r="U4" s="12">
        <f t="shared" ref="U4:U17" si="4">(S4+T4)*18</f>
        <v>900</v>
      </c>
      <c r="AB4" s="113">
        <v>4.0</v>
      </c>
      <c r="AC4" s="10">
        <v>1.0</v>
      </c>
      <c r="AD4" s="10">
        <v>1.0</v>
      </c>
      <c r="AE4" s="10">
        <v>2.0</v>
      </c>
      <c r="AF4" s="10">
        <v>1.0</v>
      </c>
    </row>
    <row r="5" ht="18.0" customHeight="1">
      <c r="A5" s="464">
        <v>2.0</v>
      </c>
      <c r="B5" s="464" t="s">
        <v>417</v>
      </c>
      <c r="C5" s="463">
        <v>7029.0</v>
      </c>
      <c r="D5" s="463">
        <v>4510.0</v>
      </c>
      <c r="E5" s="419">
        <v>3.0</v>
      </c>
      <c r="F5" s="113">
        <v>4.0</v>
      </c>
      <c r="G5" s="458" t="s">
        <v>418</v>
      </c>
      <c r="H5" s="459">
        <f t="shared" si="1"/>
        <v>81.04</v>
      </c>
      <c r="I5" s="460">
        <v>6905.735594999999</v>
      </c>
      <c r="J5" s="460">
        <f t="shared" si="2"/>
        <v>6491.391459</v>
      </c>
      <c r="K5" s="461">
        <v>0.0</v>
      </c>
      <c r="L5" s="217">
        <v>184.0</v>
      </c>
      <c r="M5" s="224">
        <f t="shared" si="3"/>
        <v>184</v>
      </c>
      <c r="N5" s="224">
        <v>0.0</v>
      </c>
      <c r="O5" s="224">
        <v>222.0</v>
      </c>
      <c r="P5" s="203" t="s">
        <v>420</v>
      </c>
      <c r="Q5" s="199">
        <v>9306.0</v>
      </c>
      <c r="R5" s="462">
        <v>1117.0</v>
      </c>
      <c r="S5" s="463">
        <v>30.0</v>
      </c>
      <c r="T5" s="465"/>
      <c r="U5" s="12">
        <f t="shared" si="4"/>
        <v>540</v>
      </c>
      <c r="AB5" s="113">
        <v>4.0</v>
      </c>
      <c r="AC5" s="10">
        <v>2.0</v>
      </c>
      <c r="AD5" s="10">
        <v>1.0</v>
      </c>
      <c r="AE5" s="10">
        <v>1.0</v>
      </c>
      <c r="AF5" s="10">
        <v>1.0</v>
      </c>
    </row>
    <row r="6">
      <c r="A6" s="464">
        <v>3.0</v>
      </c>
      <c r="B6" s="464" t="s">
        <v>421</v>
      </c>
      <c r="C6" s="199">
        <v>11213.0</v>
      </c>
      <c r="D6" s="203"/>
      <c r="E6" s="419">
        <v>3.0</v>
      </c>
      <c r="F6" s="113">
        <v>8.0</v>
      </c>
      <c r="G6" s="458" t="s">
        <v>418</v>
      </c>
      <c r="H6" s="459">
        <f t="shared" si="1"/>
        <v>162.08</v>
      </c>
      <c r="I6" s="460">
        <v>12788.39925</v>
      </c>
      <c r="J6" s="460">
        <f t="shared" si="2"/>
        <v>12021.0953</v>
      </c>
      <c r="K6" s="461">
        <v>156.0</v>
      </c>
      <c r="L6" s="217">
        <v>144.0</v>
      </c>
      <c r="M6" s="224">
        <f t="shared" si="3"/>
        <v>300</v>
      </c>
      <c r="N6" s="224">
        <v>0.0</v>
      </c>
      <c r="O6" s="224">
        <v>444.0</v>
      </c>
      <c r="P6" s="203" t="s">
        <v>422</v>
      </c>
      <c r="Q6" s="199">
        <v>6489.0</v>
      </c>
      <c r="R6" s="462">
        <v>779.0</v>
      </c>
      <c r="S6" s="463">
        <v>24.0</v>
      </c>
      <c r="T6" s="463">
        <v>2.0</v>
      </c>
      <c r="U6" s="12">
        <f t="shared" si="4"/>
        <v>468</v>
      </c>
      <c r="AB6" s="113">
        <v>8.0</v>
      </c>
      <c r="AC6" s="10">
        <v>4.0</v>
      </c>
      <c r="AD6" s="10">
        <v>1.0</v>
      </c>
      <c r="AE6" s="10">
        <v>2.0</v>
      </c>
      <c r="AF6" s="10">
        <v>1.0</v>
      </c>
    </row>
    <row r="7">
      <c r="A7" s="464">
        <v>4.0</v>
      </c>
      <c r="B7" s="464" t="s">
        <v>423</v>
      </c>
      <c r="C7" s="463">
        <v>7029.0</v>
      </c>
      <c r="D7" s="463">
        <v>8000.0</v>
      </c>
      <c r="E7" s="419">
        <v>3.0</v>
      </c>
      <c r="F7" s="113">
        <v>8.0</v>
      </c>
      <c r="G7" s="458" t="s">
        <v>418</v>
      </c>
      <c r="H7" s="459">
        <f t="shared" si="1"/>
        <v>162.08</v>
      </c>
      <c r="I7" s="460">
        <v>16402.616009999998</v>
      </c>
      <c r="J7" s="460">
        <f t="shared" si="2"/>
        <v>15418.45905</v>
      </c>
      <c r="K7" s="461">
        <v>208.0</v>
      </c>
      <c r="L7" s="217">
        <v>188.0</v>
      </c>
      <c r="M7" s="224">
        <f t="shared" si="3"/>
        <v>396</v>
      </c>
      <c r="N7" s="224">
        <v>0.0</v>
      </c>
      <c r="O7" s="224">
        <v>554.0</v>
      </c>
      <c r="P7" s="203" t="s">
        <v>424</v>
      </c>
      <c r="Q7" s="199">
        <v>13152.0</v>
      </c>
      <c r="R7" s="462">
        <v>1578.0</v>
      </c>
      <c r="S7" s="463">
        <v>25.0</v>
      </c>
      <c r="T7" s="463">
        <v>2.0</v>
      </c>
      <c r="U7" s="12">
        <f t="shared" si="4"/>
        <v>486</v>
      </c>
      <c r="AB7" s="113">
        <v>8.0</v>
      </c>
      <c r="AC7" s="10">
        <v>2.0</v>
      </c>
      <c r="AD7" s="10">
        <v>1.0</v>
      </c>
      <c r="AE7" s="10">
        <v>1.0</v>
      </c>
      <c r="AF7" s="10">
        <v>1.0</v>
      </c>
    </row>
    <row r="8">
      <c r="A8" s="343">
        <v>5.0</v>
      </c>
      <c r="B8" s="343" t="s">
        <v>425</v>
      </c>
      <c r="C8" s="199">
        <v>14409.0</v>
      </c>
      <c r="D8" s="203"/>
      <c r="E8" s="419">
        <v>3.0</v>
      </c>
      <c r="F8" s="113">
        <v>8.0</v>
      </c>
      <c r="G8" s="458" t="s">
        <v>418</v>
      </c>
      <c r="H8" s="459">
        <f t="shared" si="1"/>
        <v>162.08</v>
      </c>
      <c r="I8" s="460">
        <v>12668.8815</v>
      </c>
      <c r="J8" s="460">
        <f t="shared" si="2"/>
        <v>11908.74861</v>
      </c>
      <c r="K8" s="461">
        <v>300.0</v>
      </c>
      <c r="L8" s="217">
        <v>284.0</v>
      </c>
      <c r="M8" s="224">
        <f t="shared" si="3"/>
        <v>584</v>
      </c>
      <c r="N8" s="224">
        <v>267.0</v>
      </c>
      <c r="O8" s="224">
        <v>686.0</v>
      </c>
      <c r="P8" s="203" t="s">
        <v>426</v>
      </c>
      <c r="Q8" s="199">
        <v>4268.0</v>
      </c>
      <c r="R8" s="462">
        <v>512.0</v>
      </c>
      <c r="S8" s="463">
        <v>4.0</v>
      </c>
      <c r="T8" s="463">
        <v>1.0</v>
      </c>
      <c r="U8" s="12">
        <f t="shared" si="4"/>
        <v>90</v>
      </c>
      <c r="AB8" s="113">
        <v>8.0</v>
      </c>
      <c r="AC8" s="10">
        <v>4.0</v>
      </c>
      <c r="AD8" s="10">
        <v>1.0</v>
      </c>
      <c r="AE8" s="10">
        <v>1.0</v>
      </c>
      <c r="AF8" s="10">
        <v>2.0</v>
      </c>
    </row>
    <row r="9">
      <c r="A9" s="343">
        <v>6.0</v>
      </c>
      <c r="B9" s="343" t="s">
        <v>427</v>
      </c>
      <c r="C9" s="199">
        <v>11948.0</v>
      </c>
      <c r="D9" s="203"/>
      <c r="E9" s="419">
        <v>3.0</v>
      </c>
      <c r="F9" s="113">
        <v>4.0</v>
      </c>
      <c r="G9" s="458" t="s">
        <v>418</v>
      </c>
      <c r="H9" s="459">
        <f t="shared" si="1"/>
        <v>81.04</v>
      </c>
      <c r="I9" s="460">
        <v>7993.3471199999985</v>
      </c>
      <c r="J9" s="460">
        <f t="shared" si="2"/>
        <v>7513.746293</v>
      </c>
      <c r="K9" s="461">
        <v>184.0</v>
      </c>
      <c r="L9" s="217">
        <v>104.0</v>
      </c>
      <c r="M9" s="224">
        <f t="shared" si="3"/>
        <v>288</v>
      </c>
      <c r="N9" s="224">
        <v>108.0</v>
      </c>
      <c r="O9" s="224">
        <v>256.0</v>
      </c>
      <c r="P9" s="203"/>
      <c r="Q9" s="203"/>
      <c r="R9" s="462">
        <v>0.0</v>
      </c>
      <c r="S9" s="465"/>
      <c r="T9" s="465"/>
      <c r="U9" s="12">
        <f t="shared" si="4"/>
        <v>0</v>
      </c>
      <c r="AB9" s="113">
        <v>4.0</v>
      </c>
      <c r="AC9" s="10">
        <v>2.0</v>
      </c>
      <c r="AD9" s="10">
        <v>1.0</v>
      </c>
      <c r="AE9" s="10">
        <v>1.0</v>
      </c>
      <c r="AF9" s="10">
        <v>1.0</v>
      </c>
    </row>
    <row r="10">
      <c r="A10" s="343">
        <v>7.0</v>
      </c>
      <c r="B10" s="343" t="s">
        <v>427</v>
      </c>
      <c r="C10" s="199">
        <v>11948.0</v>
      </c>
      <c r="D10" s="203"/>
      <c r="E10" s="419">
        <v>3.0</v>
      </c>
      <c r="F10" s="113">
        <v>4.0</v>
      </c>
      <c r="G10" s="458" t="s">
        <v>418</v>
      </c>
      <c r="H10" s="459">
        <f t="shared" si="1"/>
        <v>81.04</v>
      </c>
      <c r="I10" s="460">
        <v>7993.3471199999985</v>
      </c>
      <c r="J10" s="460">
        <f t="shared" si="2"/>
        <v>7513.746293</v>
      </c>
      <c r="K10" s="461">
        <v>184.0</v>
      </c>
      <c r="L10" s="217">
        <v>104.0</v>
      </c>
      <c r="M10" s="224">
        <f t="shared" si="3"/>
        <v>288</v>
      </c>
      <c r="N10" s="224">
        <v>108.0</v>
      </c>
      <c r="O10" s="224">
        <v>256.0</v>
      </c>
      <c r="P10" s="203" t="s">
        <v>428</v>
      </c>
      <c r="Q10" s="199">
        <v>9263.0</v>
      </c>
      <c r="R10" s="462">
        <v>1112.0</v>
      </c>
      <c r="S10" s="463">
        <v>29.0</v>
      </c>
      <c r="T10" s="463">
        <v>3.0</v>
      </c>
      <c r="U10" s="12">
        <f t="shared" si="4"/>
        <v>576</v>
      </c>
      <c r="AB10" s="113">
        <v>4.0</v>
      </c>
      <c r="AC10" s="10">
        <v>2.0</v>
      </c>
      <c r="AD10" s="10">
        <v>1.0</v>
      </c>
      <c r="AE10" s="10">
        <v>1.0</v>
      </c>
      <c r="AF10" s="10">
        <v>2.0</v>
      </c>
    </row>
    <row r="11">
      <c r="A11" s="343">
        <v>8.0</v>
      </c>
      <c r="B11" s="343" t="s">
        <v>425</v>
      </c>
      <c r="C11" s="199">
        <v>14409.0</v>
      </c>
      <c r="D11" s="203"/>
      <c r="E11" s="419">
        <v>3.0</v>
      </c>
      <c r="F11" s="113">
        <v>8.0</v>
      </c>
      <c r="G11" s="458" t="s">
        <v>418</v>
      </c>
      <c r="H11" s="459">
        <f t="shared" si="1"/>
        <v>162.08</v>
      </c>
      <c r="I11" s="460">
        <v>12668.8815</v>
      </c>
      <c r="J11" s="460">
        <f t="shared" si="2"/>
        <v>11908.74861</v>
      </c>
      <c r="K11" s="461">
        <v>300.0</v>
      </c>
      <c r="L11" s="217">
        <v>284.0</v>
      </c>
      <c r="M11" s="224">
        <f t="shared" si="3"/>
        <v>584</v>
      </c>
      <c r="N11" s="224">
        <v>267.0</v>
      </c>
      <c r="O11" s="224">
        <v>686.0</v>
      </c>
      <c r="P11" s="203" t="s">
        <v>429</v>
      </c>
      <c r="Q11" s="199">
        <v>9570.0</v>
      </c>
      <c r="R11" s="462">
        <v>1148.0</v>
      </c>
      <c r="S11" s="463">
        <v>15.0</v>
      </c>
      <c r="T11" s="463">
        <v>1.0</v>
      </c>
      <c r="U11" s="12">
        <f t="shared" si="4"/>
        <v>288</v>
      </c>
      <c r="AB11" s="113">
        <v>8.0</v>
      </c>
      <c r="AC11" s="10">
        <v>2.0</v>
      </c>
      <c r="AD11" s="10">
        <v>1.0</v>
      </c>
      <c r="AE11" s="10">
        <v>2.0</v>
      </c>
      <c r="AF11" s="10">
        <v>1.0</v>
      </c>
    </row>
    <row r="12">
      <c r="A12" s="343">
        <v>9.0</v>
      </c>
      <c r="B12" s="343" t="s">
        <v>430</v>
      </c>
      <c r="C12" s="199">
        <v>7886.0</v>
      </c>
      <c r="D12" s="203"/>
      <c r="E12" s="419">
        <v>2.0</v>
      </c>
      <c r="F12" s="113">
        <v>6.0</v>
      </c>
      <c r="G12" s="458" t="s">
        <v>431</v>
      </c>
      <c r="H12" s="459">
        <f t="shared" si="1"/>
        <v>121.56</v>
      </c>
      <c r="I12" s="460">
        <v>7572.644639999999</v>
      </c>
      <c r="J12" s="460">
        <f t="shared" si="2"/>
        <v>7118.285962</v>
      </c>
      <c r="K12" s="461">
        <v>174.0</v>
      </c>
      <c r="L12" s="217">
        <v>96.0</v>
      </c>
      <c r="M12" s="224">
        <f t="shared" si="3"/>
        <v>270</v>
      </c>
      <c r="N12" s="224">
        <v>144.0</v>
      </c>
      <c r="O12" s="224">
        <v>210.0</v>
      </c>
      <c r="P12" s="203" t="s">
        <v>432</v>
      </c>
      <c r="Q12" s="199">
        <v>11040.0</v>
      </c>
      <c r="R12" s="462">
        <v>1325.0</v>
      </c>
      <c r="S12" s="463">
        <v>18.0</v>
      </c>
      <c r="T12" s="463">
        <v>1.0</v>
      </c>
      <c r="U12" s="12">
        <f t="shared" si="4"/>
        <v>342</v>
      </c>
      <c r="V12" s="293">
        <v>6.0</v>
      </c>
      <c r="W12" s="293">
        <v>380.0</v>
      </c>
      <c r="X12" s="293">
        <f t="shared" ref="X12:X16" si="5">V12*W12</f>
        <v>2280</v>
      </c>
      <c r="Y12" s="293">
        <f t="shared" ref="Y12:Y16" si="6">(V12/2)*100</f>
        <v>300</v>
      </c>
      <c r="AC12" s="10">
        <v>2.0</v>
      </c>
      <c r="AD12" s="10">
        <v>6.0</v>
      </c>
      <c r="AE12" s="10">
        <v>2.0</v>
      </c>
      <c r="AF12" s="10">
        <v>1.0</v>
      </c>
      <c r="AG12" s="10">
        <v>6.0</v>
      </c>
    </row>
    <row r="13">
      <c r="A13" s="343">
        <v>10.0</v>
      </c>
      <c r="B13" s="343" t="s">
        <v>433</v>
      </c>
      <c r="C13" s="199">
        <v>11799.0</v>
      </c>
      <c r="D13" s="203"/>
      <c r="E13" s="419">
        <v>3.0</v>
      </c>
      <c r="F13" s="113">
        <v>4.0</v>
      </c>
      <c r="G13" s="458" t="s">
        <v>431</v>
      </c>
      <c r="H13" s="459">
        <f t="shared" si="1"/>
        <v>81.04</v>
      </c>
      <c r="I13" s="460">
        <v>5199.0221249999995</v>
      </c>
      <c r="J13" s="460">
        <f t="shared" si="2"/>
        <v>4887.080798</v>
      </c>
      <c r="K13" s="461">
        <v>106.0</v>
      </c>
      <c r="L13" s="217">
        <v>64.0</v>
      </c>
      <c r="M13" s="224">
        <f t="shared" si="3"/>
        <v>170</v>
      </c>
      <c r="N13" s="224">
        <v>119.0</v>
      </c>
      <c r="O13" s="224">
        <v>142.0</v>
      </c>
      <c r="P13" s="203"/>
      <c r="Q13" s="466"/>
      <c r="R13" s="462">
        <v>0.0</v>
      </c>
      <c r="S13" s="465"/>
      <c r="T13" s="465"/>
      <c r="U13" s="12">
        <f t="shared" si="4"/>
        <v>0</v>
      </c>
      <c r="V13" s="293">
        <v>4.0</v>
      </c>
      <c r="W13" s="293">
        <v>380.0</v>
      </c>
      <c r="X13" s="293">
        <f t="shared" si="5"/>
        <v>1520</v>
      </c>
      <c r="Y13" s="293">
        <f t="shared" si="6"/>
        <v>200</v>
      </c>
      <c r="AC13" s="10">
        <v>2.0</v>
      </c>
      <c r="AD13" s="10">
        <v>4.0</v>
      </c>
      <c r="AE13" s="10">
        <v>3.0</v>
      </c>
      <c r="AF13" s="10">
        <v>1.0</v>
      </c>
      <c r="AG13" s="10">
        <v>4.0</v>
      </c>
    </row>
    <row r="14">
      <c r="A14" s="343">
        <v>11.0</v>
      </c>
      <c r="B14" s="343" t="s">
        <v>430</v>
      </c>
      <c r="C14" s="199">
        <v>7886.0</v>
      </c>
      <c r="D14" s="203"/>
      <c r="E14" s="419">
        <v>2.0</v>
      </c>
      <c r="F14" s="113">
        <v>6.0</v>
      </c>
      <c r="G14" s="458" t="s">
        <v>431</v>
      </c>
      <c r="H14" s="459">
        <f t="shared" si="1"/>
        <v>121.56</v>
      </c>
      <c r="I14" s="460">
        <v>7572.644639999999</v>
      </c>
      <c r="J14" s="460">
        <f t="shared" si="2"/>
        <v>7118.285962</v>
      </c>
      <c r="K14" s="461">
        <v>174.0</v>
      </c>
      <c r="L14" s="217">
        <v>96.0</v>
      </c>
      <c r="M14" s="224">
        <f t="shared" si="3"/>
        <v>270</v>
      </c>
      <c r="N14" s="224">
        <v>144.0</v>
      </c>
      <c r="O14" s="224">
        <v>210.0</v>
      </c>
      <c r="P14" s="203" t="s">
        <v>434</v>
      </c>
      <c r="Q14" s="199">
        <v>12480.0</v>
      </c>
      <c r="R14" s="462">
        <v>1498.0</v>
      </c>
      <c r="S14" s="463">
        <v>23.0</v>
      </c>
      <c r="T14" s="463">
        <v>1.0</v>
      </c>
      <c r="U14" s="12">
        <f t="shared" si="4"/>
        <v>432</v>
      </c>
      <c r="V14" s="293">
        <v>6.0</v>
      </c>
      <c r="W14" s="293">
        <v>380.0</v>
      </c>
      <c r="X14" s="293">
        <f t="shared" si="5"/>
        <v>2280</v>
      </c>
      <c r="Y14" s="293">
        <f t="shared" si="6"/>
        <v>300</v>
      </c>
      <c r="AC14" s="10">
        <v>2.0</v>
      </c>
      <c r="AD14" s="10">
        <v>6.0</v>
      </c>
      <c r="AE14" s="10">
        <v>3.0</v>
      </c>
      <c r="AF14" s="10">
        <v>1.0</v>
      </c>
      <c r="AG14" s="10">
        <v>6.0</v>
      </c>
    </row>
    <row r="15">
      <c r="A15" s="343">
        <v>12.0</v>
      </c>
      <c r="B15" s="343" t="s">
        <v>433</v>
      </c>
      <c r="C15" s="199">
        <v>11799.0</v>
      </c>
      <c r="D15" s="203"/>
      <c r="E15" s="419">
        <v>3.0</v>
      </c>
      <c r="F15" s="113">
        <v>4.0</v>
      </c>
      <c r="G15" s="458" t="s">
        <v>431</v>
      </c>
      <c r="H15" s="459">
        <f t="shared" si="1"/>
        <v>81.04</v>
      </c>
      <c r="I15" s="460">
        <v>6382.24785</v>
      </c>
      <c r="J15" s="460">
        <f t="shared" si="2"/>
        <v>5999.312979</v>
      </c>
      <c r="K15" s="461">
        <v>106.0</v>
      </c>
      <c r="L15" s="217">
        <v>64.0</v>
      </c>
      <c r="M15" s="224">
        <f t="shared" si="3"/>
        <v>170</v>
      </c>
      <c r="N15" s="224">
        <v>119.0</v>
      </c>
      <c r="O15" s="224">
        <v>142.0</v>
      </c>
      <c r="P15" s="203"/>
      <c r="Q15" s="466"/>
      <c r="R15" s="462">
        <v>0.0</v>
      </c>
      <c r="S15" s="465"/>
      <c r="T15" s="465"/>
      <c r="U15" s="12">
        <f t="shared" si="4"/>
        <v>0</v>
      </c>
      <c r="V15" s="293">
        <v>4.0</v>
      </c>
      <c r="W15" s="293">
        <v>380.0</v>
      </c>
      <c r="X15" s="293">
        <f t="shared" si="5"/>
        <v>1520</v>
      </c>
      <c r="Y15" s="293">
        <f t="shared" si="6"/>
        <v>200</v>
      </c>
      <c r="AC15" s="10">
        <v>2.0</v>
      </c>
      <c r="AD15" s="10">
        <v>4.0</v>
      </c>
      <c r="AE15" s="10">
        <v>2.0</v>
      </c>
      <c r="AF15" s="10">
        <v>1.0</v>
      </c>
      <c r="AG15" s="10">
        <v>4.0</v>
      </c>
    </row>
    <row r="16">
      <c r="A16" s="343">
        <v>13.0</v>
      </c>
      <c r="B16" s="343" t="s">
        <v>433</v>
      </c>
      <c r="C16" s="199">
        <v>11799.0</v>
      </c>
      <c r="D16" s="203"/>
      <c r="E16" s="419">
        <v>3.0</v>
      </c>
      <c r="F16" s="113">
        <v>6.0</v>
      </c>
      <c r="G16" s="458" t="s">
        <v>431</v>
      </c>
      <c r="H16" s="459">
        <f t="shared" si="1"/>
        <v>121.56</v>
      </c>
      <c r="I16" s="460">
        <v>6408.541754999999</v>
      </c>
      <c r="J16" s="460">
        <f t="shared" si="2"/>
        <v>6024.02925</v>
      </c>
      <c r="K16" s="461">
        <v>106.0</v>
      </c>
      <c r="L16" s="217">
        <v>64.0</v>
      </c>
      <c r="M16" s="224">
        <f t="shared" si="3"/>
        <v>170</v>
      </c>
      <c r="N16" s="224">
        <v>119.0</v>
      </c>
      <c r="O16" s="224">
        <v>142.0</v>
      </c>
      <c r="P16" s="203" t="s">
        <v>435</v>
      </c>
      <c r="Q16" s="199">
        <v>4230.0</v>
      </c>
      <c r="R16" s="462">
        <v>508.0</v>
      </c>
      <c r="S16" s="463">
        <v>0.0</v>
      </c>
      <c r="T16" s="463">
        <v>0.0</v>
      </c>
      <c r="U16" s="12">
        <f t="shared" si="4"/>
        <v>0</v>
      </c>
      <c r="V16" s="293">
        <v>6.0</v>
      </c>
      <c r="W16" s="293">
        <v>380.0</v>
      </c>
      <c r="X16" s="293">
        <f t="shared" si="5"/>
        <v>2280</v>
      </c>
      <c r="Y16" s="293">
        <f t="shared" si="6"/>
        <v>300</v>
      </c>
      <c r="AC16" s="10">
        <v>2.0</v>
      </c>
      <c r="AD16" s="10">
        <v>6.0</v>
      </c>
      <c r="AE16" s="10">
        <v>3.0</v>
      </c>
      <c r="AF16" s="10">
        <v>1.0</v>
      </c>
      <c r="AG16" s="10">
        <v>6.0</v>
      </c>
    </row>
    <row r="17">
      <c r="A17" s="343">
        <v>505.0</v>
      </c>
      <c r="B17" s="343" t="s">
        <v>436</v>
      </c>
      <c r="C17" s="199">
        <v>4580.0</v>
      </c>
      <c r="D17" s="203"/>
      <c r="E17" s="419">
        <v>2.0</v>
      </c>
      <c r="F17" s="113">
        <v>2.0</v>
      </c>
      <c r="G17" s="458" t="s">
        <v>437</v>
      </c>
      <c r="H17" s="459">
        <f t="shared" si="1"/>
        <v>40.52</v>
      </c>
      <c r="I17" s="460">
        <v>5022.1358549999995</v>
      </c>
      <c r="J17" s="460">
        <f t="shared" si="2"/>
        <v>4720.807704</v>
      </c>
      <c r="K17" s="461">
        <v>178.0</v>
      </c>
      <c r="L17" s="217">
        <v>0.0</v>
      </c>
      <c r="M17" s="224">
        <f t="shared" si="3"/>
        <v>178</v>
      </c>
      <c r="N17" s="224">
        <v>80.0</v>
      </c>
      <c r="O17" s="224">
        <v>88.0</v>
      </c>
      <c r="P17" s="203" t="s">
        <v>438</v>
      </c>
      <c r="Q17" s="199">
        <v>7480.0</v>
      </c>
      <c r="R17" s="462">
        <v>898.0</v>
      </c>
      <c r="S17" s="463">
        <v>12.0</v>
      </c>
      <c r="T17" s="463">
        <v>1.0</v>
      </c>
      <c r="U17" s="12">
        <f t="shared" si="4"/>
        <v>234</v>
      </c>
      <c r="V17" s="293"/>
      <c r="W17" s="293"/>
      <c r="X17" s="293"/>
      <c r="Y17" s="293"/>
      <c r="AC17" s="10">
        <v>2.0</v>
      </c>
      <c r="AD17" s="10">
        <v>1.0</v>
      </c>
      <c r="AE17" s="10">
        <v>2.0</v>
      </c>
      <c r="AF17" s="10">
        <v>1.0</v>
      </c>
    </row>
    <row r="18">
      <c r="A18" s="203"/>
      <c r="B18" s="203"/>
      <c r="C18" s="467">
        <f t="shared" ref="C18:D18" si="7">SUM(C4:C17)</f>
        <v>145273</v>
      </c>
      <c r="D18" s="467">
        <f t="shared" si="7"/>
        <v>12510</v>
      </c>
      <c r="E18" s="467"/>
      <c r="F18" s="467">
        <f>SUM(F4:F17)</f>
        <v>76</v>
      </c>
      <c r="G18" s="467"/>
      <c r="H18" s="468">
        <f t="shared" ref="H18:O18" si="8">SUM(H4:H17)</f>
        <v>1539.76</v>
      </c>
      <c r="I18" s="468">
        <f t="shared" si="8"/>
        <v>122484.1806</v>
      </c>
      <c r="J18" s="468">
        <f t="shared" si="8"/>
        <v>115135.1297</v>
      </c>
      <c r="K18" s="467">
        <f t="shared" si="8"/>
        <v>2176</v>
      </c>
      <c r="L18" s="467">
        <f t="shared" si="8"/>
        <v>1860</v>
      </c>
      <c r="M18" s="467">
        <f t="shared" si="8"/>
        <v>4036</v>
      </c>
      <c r="N18" s="469">
        <f t="shared" si="8"/>
        <v>1475</v>
      </c>
      <c r="O18" s="469">
        <f t="shared" si="8"/>
        <v>4260</v>
      </c>
      <c r="P18" s="203"/>
      <c r="Q18" s="467">
        <f t="shared" ref="Q18:V18" si="9">SUM(Q4:Q17)</f>
        <v>104926</v>
      </c>
      <c r="R18" s="467">
        <f t="shared" si="9"/>
        <v>12593</v>
      </c>
      <c r="S18" s="467">
        <f t="shared" si="9"/>
        <v>229</v>
      </c>
      <c r="T18" s="467">
        <f t="shared" si="9"/>
        <v>13</v>
      </c>
      <c r="U18" s="467">
        <f t="shared" si="9"/>
        <v>4356</v>
      </c>
      <c r="V18" s="467">
        <f t="shared" si="9"/>
        <v>26</v>
      </c>
      <c r="W18" s="467"/>
      <c r="X18" s="467">
        <f t="shared" ref="X18:Y18" si="10">SUM(X4:X17)</f>
        <v>9880</v>
      </c>
      <c r="Y18" s="467">
        <f t="shared" si="10"/>
        <v>1300</v>
      </c>
      <c r="AB18" s="467">
        <f t="shared" ref="AB18:AG18" si="11">SUM(AB4:AB17)</f>
        <v>48</v>
      </c>
      <c r="AC18" s="467">
        <f t="shared" si="11"/>
        <v>31</v>
      </c>
      <c r="AD18" s="467">
        <f t="shared" si="11"/>
        <v>35</v>
      </c>
      <c r="AE18" s="467">
        <f t="shared" si="11"/>
        <v>26</v>
      </c>
      <c r="AF18" s="467">
        <f t="shared" si="11"/>
        <v>16</v>
      </c>
      <c r="AG18" s="467">
        <f t="shared" si="11"/>
        <v>26</v>
      </c>
    </row>
    <row r="19">
      <c r="A19" s="113"/>
      <c r="J19" s="470"/>
      <c r="K19" s="113"/>
    </row>
    <row r="20">
      <c r="A20" s="113" t="s">
        <v>439</v>
      </c>
      <c r="I20" s="10" t="s">
        <v>440</v>
      </c>
      <c r="J20" s="470"/>
      <c r="K20" s="113" t="s">
        <v>441</v>
      </c>
    </row>
    <row r="21">
      <c r="A21" s="113" t="s">
        <v>442</v>
      </c>
      <c r="J21" s="470"/>
      <c r="K21" s="113" t="s">
        <v>443</v>
      </c>
    </row>
    <row r="22">
      <c r="A22" s="113" t="s">
        <v>442</v>
      </c>
      <c r="J22" s="470"/>
      <c r="K22" s="113" t="s">
        <v>444</v>
      </c>
    </row>
    <row r="23" ht="15.75" customHeight="1">
      <c r="A23" s="113" t="s">
        <v>442</v>
      </c>
      <c r="J23" s="470"/>
      <c r="K23" s="113" t="s">
        <v>445</v>
      </c>
    </row>
    <row r="24" ht="15.75" customHeight="1">
      <c r="A24" s="113" t="s">
        <v>442</v>
      </c>
      <c r="J24" s="470"/>
      <c r="K24" s="113" t="s">
        <v>446</v>
      </c>
    </row>
    <row r="25" ht="15.75" customHeight="1">
      <c r="A25" s="113" t="s">
        <v>442</v>
      </c>
      <c r="J25" s="470"/>
      <c r="K25" s="113" t="s">
        <v>447</v>
      </c>
    </row>
    <row r="26" ht="15.75" customHeight="1">
      <c r="A26" s="113" t="s">
        <v>442</v>
      </c>
      <c r="J26" s="470"/>
      <c r="K26" s="113" t="s">
        <v>448</v>
      </c>
    </row>
    <row r="27" ht="15.75" customHeight="1">
      <c r="A27" s="113" t="s">
        <v>442</v>
      </c>
      <c r="J27" s="470"/>
      <c r="K27" s="113" t="s">
        <v>448</v>
      </c>
    </row>
    <row r="28" ht="15.75" customHeight="1">
      <c r="A28" s="113" t="s">
        <v>439</v>
      </c>
      <c r="J28" s="470"/>
      <c r="K28" s="113" t="s">
        <v>449</v>
      </c>
    </row>
    <row r="29" ht="15.75" customHeight="1"/>
    <row r="30" ht="15.75" customHeight="1"/>
    <row r="31" ht="15.75" customHeight="1">
      <c r="K31" s="471" t="s">
        <v>450</v>
      </c>
      <c r="L31" s="465"/>
      <c r="M31" s="465"/>
      <c r="N31" s="472"/>
      <c r="O31" s="472"/>
      <c r="P31" s="472" t="s">
        <v>451</v>
      </c>
      <c r="Q31" s="472" t="s">
        <v>452</v>
      </c>
    </row>
    <row r="32" ht="15.75" customHeight="1">
      <c r="K32" s="463">
        <v>17648.0</v>
      </c>
      <c r="L32" s="465" t="s">
        <v>419</v>
      </c>
      <c r="N32" s="463"/>
      <c r="O32" s="463"/>
      <c r="P32" s="463">
        <v>49.0</v>
      </c>
      <c r="Q32" s="463">
        <v>1.0</v>
      </c>
    </row>
    <row r="33" ht="15.75" customHeight="1">
      <c r="K33" s="463">
        <v>9306.0</v>
      </c>
      <c r="L33" s="465" t="s">
        <v>453</v>
      </c>
      <c r="N33" s="463"/>
      <c r="O33" s="463"/>
      <c r="P33" s="463">
        <v>30.0</v>
      </c>
      <c r="Q33" s="465"/>
    </row>
    <row r="34" ht="15.75" customHeight="1">
      <c r="K34" s="463">
        <v>6489.0</v>
      </c>
      <c r="L34" s="465" t="s">
        <v>422</v>
      </c>
      <c r="N34" s="463"/>
      <c r="O34" s="463"/>
      <c r="P34" s="463">
        <v>24.0</v>
      </c>
      <c r="Q34" s="463">
        <v>2.0</v>
      </c>
    </row>
    <row r="35" ht="15.75" customHeight="1">
      <c r="K35" s="463">
        <v>13152.0</v>
      </c>
      <c r="L35" s="465" t="s">
        <v>424</v>
      </c>
      <c r="N35" s="463"/>
      <c r="O35" s="463"/>
      <c r="P35" s="463">
        <v>25.0</v>
      </c>
      <c r="Q35" s="463">
        <v>2.0</v>
      </c>
    </row>
    <row r="36" ht="15.75" customHeight="1">
      <c r="K36" s="463">
        <v>4268.0</v>
      </c>
      <c r="L36" s="465" t="s">
        <v>426</v>
      </c>
      <c r="M36" s="465"/>
      <c r="N36" s="463"/>
      <c r="O36" s="463"/>
      <c r="P36" s="463">
        <v>4.0</v>
      </c>
      <c r="Q36" s="463">
        <v>1.0</v>
      </c>
    </row>
    <row r="37" ht="15.75" customHeight="1">
      <c r="K37" s="465"/>
      <c r="L37" s="465"/>
      <c r="M37" s="465"/>
      <c r="N37" s="465"/>
      <c r="O37" s="465"/>
      <c r="P37" s="465"/>
      <c r="Q37" s="465"/>
    </row>
    <row r="38" ht="15.75" customHeight="1">
      <c r="K38" s="463">
        <v>9263.0</v>
      </c>
      <c r="L38" s="465" t="s">
        <v>428</v>
      </c>
      <c r="M38" s="465"/>
      <c r="N38" s="463"/>
      <c r="O38" s="463"/>
      <c r="P38" s="463">
        <v>29.0</v>
      </c>
      <c r="Q38" s="463">
        <v>3.0</v>
      </c>
    </row>
    <row r="39" ht="15.75" customHeight="1">
      <c r="K39" s="463">
        <v>9570.0</v>
      </c>
      <c r="L39" s="465" t="s">
        <v>429</v>
      </c>
      <c r="N39" s="463"/>
      <c r="O39" s="463"/>
      <c r="P39" s="463">
        <v>15.0</v>
      </c>
      <c r="Q39" s="463">
        <v>1.0</v>
      </c>
    </row>
    <row r="40" ht="15.75" customHeight="1">
      <c r="K40" s="463">
        <v>11040.0</v>
      </c>
      <c r="L40" s="465" t="s">
        <v>432</v>
      </c>
      <c r="N40" s="463"/>
      <c r="O40" s="463"/>
      <c r="P40" s="463">
        <v>18.0</v>
      </c>
      <c r="Q40" s="463">
        <v>1.0</v>
      </c>
    </row>
    <row r="41" ht="15.75" customHeight="1">
      <c r="K41" s="465"/>
      <c r="L41" s="465"/>
      <c r="M41" s="465"/>
      <c r="N41" s="465"/>
      <c r="O41" s="465"/>
      <c r="P41" s="465"/>
      <c r="Q41" s="465"/>
    </row>
    <row r="42" ht="15.75" customHeight="1">
      <c r="K42" s="463">
        <v>12480.0</v>
      </c>
      <c r="L42" s="465" t="s">
        <v>434</v>
      </c>
      <c r="N42" s="463"/>
      <c r="O42" s="463"/>
      <c r="P42" s="463">
        <v>23.0</v>
      </c>
      <c r="Q42" s="463">
        <v>1.0</v>
      </c>
    </row>
    <row r="43" ht="15.75" customHeight="1">
      <c r="K43" s="465"/>
      <c r="L43" s="465"/>
      <c r="M43" s="465"/>
      <c r="N43" s="465"/>
      <c r="O43" s="465"/>
      <c r="P43" s="465"/>
      <c r="Q43" s="465"/>
    </row>
    <row r="44" ht="15.75" customHeight="1">
      <c r="K44" s="463">
        <v>4230.0</v>
      </c>
      <c r="L44" s="465" t="s">
        <v>435</v>
      </c>
      <c r="N44" s="463"/>
      <c r="O44" s="463"/>
      <c r="P44" s="463">
        <v>0.0</v>
      </c>
      <c r="Q44" s="463">
        <v>0.0</v>
      </c>
    </row>
    <row r="45" ht="15.75" customHeight="1">
      <c r="K45" s="463">
        <v>7480.0</v>
      </c>
      <c r="L45" s="465" t="s">
        <v>438</v>
      </c>
      <c r="N45" s="463"/>
      <c r="O45" s="463"/>
      <c r="P45" s="463">
        <v>12.0</v>
      </c>
      <c r="Q45" s="463">
        <v>1.0</v>
      </c>
    </row>
    <row r="46" ht="15.75" customHeight="1">
      <c r="K46" s="473">
        <v>99302.0</v>
      </c>
      <c r="L46" s="465" t="s">
        <v>258</v>
      </c>
      <c r="M46" s="465"/>
      <c r="N46" s="473"/>
      <c r="O46" s="473"/>
      <c r="P46" s="473">
        <v>229.0</v>
      </c>
      <c r="Q46" s="473">
        <v>13.0</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9">
    <mergeCell ref="L44:M44"/>
    <mergeCell ref="L45:M45"/>
    <mergeCell ref="L32:M32"/>
    <mergeCell ref="L33:M33"/>
    <mergeCell ref="L34:M34"/>
    <mergeCell ref="L35:M35"/>
    <mergeCell ref="L39:M39"/>
    <mergeCell ref="L40:M40"/>
    <mergeCell ref="L42:M4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0.1" defaultRowHeight="15.0"/>
  <cols>
    <col customWidth="1" min="1" max="1" width="40.6"/>
    <col customWidth="1" min="2" max="2" width="8.9"/>
    <col customWidth="1" min="3" max="5" width="9.3"/>
    <col customWidth="1" min="8" max="8" width="16.8"/>
  </cols>
  <sheetData>
    <row r="1">
      <c r="A1" s="474"/>
      <c r="B1" s="20"/>
      <c r="C1" s="20"/>
      <c r="D1" s="475"/>
      <c r="E1" s="475"/>
      <c r="F1" s="476"/>
      <c r="G1" s="475"/>
    </row>
    <row r="2">
      <c r="A2" s="477" t="s">
        <v>454</v>
      </c>
      <c r="B2" s="478" t="s">
        <v>455</v>
      </c>
      <c r="C2" s="479" t="s">
        <v>456</v>
      </c>
      <c r="D2" s="480" t="s">
        <v>457</v>
      </c>
      <c r="E2" s="480" t="s">
        <v>458</v>
      </c>
      <c r="F2" s="481" t="s">
        <v>459</v>
      </c>
      <c r="G2" s="480" t="s">
        <v>460</v>
      </c>
    </row>
    <row r="3">
      <c r="A3" s="58"/>
      <c r="B3" s="482">
        <v>2026.0</v>
      </c>
      <c r="C3" s="483">
        <v>2026.0</v>
      </c>
      <c r="E3" s="208"/>
      <c r="F3" s="208"/>
      <c r="G3" s="484">
        <v>4.0</v>
      </c>
      <c r="H3" s="13" t="s">
        <v>461</v>
      </c>
    </row>
    <row r="4">
      <c r="A4" s="58" t="s">
        <v>73</v>
      </c>
      <c r="B4" s="78"/>
      <c r="C4" s="66"/>
      <c r="D4" s="208"/>
      <c r="E4" s="208"/>
      <c r="F4" s="208"/>
      <c r="G4" s="373">
        <f>HLOOKUP($G$3,'30 Year'!$R$1:$AC$8,4,false)</f>
        <v>161117.5583</v>
      </c>
    </row>
    <row r="5">
      <c r="A5" s="58" t="s">
        <v>78</v>
      </c>
      <c r="B5" s="78"/>
      <c r="C5" s="67"/>
      <c r="D5" s="208"/>
      <c r="E5" s="208"/>
      <c r="F5" s="208"/>
      <c r="G5" s="373">
        <f>HLOOKUP($G$3,'30 Year'!$R$1:$AC$8,7,false)</f>
        <v>421309</v>
      </c>
    </row>
    <row r="6">
      <c r="A6" s="92" t="s">
        <v>80</v>
      </c>
      <c r="B6" s="88"/>
      <c r="C6" s="485"/>
      <c r="D6" s="208"/>
      <c r="E6" s="208"/>
      <c r="F6" s="208"/>
      <c r="G6" s="373">
        <f>HLOOKUP($G$3,'30 Year'!$R$1:$AC$8,8,false)</f>
        <v>128511</v>
      </c>
      <c r="H6" s="10" t="s">
        <v>462</v>
      </c>
    </row>
    <row r="7">
      <c r="A7" s="97" t="s">
        <v>463</v>
      </c>
      <c r="B7" s="486"/>
      <c r="C7" s="486"/>
      <c r="D7" s="487"/>
      <c r="E7" s="487"/>
      <c r="F7" s="487"/>
      <c r="G7" s="488">
        <f>SUM(G4:G6)</f>
        <v>710937.5583</v>
      </c>
    </row>
    <row r="8">
      <c r="A8" s="104" t="s">
        <v>89</v>
      </c>
      <c r="B8" s="102"/>
      <c r="C8" s="66"/>
      <c r="D8" s="208"/>
      <c r="E8" s="208"/>
      <c r="F8" s="208"/>
    </row>
    <row r="9">
      <c r="A9" s="90" t="s">
        <v>90</v>
      </c>
      <c r="B9" s="78">
        <f>SUMIF('30 Year'!$R$1:$AC$1,"&lt;="&amp;$G$3,'30 Year'!$R11:$AC11)</f>
        <v>5739.03</v>
      </c>
      <c r="C9" s="485">
        <f>'30 Year'!AE11</f>
        <v>5300</v>
      </c>
      <c r="D9" s="489">
        <f t="shared" ref="D9:D12" si="1">$B9/$C9</f>
        <v>1.082835849</v>
      </c>
      <c r="E9" s="208" t="str">
        <f>if('30 Year'!$AF11&lt;0,'30 Year'!$AF11," ")</f>
        <v> </v>
      </c>
      <c r="F9" s="373">
        <f>if('30 Year'!$AF11&lt;=0," ",'30 Year'!$AF11)</f>
        <v>4887.896667</v>
      </c>
      <c r="H9" s="10" t="s">
        <v>464</v>
      </c>
    </row>
    <row r="10">
      <c r="A10" s="142" t="s">
        <v>91</v>
      </c>
      <c r="B10" s="78">
        <f>SUMIF('30 Year'!$R$1:$AC$1,"&lt;="&amp;$G$3,'30 Year'!$R12:$AC12)</f>
        <v>177667.8</v>
      </c>
      <c r="C10" s="485">
        <f>'30 Year'!AE12</f>
        <v>703800</v>
      </c>
      <c r="D10" s="490">
        <f t="shared" si="1"/>
        <v>0.2524407502</v>
      </c>
      <c r="E10" s="208" t="str">
        <f>if('30 Year'!$AF12&lt;0,'30 Year'!$AF12," ")</f>
        <v> </v>
      </c>
      <c r="F10" s="373">
        <f>if('30 Year'!$AF12&lt;=0," ",'30 Year'!$AF12)</f>
        <v>0.0000000001164153218</v>
      </c>
    </row>
    <row r="11">
      <c r="A11" s="119" t="s">
        <v>92</v>
      </c>
      <c r="B11" s="78">
        <f>SUMIF('30 Year'!$R$1:$AC$1,"&lt;="&amp;$G$3,'30 Year'!$R13:$AC13)</f>
        <v>7500</v>
      </c>
      <c r="C11" s="485">
        <f>'30 Year'!AE13</f>
        <v>30000</v>
      </c>
      <c r="D11" s="489">
        <f t="shared" si="1"/>
        <v>0.25</v>
      </c>
      <c r="E11" s="208" t="str">
        <f>if('30 Year'!$AF13&lt;0,'30 Year'!$AF13," ")</f>
        <v> </v>
      </c>
      <c r="F11" s="208" t="str">
        <f>if('30 Year'!$AF13&lt;=0," ",'30 Year'!$AF13)</f>
        <v> </v>
      </c>
    </row>
    <row r="12">
      <c r="A12" s="119" t="s">
        <v>93</v>
      </c>
      <c r="B12" s="78">
        <f>'30 Year'!N14</f>
        <v>0</v>
      </c>
      <c r="C12" s="485">
        <f>'30 Year'!AE14</f>
        <v>2100</v>
      </c>
      <c r="D12" s="489">
        <f t="shared" si="1"/>
        <v>0</v>
      </c>
      <c r="E12" s="208"/>
      <c r="F12" s="208" t="str">
        <f>if('30 Year'!$AF14&lt;=0," ",'30 Year'!$AF14)</f>
        <v> </v>
      </c>
    </row>
    <row r="13">
      <c r="A13" s="119" t="s">
        <v>94</v>
      </c>
      <c r="B13" s="76">
        <v>0.0</v>
      </c>
      <c r="C13" s="485">
        <v>0.0</v>
      </c>
      <c r="D13" s="208"/>
      <c r="E13" s="208" t="str">
        <f>if('30 Year'!$AF15&lt;0,'30 Year'!$AF15," ")</f>
        <v> </v>
      </c>
      <c r="F13" s="208"/>
    </row>
    <row r="14">
      <c r="A14" s="127" t="s">
        <v>95</v>
      </c>
      <c r="B14" s="134">
        <f>'30 Year'!N16</f>
        <v>1269822.911</v>
      </c>
      <c r="C14" s="491">
        <f>SUM(C9:C13)</f>
        <v>741200</v>
      </c>
      <c r="D14" s="492">
        <f>$B14/$C14</f>
        <v>1.713198747</v>
      </c>
      <c r="E14" s="134">
        <f>SUM(E8:E13)</f>
        <v>0</v>
      </c>
      <c r="F14" s="493">
        <f>SUM(F9:F13)</f>
        <v>4887.896667</v>
      </c>
    </row>
    <row r="15">
      <c r="A15" s="104" t="s">
        <v>96</v>
      </c>
      <c r="B15" s="102"/>
      <c r="C15" s="66"/>
      <c r="D15" s="208"/>
      <c r="E15" s="208"/>
      <c r="F15" s="208"/>
    </row>
    <row r="16">
      <c r="A16" s="104" t="s">
        <v>97</v>
      </c>
      <c r="B16" s="140"/>
      <c r="C16" s="66"/>
      <c r="D16" s="208"/>
      <c r="E16" s="208"/>
      <c r="F16" s="208"/>
    </row>
    <row r="17">
      <c r="A17" s="119" t="s">
        <v>98</v>
      </c>
      <c r="B17" s="78">
        <f>SUMIF('30 Year'!$R$1:$AC$1,"&lt;="&amp;$G$3,'30 Year'!$R19:$AC19)</f>
        <v>1250</v>
      </c>
      <c r="C17" s="485">
        <f>'30 Year'!AE19</f>
        <v>6824</v>
      </c>
      <c r="D17" s="489">
        <f t="shared" ref="D17:D20" si="2">$B17/$C17</f>
        <v>0.1831770223</v>
      </c>
      <c r="E17" s="373">
        <f>if('30 Year'!$AF19&lt;0,'30 Year'!$AF19," ")</f>
        <v>-1142</v>
      </c>
      <c r="F17" s="208" t="str">
        <f>if('30 Year'!$AF19&lt;=0," ",'30 Year'!$AF19)</f>
        <v> </v>
      </c>
      <c r="G17" s="494" t="s">
        <v>465</v>
      </c>
    </row>
    <row r="18">
      <c r="A18" s="119" t="s">
        <v>100</v>
      </c>
      <c r="B18" s="78">
        <f>SUMIF('30 Year'!$R$1:$AC$1,"&lt;="&amp;$G$3,'30 Year'!$R20:$AC20)</f>
        <v>24374</v>
      </c>
      <c r="C18" s="485">
        <f>'30 Year'!AE20</f>
        <v>95097</v>
      </c>
      <c r="D18" s="489">
        <f t="shared" si="2"/>
        <v>0.2563067184</v>
      </c>
      <c r="E18" s="373">
        <f>if('30 Year'!$AF20&lt;0,'30 Year'!$AF20," ")</f>
        <v>-3601</v>
      </c>
      <c r="F18" s="208" t="str">
        <f>if('30 Year'!$AF20&lt;=0," ",'30 Year'!$AF20)</f>
        <v> </v>
      </c>
      <c r="G18" s="494"/>
    </row>
    <row r="19">
      <c r="A19" s="119" t="s">
        <v>101</v>
      </c>
      <c r="B19" s="78">
        <f>SUMIF('30 Year'!$R$1:$AC$1,"&lt;="&amp;$G$3,'30 Year'!$R21:$AC21)</f>
        <v>2573.775</v>
      </c>
      <c r="C19" s="485">
        <f>'30 Year'!AE21</f>
        <v>10295</v>
      </c>
      <c r="D19" s="489">
        <f t="shared" si="2"/>
        <v>0.2500024284</v>
      </c>
      <c r="E19" s="208" t="str">
        <f>if('30 Year'!$AF21&lt;0,'30 Year'!$AF21," ")</f>
        <v> </v>
      </c>
      <c r="F19" s="373">
        <f>if('30 Year'!$AF21&lt;=0," ",'30 Year'!$AF21)</f>
        <v>0.1</v>
      </c>
      <c r="G19" s="494" t="s">
        <v>465</v>
      </c>
    </row>
    <row r="20">
      <c r="A20" s="104" t="s">
        <v>102</v>
      </c>
      <c r="B20" s="65">
        <f>SUMIF('30 Year'!$R$1:$AC$1,"&lt;="&amp;$G$3,'30 Year'!$R22:$AC22)</f>
        <v>28197.775</v>
      </c>
      <c r="C20" s="495">
        <f>SUM(C17:C19)</f>
        <v>112216</v>
      </c>
      <c r="D20" s="496">
        <f t="shared" si="2"/>
        <v>0.2512812344</v>
      </c>
      <c r="E20" s="497"/>
      <c r="F20" s="497"/>
    </row>
    <row r="21">
      <c r="A21" s="104" t="s">
        <v>103</v>
      </c>
      <c r="B21" s="78"/>
      <c r="C21" s="66"/>
      <c r="D21" s="208"/>
      <c r="E21" s="208"/>
      <c r="F21" s="208"/>
    </row>
    <row r="22">
      <c r="A22" s="119" t="s">
        <v>105</v>
      </c>
      <c r="B22" s="78">
        <f>SUMIF('30 Year'!$R$1:$AC$1,"&lt;="&amp;$G$3,'30 Year'!$R24:$AC24)</f>
        <v>492.25</v>
      </c>
      <c r="C22" s="485">
        <f>'30 Year'!AE24</f>
        <v>1969</v>
      </c>
      <c r="D22" s="489">
        <f t="shared" ref="D22:D29" si="3">$B22/$C22</f>
        <v>0.25</v>
      </c>
      <c r="E22" s="373">
        <f>if('30 Year'!$AF24&lt;0,'30 Year'!$AF24," ")</f>
        <v>0</v>
      </c>
      <c r="F22" s="208" t="str">
        <f>if('30 Year'!$AF24&lt;=0," ",'30 Year'!$AF24)</f>
        <v> </v>
      </c>
      <c r="G22" s="494" t="s">
        <v>465</v>
      </c>
    </row>
    <row r="23">
      <c r="A23" s="142" t="s">
        <v>107</v>
      </c>
      <c r="B23" s="78">
        <f>SUMIF('30 Year'!$R$1:$AC$1,"&lt;="&amp;$G$3,'30 Year'!$R25:$AC25)</f>
        <v>15468.5</v>
      </c>
      <c r="C23" s="485">
        <f>'30 Year'!AE25</f>
        <v>61874</v>
      </c>
      <c r="D23" s="489">
        <f t="shared" si="3"/>
        <v>0.25</v>
      </c>
      <c r="E23" s="373">
        <f>if('30 Year'!$AF25&lt;0,'30 Year'!$AF25," ")</f>
        <v>0</v>
      </c>
      <c r="F23" s="208" t="str">
        <f>if('30 Year'!$AF25&lt;=0," ",'30 Year'!$AF25)</f>
        <v> </v>
      </c>
      <c r="G23" s="494" t="s">
        <v>465</v>
      </c>
    </row>
    <row r="24">
      <c r="A24" s="142" t="s">
        <v>109</v>
      </c>
      <c r="B24" s="78">
        <f>SUMIF('30 Year'!$R$1:$AC$1,"&lt;="&amp;$G$3,'30 Year'!$R26:$AC26)</f>
        <v>17973</v>
      </c>
      <c r="C24" s="485">
        <f>'30 Year'!AE26</f>
        <v>71892</v>
      </c>
      <c r="D24" s="489">
        <f t="shared" si="3"/>
        <v>0.25</v>
      </c>
      <c r="E24" s="208" t="str">
        <f>if('30 Year'!$AF26&lt;0,'30 Year'!$AF26," ")</f>
        <v> </v>
      </c>
      <c r="F24" s="208" t="str">
        <f>if('30 Year'!$AF26&lt;=0," ",'30 Year'!$AF26)</f>
        <v> </v>
      </c>
      <c r="G24" s="494" t="s">
        <v>465</v>
      </c>
    </row>
    <row r="25">
      <c r="A25" s="152" t="s">
        <v>466</v>
      </c>
      <c r="B25" s="498">
        <f>SUMIF('30 Year'!$R$1:$AC$1,"&lt;="&amp;$G$3,'30 Year'!$R27:$AC27)</f>
        <v>0</v>
      </c>
      <c r="C25" s="499">
        <f>'30 Year'!AD82</f>
        <v>648525</v>
      </c>
      <c r="D25" s="500">
        <f t="shared" si="3"/>
        <v>0</v>
      </c>
      <c r="E25" s="501" t="str">
        <f>if('30 Year'!$AF27&lt;0,'30 Year'!$AF27," ")</f>
        <v> </v>
      </c>
      <c r="F25" s="502">
        <f>if('30 Year'!$AF27&lt;=0," ",'30 Year'!$AF27)</f>
        <v>82367</v>
      </c>
    </row>
    <row r="26">
      <c r="A26" s="119" t="s">
        <v>112</v>
      </c>
      <c r="B26" s="78">
        <f>SUMIF('30 Year'!$R$1:$AC$1,"&lt;="&amp;$G$3,'30 Year'!$R28:$AC28)</f>
        <v>0</v>
      </c>
      <c r="C26" s="485">
        <f>'30 Year'!AE28</f>
        <v>8850</v>
      </c>
      <c r="D26" s="489">
        <f t="shared" si="3"/>
        <v>0</v>
      </c>
      <c r="E26" s="208" t="str">
        <f>if('30 Year'!$AF28&lt;0,'30 Year'!$AF28," ")</f>
        <v> </v>
      </c>
      <c r="F26" s="208" t="str">
        <f>if('30 Year'!$AF28&lt;=0," ",'30 Year'!$AF28)</f>
        <v> </v>
      </c>
    </row>
    <row r="27">
      <c r="A27" s="119" t="s">
        <v>113</v>
      </c>
      <c r="B27" s="78">
        <f>SUMIF('30 Year'!$R$1:$AC$1,"&lt;="&amp;$G$3,'30 Year'!$R29:$AC29)</f>
        <v>384.5</v>
      </c>
      <c r="C27" s="485">
        <f>'30 Year'!AE29</f>
        <v>1538</v>
      </c>
      <c r="D27" s="489">
        <f t="shared" si="3"/>
        <v>0.25</v>
      </c>
      <c r="E27" s="208" t="str">
        <f>if('30 Year'!$AF29&lt;0,'30 Year'!$AF29," ")</f>
        <v> </v>
      </c>
      <c r="F27" s="373">
        <f>if('30 Year'!$AF29&lt;=0," ",'30 Year'!$AF29)</f>
        <v>0</v>
      </c>
      <c r="G27" s="494" t="s">
        <v>465</v>
      </c>
    </row>
    <row r="28">
      <c r="A28" s="119" t="s">
        <v>114</v>
      </c>
      <c r="B28" s="78">
        <f>SUMIF('30 Year'!$R$1:$AC$1,"&lt;="&amp;$G$3,'30 Year'!$R30:$AC30)</f>
        <v>9619.5</v>
      </c>
      <c r="C28" s="485">
        <f>'30 Year'!AE30</f>
        <v>19239</v>
      </c>
      <c r="D28" s="489">
        <f t="shared" si="3"/>
        <v>0.5</v>
      </c>
      <c r="E28" s="208" t="str">
        <f>if('30 Year'!$AF30&lt;0,'30 Year'!$AF30," ")</f>
        <v> </v>
      </c>
      <c r="F28" s="208" t="str">
        <f>if('30 Year'!$AF30&lt;=0," ",'30 Year'!$AF30)</f>
        <v> </v>
      </c>
      <c r="G28" s="494" t="s">
        <v>465</v>
      </c>
    </row>
    <row r="29">
      <c r="A29" s="104" t="s">
        <v>102</v>
      </c>
      <c r="B29" s="65">
        <f>SUMIF('30 Year'!$R$1:$AC$1,"&lt;="&amp;$G$3,'30 Year'!$R31:$AC31)</f>
        <v>43937.75</v>
      </c>
      <c r="C29" s="495">
        <f>SUM(C22:C28)</f>
        <v>813887</v>
      </c>
      <c r="D29" s="496">
        <f t="shared" si="3"/>
        <v>0.0539850741</v>
      </c>
      <c r="E29" s="376"/>
      <c r="F29" s="497"/>
    </row>
    <row r="30">
      <c r="A30" s="104" t="s">
        <v>115</v>
      </c>
      <c r="B30" s="78" t="str">
        <f>'30 Year'!N32</f>
        <v/>
      </c>
      <c r="C30" s="66"/>
      <c r="D30" s="208"/>
      <c r="E30" s="208"/>
      <c r="F30" s="208"/>
    </row>
    <row r="31">
      <c r="A31" s="119" t="s">
        <v>116</v>
      </c>
      <c r="B31" s="78">
        <f>SUMIF('30 Year'!$R$1:$AC$1,"&lt;="&amp;$G$3,'30 Year'!$L33:$R33)</f>
        <v>78744</v>
      </c>
      <c r="C31" s="485">
        <f>'30 Year'!AE33</f>
        <v>49400</v>
      </c>
      <c r="D31" s="489">
        <f>$B31/$C31</f>
        <v>1.594008097</v>
      </c>
      <c r="E31" s="373">
        <f>if('30 Year'!$AF33&lt;0,'30 Year'!$AF33," ")</f>
        <v>0</v>
      </c>
      <c r="F31" s="208" t="str">
        <f>if('30 Year'!$AF33&lt;=0," ",'30 Year'!$AF33)</f>
        <v> </v>
      </c>
      <c r="G31" s="494" t="s">
        <v>465</v>
      </c>
    </row>
    <row r="32">
      <c r="A32" s="170" t="s">
        <v>467</v>
      </c>
      <c r="B32" s="78">
        <f>SUMIF('30 Year'!$R$1:$AC$1,"&lt;="&amp;$G$3,'30 Year'!$R34:$AC34)</f>
        <v>0</v>
      </c>
      <c r="C32" s="485"/>
      <c r="D32" s="489"/>
      <c r="E32" s="208" t="str">
        <f>if('30 Year'!$AF34&lt;0,'30 Year'!$AF34," ")</f>
        <v> </v>
      </c>
      <c r="F32" s="208" t="str">
        <f>if('30 Year'!$AF34&lt;=0," ",'30 Year'!$AF34)</f>
        <v> </v>
      </c>
      <c r="G32" s="494" t="s">
        <v>468</v>
      </c>
    </row>
    <row r="33">
      <c r="A33" s="142" t="s">
        <v>118</v>
      </c>
      <c r="B33" s="78">
        <f>SUMIF('30 Year'!$R$1:$AC$1,"&lt;="&amp;$G$3,'30 Year'!$R35:$AC35)</f>
        <v>1589.666667</v>
      </c>
      <c r="C33" s="485">
        <f>'30 Year'!AE35</f>
        <v>4258</v>
      </c>
      <c r="D33" s="489">
        <f t="shared" ref="D33:D34" si="4">$B33/$C33</f>
        <v>0.3733364647</v>
      </c>
      <c r="E33" s="208" t="str">
        <f>if('30 Year'!$AF35&lt;0,'30 Year'!$AF35," ")</f>
        <v> </v>
      </c>
      <c r="F33" s="373">
        <f>if('30 Year'!$AF35&lt;=0," ",'30 Year'!$AF35)</f>
        <v>1410.333333</v>
      </c>
      <c r="G33" s="494" t="s">
        <v>465</v>
      </c>
    </row>
    <row r="34">
      <c r="A34" s="104" t="s">
        <v>102</v>
      </c>
      <c r="B34" s="65">
        <f>SUMIF('30 Year'!$R$1:$AC$1,"&lt;="&amp;$G$3,'30 Year'!$R36:$AC36)</f>
        <v>13939.66667</v>
      </c>
      <c r="C34" s="495">
        <f>SUM(C31:C33)</f>
        <v>53658</v>
      </c>
      <c r="D34" s="496">
        <f t="shared" si="4"/>
        <v>0.2597872948</v>
      </c>
      <c r="E34" s="497"/>
      <c r="F34" s="497"/>
    </row>
    <row r="35">
      <c r="A35" s="104" t="s">
        <v>120</v>
      </c>
      <c r="B35" s="78" t="str">
        <f>'30 Year'!N37</f>
        <v/>
      </c>
      <c r="C35" s="66"/>
      <c r="D35" s="208"/>
      <c r="E35" s="208"/>
      <c r="F35" s="208"/>
    </row>
    <row r="36">
      <c r="A36" s="119" t="s">
        <v>121</v>
      </c>
      <c r="B36" s="78">
        <f>SUMIF('30 Year'!$R$1:$AC$1,"&lt;="&amp;$G$3,'30 Year'!$R38:$AC38)</f>
        <v>326.5</v>
      </c>
      <c r="C36" s="485">
        <f>'30 Year'!AE38</f>
        <v>1306</v>
      </c>
      <c r="D36" s="489">
        <f t="shared" ref="D36:D39" si="5">$B36/$C36</f>
        <v>0.25</v>
      </c>
      <c r="E36" s="208" t="str">
        <f>if('30 Year'!$AF38&lt;0,'30 Year'!$AF38," ")</f>
        <v> </v>
      </c>
      <c r="F36" s="208" t="str">
        <f>if('30 Year'!$AF38&lt;=0," ",'30 Year'!$AF38)</f>
        <v> </v>
      </c>
      <c r="G36" s="494" t="s">
        <v>465</v>
      </c>
    </row>
    <row r="37">
      <c r="A37" s="119" t="s">
        <v>122</v>
      </c>
      <c r="B37" s="78">
        <f>SUMIF('30 Year'!$R$1:$AC$1,"&lt;="&amp;$G$3,'30 Year'!$R39:$AC39)</f>
        <v>102.8333333</v>
      </c>
      <c r="C37" s="485">
        <f>'30 Year'!AE39</f>
        <v>149</v>
      </c>
      <c r="D37" s="489">
        <f t="shared" si="5"/>
        <v>0.6901565996</v>
      </c>
      <c r="E37" s="208" t="str">
        <f>if('30 Year'!$AF39&lt;0,'30 Year'!$AF39," ")</f>
        <v> </v>
      </c>
      <c r="F37" s="373">
        <f>if('30 Year'!$AF39&lt;=0," ",'30 Year'!$AF39)</f>
        <v>53.16666667</v>
      </c>
    </row>
    <row r="38">
      <c r="A38" s="119" t="s">
        <v>123</v>
      </c>
      <c r="B38" s="78">
        <f>SUMIF('30 Year'!$R$1:$AC$1,"&lt;="&amp;$G$3,'30 Year'!$R40:$AC40)</f>
        <v>21.25</v>
      </c>
      <c r="C38" s="485">
        <f>'30 Year'!AE40</f>
        <v>85</v>
      </c>
      <c r="D38" s="489">
        <f t="shared" si="5"/>
        <v>0.25</v>
      </c>
      <c r="E38" s="208" t="str">
        <f>if('30 Year'!$AF40&lt;0,'30 Year'!$AF40," ")</f>
        <v> </v>
      </c>
      <c r="F38" s="208" t="str">
        <f>if('30 Year'!$AF40&lt;=0," ",'30 Year'!$AF40)</f>
        <v> </v>
      </c>
      <c r="G38" s="494" t="s">
        <v>465</v>
      </c>
    </row>
    <row r="39">
      <c r="A39" s="104" t="s">
        <v>102</v>
      </c>
      <c r="B39" s="65">
        <f>SUMIF('30 Year'!$R$1:$AC$1,"&lt;="&amp;$G$3,'30 Year'!$R41:$AC41)</f>
        <v>450.5833333</v>
      </c>
      <c r="C39" s="495">
        <f>SUM(C36:C38)</f>
        <v>1540</v>
      </c>
      <c r="D39" s="496">
        <f t="shared" si="5"/>
        <v>0.2925865801</v>
      </c>
      <c r="E39" s="497"/>
      <c r="F39" s="497"/>
    </row>
    <row r="40">
      <c r="A40" s="104" t="s">
        <v>124</v>
      </c>
      <c r="B40" s="78" t="str">
        <f>'30 Year'!N42</f>
        <v/>
      </c>
      <c r="C40" s="485"/>
      <c r="D40" s="208"/>
      <c r="E40" s="208"/>
      <c r="F40" s="208"/>
    </row>
    <row r="41">
      <c r="A41" s="119" t="s">
        <v>125</v>
      </c>
      <c r="B41" s="78">
        <f>SUMIF('30 Year'!$R$1:$AC$1,"&lt;="&amp;$G$3,'30 Year'!$R43:$AC43)</f>
        <v>36243</v>
      </c>
      <c r="C41" s="485">
        <f>'30 Year'!AE43</f>
        <v>150000</v>
      </c>
      <c r="D41" s="489">
        <f t="shared" ref="D41:D44" si="6">$B41/$C41</f>
        <v>0.24162</v>
      </c>
      <c r="E41" s="373">
        <f>if('30 Year'!$AF43&lt;0,'30 Year'!$AF43," ")</f>
        <v>-1598</v>
      </c>
      <c r="F41" s="208" t="str">
        <f>if('30 Year'!$AF43&lt;=0," ",'30 Year'!$AF43)</f>
        <v> </v>
      </c>
    </row>
    <row r="42">
      <c r="A42" s="119" t="s">
        <v>126</v>
      </c>
      <c r="B42" s="78">
        <f>SUMIF('30 Year'!$R$1:$AC$1,"&lt;="&amp;$G$3,'30 Year'!$R44:$AC44)</f>
        <v>1138.833333</v>
      </c>
      <c r="C42" s="485">
        <f>'30 Year'!AE44</f>
        <v>4613</v>
      </c>
      <c r="D42" s="489">
        <f t="shared" si="6"/>
        <v>0.2468747742</v>
      </c>
      <c r="E42" s="373">
        <f>if('30 Year'!$AF44&lt;0,'30 Year'!$AF44," ")</f>
        <v>-44.83333333</v>
      </c>
      <c r="F42" s="208" t="str">
        <f>if('30 Year'!$AF44&lt;=0," ",'30 Year'!$AF44)</f>
        <v> </v>
      </c>
    </row>
    <row r="43">
      <c r="A43" s="104" t="s">
        <v>102</v>
      </c>
      <c r="B43" s="78">
        <f>SUMIF('30 Year'!$R$1:$AC$1,"&lt;="&amp;$G$3,'30 Year'!$R45:$AC45)</f>
        <v>37381.83333</v>
      </c>
      <c r="C43" s="495">
        <f>SUM(C41:C42)</f>
        <v>154613</v>
      </c>
      <c r="D43" s="496">
        <f t="shared" si="6"/>
        <v>0.2417767803</v>
      </c>
      <c r="E43" s="497"/>
      <c r="F43" s="497"/>
    </row>
    <row r="44">
      <c r="A44" s="175" t="s">
        <v>127</v>
      </c>
      <c r="B44" s="180">
        <f>SUMIF('30 Year'!$B$1:$M$1,"&lt;="&amp;$G$3,'30 Year'!$B46:$M46)</f>
        <v>203696.5</v>
      </c>
      <c r="C44" s="503">
        <f>C20+C29+C34+C39+C43</f>
        <v>1135914</v>
      </c>
      <c r="D44" s="504">
        <f t="shared" si="6"/>
        <v>0.1793238749</v>
      </c>
      <c r="E44" s="181">
        <f t="shared" ref="E44:F44" si="7">SUM(E15:E43)</f>
        <v>-6385.833333</v>
      </c>
      <c r="F44" s="181">
        <f t="shared" si="7"/>
        <v>83830.6</v>
      </c>
    </row>
    <row r="45">
      <c r="A45" s="183" t="s">
        <v>128</v>
      </c>
      <c r="B45" s="505"/>
      <c r="C45" s="187"/>
      <c r="D45" s="506"/>
      <c r="E45" s="506"/>
      <c r="F45" s="506"/>
      <c r="G45" s="507">
        <f>HLOOKUP($G$3,'30 Year'!$R$1:$AC$47,47,false)</f>
        <v>731794.8667</v>
      </c>
      <c r="H45" s="10" t="s">
        <v>469</v>
      </c>
    </row>
    <row r="48">
      <c r="A48" s="508" t="s">
        <v>470</v>
      </c>
      <c r="B48" s="208"/>
      <c r="C48" s="208"/>
      <c r="D48" s="208"/>
      <c r="E48" s="208"/>
      <c r="F48" s="208"/>
      <c r="G48" s="10"/>
    </row>
    <row r="49">
      <c r="A49" s="509" t="str">
        <f>'30 Year'!Q53</f>
        <v>Asphalt Cracks &amp; Holes, Fill</v>
      </c>
      <c r="B49" s="78">
        <f>SUMIF('30 Year'!$R$1:$AC$1,"&lt;="&amp;$G$3,'30 Year'!$R$53:$AC$53)</f>
        <v>0</v>
      </c>
      <c r="C49" s="510">
        <f>'30 Year'!AE53</f>
        <v>48000</v>
      </c>
      <c r="D49" s="489">
        <f t="shared" ref="D49:D64" si="8">$B49/$C49</f>
        <v>0</v>
      </c>
      <c r="E49" s="208" t="str">
        <f>if('30 Year'!$AF53&lt;0,'30 Year'!$AF53," ")</f>
        <v> </v>
      </c>
      <c r="F49" s="208" t="str">
        <f>if('30 Year'!$AF53&lt;=0," ",'30 Year'!$AF53)</f>
        <v> </v>
      </c>
    </row>
    <row r="50">
      <c r="A50" s="509" t="str">
        <f>'30 Year'!Q55</f>
        <v>Landscaping, Wildfire Defensible Space</v>
      </c>
      <c r="B50" s="78">
        <f>SUMIF('30 Year'!$R$1:$AC$1,"&lt;="&amp;$G$3,'30 Year'!$R$53:$AC$53)</f>
        <v>0</v>
      </c>
      <c r="C50" s="510">
        <f>'30 Year'!AE55</f>
        <v>10000</v>
      </c>
      <c r="D50" s="489">
        <f t="shared" si="8"/>
        <v>0</v>
      </c>
      <c r="E50" s="208" t="str">
        <f>if('30 Year'!$AF55&lt;0,'30 Year'!$AF55," ")</f>
        <v> </v>
      </c>
      <c r="F50" s="208" t="str">
        <f>if('30 Year'!$AF55&lt;=0," ",'30 Year'!$AF55)</f>
        <v> </v>
      </c>
    </row>
    <row r="51">
      <c r="A51" s="509" t="str">
        <f>'30 Year'!Q56</f>
        <v>Chimney Chase Flashing &amp; Siding Repairs, 13 Bldgs</v>
      </c>
      <c r="B51" s="78">
        <f>SUMIF('30 Year'!$R$1:$AC$1,"&lt;="&amp;$G$3,'30 Year'!$R$53:$AC$53)</f>
        <v>0</v>
      </c>
      <c r="C51" s="510">
        <f>'30 Year'!AE56</f>
        <v>54348</v>
      </c>
      <c r="D51" s="489">
        <f t="shared" si="8"/>
        <v>0</v>
      </c>
      <c r="E51" s="208" t="str">
        <f>if('30 Year'!$AF56&lt;0,'30 Year'!$AF56," ")</f>
        <v> </v>
      </c>
      <c r="F51" s="208" t="str">
        <f>if('30 Year'!$AF56&lt;=0," ",'30 Year'!$AF56)</f>
        <v> </v>
      </c>
    </row>
    <row r="52">
      <c r="A52" s="509" t="str">
        <f>'30 Year'!Q57</f>
        <v>Roof Flashing Repairs, 13 Buildings</v>
      </c>
      <c r="B52" s="78">
        <f>SUMIF('30 Year'!$R$1:$AC$1,"&lt;="&amp;$G$3,'30 Year'!$R$53:$AC$53)</f>
        <v>0</v>
      </c>
      <c r="C52" s="510">
        <f>'30 Year'!AE57</f>
        <v>64835</v>
      </c>
      <c r="D52" s="489">
        <f t="shared" si="8"/>
        <v>0</v>
      </c>
      <c r="E52" s="208" t="str">
        <f>if('30 Year'!$AF57&lt;0,'30 Year'!$AF57," ")</f>
        <v> </v>
      </c>
      <c r="F52" s="208" t="str">
        <f>if('30 Year'!$AF57&lt;=0," ",'30 Year'!$AF57)</f>
        <v> </v>
      </c>
    </row>
    <row r="53">
      <c r="A53" s="509" t="str">
        <f>'30 Year'!Q58</f>
        <v>Chimney Chase Covers, 76 Covers</v>
      </c>
      <c r="B53" s="78">
        <f>SUMIF('30 Year'!$R$1:$AC$1,"&lt;="&amp;$G$3,'30 Year'!$R$53:$AC$53)</f>
        <v>0</v>
      </c>
      <c r="C53" s="510">
        <f>'30 Year'!AE58</f>
        <v>113697</v>
      </c>
      <c r="D53" s="489">
        <f t="shared" si="8"/>
        <v>0</v>
      </c>
      <c r="E53" s="208" t="str">
        <f>if('30 Year'!$AF58&lt;0,'30 Year'!$AF58," ")</f>
        <v> </v>
      </c>
      <c r="F53" s="208" t="str">
        <f>if('30 Year'!$AF58&lt;=0," ",'30 Year'!$AF58)</f>
        <v> </v>
      </c>
    </row>
    <row r="54">
      <c r="A54" s="509" t="str">
        <f>'30 Year'!Q62</f>
        <v>Paint 4 Full Buildings and Trim on 2 Stucco Buildings</v>
      </c>
      <c r="B54" s="78">
        <f>SUMIF('30 Year'!$R$1:$AC$1,"&lt;="&amp;$G$3,'30 Year'!$R$53:$AC$53)</f>
        <v>0</v>
      </c>
      <c r="C54" s="510">
        <f>'30 Year'!AE62</f>
        <v>187035</v>
      </c>
      <c r="D54" s="489">
        <f t="shared" si="8"/>
        <v>0</v>
      </c>
      <c r="E54" s="208" t="str">
        <f>if('30 Year'!$AF62&lt;0,'30 Year'!$AF62," ")</f>
        <v> </v>
      </c>
      <c r="F54" s="208" t="str">
        <f>if('30 Year'!$AF62&lt;=0," ",'30 Year'!$AF62)</f>
        <v> </v>
      </c>
    </row>
    <row r="55">
      <c r="A55" s="509" t="str">
        <f>'30 Year'!Q64</f>
        <v>Guardrails on the patio area next to the pool</v>
      </c>
      <c r="B55" s="78">
        <f>SUMIF('30 Year'!$R$1:$AC$1,"&lt;="&amp;$G$3,'30 Year'!$R$53:$AC$53)</f>
        <v>0</v>
      </c>
      <c r="C55" s="510">
        <f>'30 Year'!AE64</f>
        <v>17620</v>
      </c>
      <c r="D55" s="489">
        <f t="shared" si="8"/>
        <v>0</v>
      </c>
      <c r="E55" s="208" t="str">
        <f>if('30 Year'!$AF64&lt;0,'30 Year'!$AF64," ")</f>
        <v> </v>
      </c>
      <c r="F55" s="208" t="str">
        <f>if('30 Year'!$AF64&lt;=0," ",'30 Year'!$AF64)</f>
        <v> </v>
      </c>
    </row>
    <row r="56">
      <c r="A56" s="509" t="str">
        <f>'30 Year'!Q65</f>
        <v>Replace/Repair Skylights</v>
      </c>
      <c r="B56" s="78">
        <f>SUMIF('30 Year'!$R$1:$AC$1,"&lt;="&amp;$G$3,'30 Year'!$R$53:$AC$53)</f>
        <v>0</v>
      </c>
      <c r="C56" s="510">
        <f>'30 Year'!AE65</f>
        <v>5810</v>
      </c>
      <c r="D56" s="489">
        <f t="shared" si="8"/>
        <v>0</v>
      </c>
      <c r="E56" s="208" t="str">
        <f>if('30 Year'!$AF65&lt;0,'30 Year'!$AF65," ")</f>
        <v> </v>
      </c>
      <c r="F56" s="208" t="str">
        <f>if('30 Year'!$AF65&lt;=0," ",'30 Year'!$AF65)</f>
        <v> </v>
      </c>
    </row>
    <row r="57">
      <c r="A57" s="509" t="str">
        <f>'30 Year'!Q66</f>
        <v>Repair retaining wall by building 4</v>
      </c>
      <c r="B57" s="78">
        <f>SUMIF('30 Year'!$R$1:$AC$1,"&lt;="&amp;$G$3,'30 Year'!$R$53:$AC$53)</f>
        <v>0</v>
      </c>
      <c r="C57" s="510">
        <f>'30 Year'!AE66</f>
        <v>10170</v>
      </c>
      <c r="D57" s="489">
        <f t="shared" si="8"/>
        <v>0</v>
      </c>
      <c r="E57" s="208" t="str">
        <f>if('30 Year'!$AF66&lt;0,'30 Year'!$AF66," ")</f>
        <v> </v>
      </c>
      <c r="F57" s="208" t="str">
        <f>if('30 Year'!$AF66&lt;=0," ",'30 Year'!$AF66)</f>
        <v> </v>
      </c>
    </row>
    <row r="58">
      <c r="A58" s="509" t="str">
        <f>'30 Year'!Q67</f>
        <v>Townhouse Walls, Decks</v>
      </c>
      <c r="B58" s="78">
        <f>SUMIF('30 Year'!$R$1:$AC$1,"&lt;="&amp;$G$3,'30 Year'!$R$53:$AC$53)</f>
        <v>0</v>
      </c>
      <c r="C58" s="510">
        <f>'30 Year'!AE67</f>
        <v>48000</v>
      </c>
      <c r="D58" s="489">
        <f t="shared" si="8"/>
        <v>0</v>
      </c>
      <c r="E58" s="208" t="str">
        <f>if('30 Year'!$AF67&lt;0,'30 Year'!$AF67," ")</f>
        <v> </v>
      </c>
      <c r="F58" s="208" t="str">
        <f>if('30 Year'!$AF67&lt;=0," ",'30 Year'!$AF67)</f>
        <v> </v>
      </c>
    </row>
    <row r="59">
      <c r="A59" s="509" t="str">
        <f>'30 Year'!Q70</f>
        <v>Roof Inspection and Repair, All Bldgs</v>
      </c>
      <c r="B59" s="78">
        <f>SUMIF('30 Year'!$R$1:$AC$1,"&lt;="&amp;$G$3,'30 Year'!$R$53:$AC$53)</f>
        <v>0</v>
      </c>
      <c r="C59" s="510">
        <f>'30 Year'!AE70</f>
        <v>15041</v>
      </c>
      <c r="D59" s="489">
        <f t="shared" si="8"/>
        <v>0</v>
      </c>
      <c r="E59" s="208" t="str">
        <f>if('30 Year'!$AF70&lt;0,'30 Year'!$AF70," ")</f>
        <v> </v>
      </c>
      <c r="F59" s="208" t="str">
        <f>if('30 Year'!$AF70&lt;=0," ",'30 Year'!$AF70)</f>
        <v> </v>
      </c>
    </row>
    <row r="60">
      <c r="A60" s="509" t="str">
        <f>'30 Year'!Q71</f>
        <v>Sidewalks, Replace Concrete</v>
      </c>
      <c r="B60" s="78">
        <f>SUMIF('30 Year'!$R$1:$AC$1,"&lt;="&amp;$G$3,'30 Year'!$R$53:$AC$53)</f>
        <v>0</v>
      </c>
      <c r="C60" s="510">
        <f>'30 Year'!AE71</f>
        <v>6000</v>
      </c>
      <c r="D60" s="489">
        <f t="shared" si="8"/>
        <v>0</v>
      </c>
      <c r="E60" s="208" t="str">
        <f>if('30 Year'!$AF71&lt;0,'30 Year'!$AF71," ")</f>
        <v> </v>
      </c>
      <c r="F60" s="208" t="str">
        <f>if('30 Year'!$AF71&lt;=0," ",'30 Year'!$AF71)</f>
        <v> </v>
      </c>
    </row>
    <row r="61">
      <c r="A61" s="509" t="str">
        <f>'30 Year'!Q72</f>
        <v>Gutter work, Bldg 13</v>
      </c>
      <c r="B61" s="78">
        <f>SUMIF('30 Year'!$R$1:$AC$1,"&lt;="&amp;$G$3,'30 Year'!$R$53:$AC$53)</f>
        <v>0</v>
      </c>
      <c r="C61" s="510">
        <f>'30 Year'!AE72</f>
        <v>25000</v>
      </c>
      <c r="D61" s="489">
        <f t="shared" si="8"/>
        <v>0</v>
      </c>
      <c r="E61" s="208" t="str">
        <f>if('30 Year'!$AF72&lt;0,'30 Year'!$AF72," ")</f>
        <v> </v>
      </c>
      <c r="F61" s="208" t="str">
        <f>if('30 Year'!$AF72&lt;=0," ",'30 Year'!$AF72)</f>
        <v> </v>
      </c>
    </row>
    <row r="62">
      <c r="A62" s="509" t="str">
        <f>'30 Year'!Q74</f>
        <v>Tree Removal &amp; Grind, 15 Small Trees</v>
      </c>
      <c r="B62" s="78">
        <f>SUMIF('30 Year'!$R$1:$AC$1,"&lt;="&amp;$G$3,'30 Year'!$R$53:$AC$53)</f>
        <v>0</v>
      </c>
      <c r="C62" s="510">
        <f>'30 Year'!AE74</f>
        <v>15605</v>
      </c>
      <c r="D62" s="489">
        <f t="shared" si="8"/>
        <v>0</v>
      </c>
      <c r="E62" s="208" t="str">
        <f>if('30 Year'!$AF74&lt;0,'30 Year'!$AF74," ")</f>
        <v> </v>
      </c>
      <c r="F62" s="208" t="str">
        <f>if('30 Year'!$AF74&lt;=0," ",'30 Year'!$AF74)</f>
        <v> </v>
      </c>
    </row>
    <row r="63">
      <c r="A63" s="509" t="str">
        <f>'30 Year'!Q75</f>
        <v>Stairwell Guardrail, Replace on Unit 420</v>
      </c>
      <c r="B63" s="78">
        <f>SUMIF('30 Year'!$R$1:$AC$1,"&lt;="&amp;$G$3,'30 Year'!$R$53:$AC$53)</f>
        <v>0</v>
      </c>
      <c r="C63" s="510">
        <f>'30 Year'!AE75</f>
        <v>4191</v>
      </c>
      <c r="D63" s="489">
        <f t="shared" si="8"/>
        <v>0</v>
      </c>
      <c r="E63" s="208" t="str">
        <f>if('30 Year'!$AF75&lt;0,'30 Year'!$AF75," ")</f>
        <v> </v>
      </c>
      <c r="F63" s="208" t="str">
        <f>if('30 Year'!$AF75&lt;=0," ",'30 Year'!$AF75)</f>
        <v> </v>
      </c>
    </row>
    <row r="64">
      <c r="A64" s="509" t="str">
        <f>'30 Year'!Q76</f>
        <v>Balcony and Stairwell Repairs, 41 Treads</v>
      </c>
      <c r="B64" s="78">
        <f>SUMIF('30 Year'!$R$1:$AC$1,"&lt;="&amp;$G$3,'30 Year'!$R$53:$AC$53)</f>
        <v>0</v>
      </c>
      <c r="C64" s="510">
        <f>'30 Year'!AE76</f>
        <v>23173</v>
      </c>
      <c r="D64" s="489">
        <f t="shared" si="8"/>
        <v>0</v>
      </c>
      <c r="E64" s="208" t="str">
        <f>if('30 Year'!$AF76&lt;0,'30 Year'!$AF76," ")</f>
        <v> </v>
      </c>
      <c r="F64" s="208" t="str">
        <f>if('30 Year'!$AF76&lt;=0," ",'30 Year'!$AF76)</f>
        <v> </v>
      </c>
    </row>
    <row r="65">
      <c r="A65" s="511" t="s">
        <v>205</v>
      </c>
      <c r="B65" s="331">
        <f t="shared" ref="B65:F65" si="9">SUM(B49:B64)</f>
        <v>0</v>
      </c>
      <c r="C65" s="331">
        <f t="shared" si="9"/>
        <v>648525</v>
      </c>
      <c r="D65" s="512">
        <f t="shared" si="9"/>
        <v>0</v>
      </c>
      <c r="E65" s="513">
        <f t="shared" si="9"/>
        <v>0</v>
      </c>
      <c r="F65" s="513">
        <f t="shared" si="9"/>
        <v>0</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56.1"/>
    <col customWidth="1" min="2" max="2" width="12.5"/>
    <col customWidth="1" min="3" max="3" width="12.7"/>
  </cols>
  <sheetData>
    <row r="1">
      <c r="A1" s="1" t="s">
        <v>471</v>
      </c>
    </row>
    <row r="2">
      <c r="A2" s="10"/>
    </row>
    <row r="3">
      <c r="A3" s="514" t="s">
        <v>472</v>
      </c>
      <c r="B3" s="515"/>
      <c r="C3" s="516">
        <f>'30 Year'!$R$9</f>
        <v>607915.91</v>
      </c>
    </row>
    <row r="4">
      <c r="A4" s="13"/>
      <c r="B4" s="13"/>
      <c r="C4" s="13"/>
    </row>
    <row r="5">
      <c r="A5" s="13"/>
      <c r="B5" s="13"/>
      <c r="C5" s="13"/>
    </row>
    <row r="6">
      <c r="A6" s="514" t="s">
        <v>89</v>
      </c>
      <c r="B6" s="517"/>
      <c r="C6" s="515"/>
    </row>
    <row r="7">
      <c r="A7" s="518" t="s">
        <v>473</v>
      </c>
      <c r="B7" s="515"/>
      <c r="C7" s="373">
        <f>138*'30 Year'!$R$49*12</f>
        <v>703800</v>
      </c>
    </row>
    <row r="8">
      <c r="A8" s="518" t="s">
        <v>474</v>
      </c>
      <c r="B8" s="515"/>
      <c r="C8" s="373">
        <f>'30 Year'!AE13</f>
        <v>30000</v>
      </c>
    </row>
    <row r="9">
      <c r="A9" s="518" t="s">
        <v>475</v>
      </c>
      <c r="B9" s="515"/>
      <c r="C9" s="373">
        <f>'30 Year'!AE11</f>
        <v>5300</v>
      </c>
    </row>
    <row r="10">
      <c r="A10" s="518" t="s">
        <v>476</v>
      </c>
      <c r="B10" s="515"/>
      <c r="C10" s="373">
        <f>'30 Year'!$AE$14</f>
        <v>2100</v>
      </c>
    </row>
    <row r="11">
      <c r="A11" s="518" t="s">
        <v>477</v>
      </c>
      <c r="B11" s="515"/>
      <c r="C11" s="373">
        <f>'30 Year'!AE15</f>
        <v>0</v>
      </c>
    </row>
    <row r="12">
      <c r="A12" s="518" t="s">
        <v>478</v>
      </c>
      <c r="B12" s="515"/>
      <c r="C12" s="373">
        <f>138*'30 Year'!AE48*12</f>
        <v>0</v>
      </c>
    </row>
    <row r="13">
      <c r="A13" s="514" t="s">
        <v>95</v>
      </c>
      <c r="B13" s="515"/>
      <c r="C13" s="519">
        <f>SUM(C7:C12)</f>
        <v>741200</v>
      </c>
    </row>
    <row r="14">
      <c r="A14" s="10"/>
    </row>
    <row r="15">
      <c r="A15" s="514" t="s">
        <v>96</v>
      </c>
      <c r="B15" s="517"/>
      <c r="C15" s="515"/>
    </row>
    <row r="16">
      <c r="A16" s="514" t="s">
        <v>97</v>
      </c>
      <c r="B16" s="515"/>
      <c r="C16" s="519">
        <f>SUM(B17:B19)</f>
        <v>112216</v>
      </c>
    </row>
    <row r="17">
      <c r="A17" s="520" t="s">
        <v>479</v>
      </c>
      <c r="B17" s="373">
        <f>'30 Year'!AE19</f>
        <v>6824</v>
      </c>
      <c r="C17" s="521"/>
    </row>
    <row r="18">
      <c r="A18" s="520" t="s">
        <v>480</v>
      </c>
      <c r="B18" s="373">
        <f>'30 Year'!AE20</f>
        <v>95097</v>
      </c>
      <c r="C18" s="522"/>
    </row>
    <row r="19">
      <c r="A19" s="520" t="s">
        <v>481</v>
      </c>
      <c r="B19" s="373">
        <f>'30 Year'!AE21</f>
        <v>10295</v>
      </c>
      <c r="C19" s="523"/>
    </row>
    <row r="20">
      <c r="A20" s="514" t="s">
        <v>103</v>
      </c>
      <c r="B20" s="515"/>
      <c r="C20" s="519">
        <f>SUM(B21:B26)</f>
        <v>165362</v>
      </c>
    </row>
    <row r="21">
      <c r="A21" s="520" t="s">
        <v>482</v>
      </c>
      <c r="B21" s="373">
        <f>'30 Year'!AE24</f>
        <v>1969</v>
      </c>
      <c r="C21" s="521"/>
    </row>
    <row r="22">
      <c r="A22" s="520" t="s">
        <v>107</v>
      </c>
      <c r="B22" s="373">
        <f>'30 Year'!AE25</f>
        <v>61874</v>
      </c>
      <c r="C22" s="522"/>
    </row>
    <row r="23">
      <c r="A23" s="142" t="s">
        <v>109</v>
      </c>
      <c r="B23" s="373">
        <f>'30 Year'!AE26</f>
        <v>71892</v>
      </c>
      <c r="C23" s="522"/>
    </row>
    <row r="24">
      <c r="A24" s="520" t="s">
        <v>483</v>
      </c>
      <c r="B24" s="373">
        <f>'30 Year'!AE28</f>
        <v>8850</v>
      </c>
      <c r="C24" s="522"/>
    </row>
    <row r="25">
      <c r="A25" s="520" t="s">
        <v>484</v>
      </c>
      <c r="B25" s="373">
        <f>'30 Year'!AE29</f>
        <v>1538</v>
      </c>
      <c r="C25" s="522"/>
    </row>
    <row r="26">
      <c r="A26" s="520" t="s">
        <v>485</v>
      </c>
      <c r="B26" s="373">
        <f>'30 Year'!AE30</f>
        <v>19239</v>
      </c>
      <c r="C26" s="523"/>
    </row>
    <row r="27">
      <c r="A27" s="514" t="s">
        <v>486</v>
      </c>
      <c r="B27" s="515"/>
      <c r="C27" s="519">
        <f>SUM(B28:B29)</f>
        <v>53658</v>
      </c>
    </row>
    <row r="28">
      <c r="A28" s="520" t="s">
        <v>487</v>
      </c>
      <c r="B28" s="373">
        <f>'30 Year'!AE33</f>
        <v>49400</v>
      </c>
      <c r="C28" s="521"/>
    </row>
    <row r="29">
      <c r="A29" s="520" t="s">
        <v>119</v>
      </c>
      <c r="B29" s="373">
        <f>'30 Year'!AE35</f>
        <v>4258</v>
      </c>
      <c r="C29" s="523"/>
    </row>
    <row r="30">
      <c r="A30" s="514" t="s">
        <v>120</v>
      </c>
      <c r="B30" s="515"/>
      <c r="C30" s="519">
        <f>SUM(B31:B33)</f>
        <v>1540</v>
      </c>
    </row>
    <row r="31">
      <c r="A31" s="520" t="s">
        <v>488</v>
      </c>
      <c r="B31" s="373">
        <f>'30 Year'!AE38</f>
        <v>1306</v>
      </c>
      <c r="C31" s="521"/>
    </row>
    <row r="32">
      <c r="A32" s="520" t="s">
        <v>122</v>
      </c>
      <c r="B32" s="373">
        <f>'30 Year'!AE39</f>
        <v>149</v>
      </c>
      <c r="C32" s="522"/>
    </row>
    <row r="33">
      <c r="A33" s="520" t="s">
        <v>123</v>
      </c>
      <c r="B33" s="373">
        <f>'30 Year'!AE40</f>
        <v>85</v>
      </c>
      <c r="C33" s="523"/>
    </row>
    <row r="34">
      <c r="A34" s="514" t="s">
        <v>124</v>
      </c>
      <c r="B34" s="515"/>
      <c r="C34" s="519">
        <f>SUM(B35:B36)</f>
        <v>154613</v>
      </c>
    </row>
    <row r="35">
      <c r="A35" s="520" t="s">
        <v>489</v>
      </c>
      <c r="B35" s="373">
        <f>'30 Year'!AE43</f>
        <v>150000</v>
      </c>
      <c r="C35" s="521"/>
    </row>
    <row r="36">
      <c r="A36" s="520" t="s">
        <v>490</v>
      </c>
      <c r="B36" s="373">
        <f>'30 Year'!AE44</f>
        <v>4613</v>
      </c>
      <c r="C36" s="523"/>
    </row>
    <row r="37">
      <c r="A37" s="514" t="s">
        <v>491</v>
      </c>
      <c r="B37" s="515"/>
      <c r="C37" s="524">
        <f>'30 Year'!AD27</f>
        <v>648525</v>
      </c>
    </row>
    <row r="38">
      <c r="A38" s="514" t="s">
        <v>127</v>
      </c>
      <c r="B38" s="515"/>
      <c r="C38" s="519">
        <f>SUM(C16:C37)</f>
        <v>1135914</v>
      </c>
    </row>
    <row r="39">
      <c r="A39" s="10"/>
    </row>
    <row r="40">
      <c r="A40" s="10"/>
    </row>
    <row r="41">
      <c r="A41" s="514" t="s">
        <v>492</v>
      </c>
      <c r="B41" s="515"/>
      <c r="C41" s="516">
        <f>'30 Year'!AE47</f>
        <v>235497</v>
      </c>
    </row>
    <row r="42">
      <c r="A42" s="13"/>
      <c r="B42" s="13"/>
      <c r="C42" s="525"/>
    </row>
    <row r="43">
      <c r="A43" s="13"/>
      <c r="B43" s="13"/>
      <c r="C43" s="525"/>
    </row>
    <row r="44">
      <c r="A44" s="514" t="s">
        <v>493</v>
      </c>
      <c r="B44" s="515"/>
      <c r="C44" s="516">
        <f>SUM(B45:B46)</f>
        <v>425</v>
      </c>
    </row>
    <row r="45">
      <c r="A45" s="520" t="s">
        <v>494</v>
      </c>
      <c r="B45" s="373">
        <f>'30 Year'!$R$49</f>
        <v>425</v>
      </c>
      <c r="C45" s="521"/>
    </row>
    <row r="46">
      <c r="A46" s="520" t="s">
        <v>495</v>
      </c>
      <c r="B46" s="373">
        <f>'30 Year'!R50</f>
        <v>0</v>
      </c>
      <c r="C46" s="523"/>
    </row>
    <row r="54">
      <c r="A54" s="4"/>
    </row>
    <row r="60">
      <c r="A60" s="4"/>
    </row>
    <row r="69">
      <c r="A69" s="4"/>
    </row>
    <row r="74">
      <c r="A74" s="4"/>
    </row>
    <row r="80">
      <c r="A80" s="4"/>
    </row>
    <row r="85">
      <c r="A85" s="4"/>
    </row>
    <row r="91">
      <c r="A91" s="4"/>
    </row>
  </sheetData>
  <mergeCells count="26">
    <mergeCell ref="A1:C1"/>
    <mergeCell ref="A3:B3"/>
    <mergeCell ref="A6:C6"/>
    <mergeCell ref="A7:B7"/>
    <mergeCell ref="A8:B8"/>
    <mergeCell ref="A9:B9"/>
    <mergeCell ref="A10:B10"/>
    <mergeCell ref="A20:B20"/>
    <mergeCell ref="A27:B27"/>
    <mergeCell ref="A11:B11"/>
    <mergeCell ref="A12:B12"/>
    <mergeCell ref="A13:B13"/>
    <mergeCell ref="A15:C15"/>
    <mergeCell ref="A16:B16"/>
    <mergeCell ref="C17:C19"/>
    <mergeCell ref="C21:C26"/>
    <mergeCell ref="A41:B41"/>
    <mergeCell ref="A44:B44"/>
    <mergeCell ref="C45:C46"/>
    <mergeCell ref="C28:C29"/>
    <mergeCell ref="A30:B30"/>
    <mergeCell ref="C31:C33"/>
    <mergeCell ref="A34:B34"/>
    <mergeCell ref="C35:C36"/>
    <mergeCell ref="A37:B37"/>
    <mergeCell ref="A38:B38"/>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0.6"/>
    <col customWidth="1" min="2" max="2" width="41.1"/>
    <col customWidth="1" min="3" max="3" width="10.1"/>
    <col customWidth="1" min="5" max="5" width="25.5"/>
  </cols>
  <sheetData>
    <row r="1">
      <c r="A1" s="1" t="s">
        <v>496</v>
      </c>
    </row>
    <row r="3">
      <c r="A3" s="526" t="s">
        <v>497</v>
      </c>
      <c r="B3" s="514" t="s">
        <v>498</v>
      </c>
      <c r="C3" s="527"/>
      <c r="D3" s="528">
        <f>SUM(C4:C19)</f>
        <v>648525</v>
      </c>
      <c r="E3" s="10" t="s">
        <v>499</v>
      </c>
    </row>
    <row r="4">
      <c r="A4" s="526">
        <v>1.0</v>
      </c>
      <c r="B4" s="520" t="str">
        <f>'30 Year'!$Q62</f>
        <v>Paint 4 Full Buildings and Trim on 2 Stucco Buildings</v>
      </c>
      <c r="C4" s="529">
        <f>'30 Year'!$AD62</f>
        <v>187035</v>
      </c>
      <c r="D4" s="521"/>
    </row>
    <row r="5">
      <c r="A5" s="526">
        <v>2.0</v>
      </c>
      <c r="B5" s="520" t="str">
        <f>'30 Year'!$Q53</f>
        <v>Asphalt Cracks &amp; Holes, Fill</v>
      </c>
      <c r="C5" s="529">
        <f>'30 Year'!$AD53</f>
        <v>48000</v>
      </c>
      <c r="D5" s="530"/>
      <c r="E5" s="10" t="s">
        <v>500</v>
      </c>
    </row>
    <row r="6">
      <c r="A6" s="526">
        <v>3.0</v>
      </c>
      <c r="B6" s="520" t="str">
        <f>'30 Year'!$Q75</f>
        <v>Stairwell Guardrail, Replace on Unit 420</v>
      </c>
      <c r="C6" s="529">
        <f>'30 Year'!$AD75</f>
        <v>4191</v>
      </c>
      <c r="D6" s="530"/>
    </row>
    <row r="7">
      <c r="A7" s="526">
        <v>4.0</v>
      </c>
      <c r="B7" s="520" t="str">
        <f>'30 Year'!$Q76</f>
        <v>Balcony and Stairwell Repairs, 41 Treads</v>
      </c>
      <c r="C7" s="529">
        <f>'30 Year'!$AD76</f>
        <v>23173</v>
      </c>
      <c r="D7" s="530"/>
    </row>
    <row r="8">
      <c r="A8" s="526">
        <v>5.0</v>
      </c>
      <c r="B8" s="520" t="str">
        <f>'30 Year'!$Q64</f>
        <v>Guardrails on the patio area next to the pool</v>
      </c>
      <c r="C8" s="529">
        <f>'30 Year'!$AD64</f>
        <v>17620</v>
      </c>
      <c r="D8" s="530"/>
    </row>
    <row r="9">
      <c r="A9" s="526">
        <v>6.0</v>
      </c>
      <c r="B9" s="520" t="str">
        <f>'30 Year'!$Q55</f>
        <v>Landscaping, Wildfire Defensible Space</v>
      </c>
      <c r="C9" s="529">
        <f>'30 Year'!$AD55</f>
        <v>10000</v>
      </c>
      <c r="D9" s="530"/>
    </row>
    <row r="10">
      <c r="A10" s="526">
        <v>7.0</v>
      </c>
      <c r="B10" s="520" t="str">
        <f>'30 Year'!$Q56</f>
        <v>Chimney Chase Flashing &amp; Siding Repairs, 13 Bldgs</v>
      </c>
      <c r="C10" s="529">
        <f>'30 Year'!$AD56</f>
        <v>54348</v>
      </c>
      <c r="D10" s="530"/>
    </row>
    <row r="11">
      <c r="A11" s="526">
        <v>7.0</v>
      </c>
      <c r="B11" s="520" t="str">
        <f>'30 Year'!$Q57</f>
        <v>Roof Flashing Repairs, 13 Buildings</v>
      </c>
      <c r="C11" s="529">
        <f>'30 Year'!$AD57</f>
        <v>64835</v>
      </c>
      <c r="D11" s="530"/>
    </row>
    <row r="12">
      <c r="A12" s="526">
        <v>7.0</v>
      </c>
      <c r="B12" s="520" t="str">
        <f>'30 Year'!$Q58</f>
        <v>Chimney Chase Covers, 76 Covers</v>
      </c>
      <c r="C12" s="529">
        <f>'30 Year'!$AD58</f>
        <v>113697</v>
      </c>
      <c r="D12" s="530"/>
      <c r="E12" s="10" t="s">
        <v>501</v>
      </c>
    </row>
    <row r="13">
      <c r="A13" s="526">
        <v>8.0</v>
      </c>
      <c r="B13" s="520" t="str">
        <f>'30 Year'!$Q65</f>
        <v>Replace/Repair Skylights</v>
      </c>
      <c r="C13" s="529">
        <f>'30 Year'!$AD65</f>
        <v>5810</v>
      </c>
      <c r="D13" s="530"/>
    </row>
    <row r="14">
      <c r="A14" s="526">
        <v>9.0</v>
      </c>
      <c r="B14" s="520" t="str">
        <f>'30 Year'!$Q66</f>
        <v>Repair retaining wall by building 4</v>
      </c>
      <c r="C14" s="529">
        <f>'30 Year'!$AD66</f>
        <v>10170</v>
      </c>
      <c r="D14" s="530"/>
    </row>
    <row r="15">
      <c r="A15" s="526">
        <v>10.0</v>
      </c>
      <c r="B15" s="520" t="str">
        <f>'30 Year'!$Q67</f>
        <v>Townhouse Walls, Decks</v>
      </c>
      <c r="C15" s="529">
        <f>'30 Year'!$AD67</f>
        <v>48000</v>
      </c>
      <c r="D15" s="530"/>
    </row>
    <row r="16">
      <c r="A16" s="526">
        <v>11.0</v>
      </c>
      <c r="B16" s="520" t="str">
        <f>'30 Year'!$Q72</f>
        <v>Gutter work, Bldg 13</v>
      </c>
      <c r="C16" s="529">
        <f>'30 Year'!$AD72</f>
        <v>25000</v>
      </c>
      <c r="D16" s="530"/>
    </row>
    <row r="17">
      <c r="A17" s="526">
        <v>12.0</v>
      </c>
      <c r="B17" s="520" t="str">
        <f>'30 Year'!$Q71</f>
        <v>Sidewalks, Replace Concrete</v>
      </c>
      <c r="C17" s="529">
        <f>'30 Year'!$AD71</f>
        <v>6000</v>
      </c>
      <c r="D17" s="530"/>
    </row>
    <row r="18">
      <c r="A18" s="526">
        <v>13.0</v>
      </c>
      <c r="B18" s="520" t="str">
        <f>'30 Year'!$Q74</f>
        <v>Tree Removal &amp; Grind, 15 Small Trees</v>
      </c>
      <c r="C18" s="529">
        <f>'30 Year'!$AD74</f>
        <v>15605</v>
      </c>
      <c r="D18" s="530"/>
    </row>
    <row r="19">
      <c r="A19" s="526">
        <v>14.0</v>
      </c>
      <c r="B19" s="520" t="str">
        <f>'30 Year'!$Q70</f>
        <v>Roof Inspection and Repair, All Bldgs</v>
      </c>
      <c r="C19" s="529">
        <f>'30 Year'!$AD70</f>
        <v>15041</v>
      </c>
      <c r="D19" s="531"/>
    </row>
  </sheetData>
  <mergeCells count="1">
    <mergeCell ref="A1:C1"/>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0.1" defaultRowHeight="15.0"/>
  <cols>
    <col customWidth="1" min="2" max="2" width="6.8"/>
    <col customWidth="1" min="3" max="3" width="26.6"/>
    <col customWidth="1" min="4" max="4" width="2.5"/>
    <col customWidth="1" min="5" max="5" width="2.8"/>
    <col customWidth="1" min="6" max="6" width="11.0"/>
  </cols>
  <sheetData>
    <row r="1">
      <c r="A1" s="10"/>
      <c r="C1" s="10" t="s">
        <v>502</v>
      </c>
    </row>
    <row r="2">
      <c r="A2" s="10"/>
    </row>
    <row r="3">
      <c r="A3" s="10" t="s">
        <v>503</v>
      </c>
    </row>
    <row r="6">
      <c r="C6" s="10" t="s">
        <v>504</v>
      </c>
    </row>
    <row r="7">
      <c r="B7" s="532" t="s">
        <v>505</v>
      </c>
    </row>
    <row r="8">
      <c r="B8" s="532">
        <v>1.0</v>
      </c>
      <c r="C8" s="10" t="s">
        <v>506</v>
      </c>
    </row>
    <row r="9">
      <c r="B9" s="532">
        <v>2.0</v>
      </c>
      <c r="C9" s="10" t="s">
        <v>507</v>
      </c>
    </row>
    <row r="10">
      <c r="B10" s="532">
        <v>3.0</v>
      </c>
      <c r="C10" s="10" t="s">
        <v>508</v>
      </c>
      <c r="D10" s="12"/>
      <c r="E10" s="12"/>
    </row>
    <row r="11">
      <c r="B11" s="532">
        <v>4.0</v>
      </c>
      <c r="C11" s="10" t="s">
        <v>509</v>
      </c>
    </row>
    <row r="12">
      <c r="B12" s="532">
        <v>5.0</v>
      </c>
      <c r="C12" s="10" t="s">
        <v>510</v>
      </c>
    </row>
    <row r="13">
      <c r="B13" s="532">
        <v>6.0</v>
      </c>
      <c r="C13" s="10" t="s">
        <v>511</v>
      </c>
    </row>
    <row r="14">
      <c r="B14" s="532">
        <v>7.0</v>
      </c>
      <c r="C14" s="10" t="s">
        <v>512</v>
      </c>
    </row>
  </sheetData>
  <mergeCells count="1">
    <mergeCell ref="A3:F3"/>
  </mergeCells>
  <printOptions horizontalCentered="1"/>
  <pageMargins bottom="0.75" footer="0.0" header="0.0" left="0.7" right="0.7" top="0.75"/>
  <pageSetup cellComments="atEnd" orientation="portrait" pageOrder="overThenDow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8.7"/>
    <col customWidth="1" min="2" max="2" width="9.1"/>
    <col customWidth="1" min="3" max="3" width="9.3"/>
  </cols>
  <sheetData>
    <row r="1">
      <c r="B1" s="449" t="s">
        <v>513</v>
      </c>
    </row>
    <row r="2">
      <c r="A2" s="449" t="s">
        <v>514</v>
      </c>
      <c r="B2" s="450"/>
      <c r="C2" s="454"/>
    </row>
    <row r="3">
      <c r="A3" s="453"/>
      <c r="B3" s="450"/>
      <c r="C3" s="454"/>
    </row>
    <row r="4">
      <c r="A4" s="453" t="s">
        <v>384</v>
      </c>
      <c r="B4" s="450" t="s">
        <v>388</v>
      </c>
      <c r="C4" s="455" t="s">
        <v>393</v>
      </c>
    </row>
    <row r="5">
      <c r="A5" s="343">
        <v>1.0</v>
      </c>
      <c r="B5" s="354">
        <v>3.0</v>
      </c>
      <c r="C5" s="460">
        <v>6491.391459299999</v>
      </c>
    </row>
    <row r="6">
      <c r="A6" s="464">
        <v>2.0</v>
      </c>
      <c r="B6" s="354">
        <v>3.0</v>
      </c>
      <c r="C6" s="460">
        <v>6491.391459299999</v>
      </c>
    </row>
    <row r="7">
      <c r="A7" s="464">
        <v>3.0</v>
      </c>
      <c r="B7" s="354">
        <v>3.0</v>
      </c>
      <c r="C7" s="460">
        <v>12021.095295</v>
      </c>
    </row>
    <row r="8">
      <c r="A8" s="464">
        <v>4.0</v>
      </c>
      <c r="B8" s="354">
        <v>3.0</v>
      </c>
      <c r="C8" s="460">
        <v>15418.459049399997</v>
      </c>
    </row>
    <row r="9">
      <c r="A9" s="343">
        <v>5.0</v>
      </c>
      <c r="B9" s="354">
        <v>3.0</v>
      </c>
      <c r="C9" s="460">
        <v>11908.748609999999</v>
      </c>
    </row>
    <row r="10">
      <c r="A10" s="343">
        <v>6.0</v>
      </c>
      <c r="B10" s="354">
        <v>3.0</v>
      </c>
      <c r="C10" s="460">
        <v>7513.746292799999</v>
      </c>
    </row>
    <row r="11">
      <c r="A11" s="343">
        <v>7.0</v>
      </c>
      <c r="B11" s="354">
        <v>3.0</v>
      </c>
      <c r="C11" s="460">
        <v>7513.746292799999</v>
      </c>
    </row>
    <row r="12">
      <c r="A12" s="343">
        <v>8.0</v>
      </c>
      <c r="B12" s="354">
        <v>3.0</v>
      </c>
      <c r="C12" s="460">
        <v>11908.748609999999</v>
      </c>
    </row>
    <row r="13">
      <c r="A13" s="343">
        <v>9.0</v>
      </c>
      <c r="B13" s="354">
        <v>2.0</v>
      </c>
      <c r="C13" s="460">
        <v>7118.285961599999</v>
      </c>
    </row>
    <row r="14">
      <c r="A14" s="343">
        <v>10.0</v>
      </c>
      <c r="B14" s="354">
        <v>3.0</v>
      </c>
      <c r="C14" s="460">
        <v>4887.080797499999</v>
      </c>
    </row>
    <row r="15">
      <c r="A15" s="343">
        <v>11.0</v>
      </c>
      <c r="B15" s="354">
        <v>2.0</v>
      </c>
      <c r="C15" s="460">
        <v>7118.285961599999</v>
      </c>
    </row>
    <row r="16">
      <c r="A16" s="343">
        <v>12.0</v>
      </c>
      <c r="B16" s="354">
        <v>3.0</v>
      </c>
      <c r="C16" s="460">
        <v>5999.312978999999</v>
      </c>
    </row>
    <row r="17">
      <c r="A17" s="343">
        <v>13.0</v>
      </c>
      <c r="B17" s="354">
        <v>3.0</v>
      </c>
      <c r="C17" s="460">
        <v>6024.029249699999</v>
      </c>
    </row>
    <row r="18">
      <c r="A18" s="533" t="s">
        <v>515</v>
      </c>
      <c r="B18" s="354">
        <v>2.0</v>
      </c>
      <c r="C18" s="460">
        <v>4720.807703699999</v>
      </c>
    </row>
    <row r="19">
      <c r="A19" s="203"/>
      <c r="B19" s="467"/>
      <c r="C19" s="468">
        <v>115135.1297217</v>
      </c>
    </row>
  </sheetData>
  <mergeCells count="1">
    <mergeCell ref="B1:C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65.1"/>
    <col customWidth="1" min="2" max="6" width="10.1"/>
  </cols>
  <sheetData>
    <row r="1">
      <c r="A1" s="534" t="s">
        <v>516</v>
      </c>
      <c r="B1" s="534" t="s">
        <v>517</v>
      </c>
      <c r="C1" s="534" t="s">
        <v>518</v>
      </c>
      <c r="D1" s="534" t="s">
        <v>519</v>
      </c>
      <c r="E1" s="534" t="s">
        <v>520</v>
      </c>
      <c r="F1" s="535"/>
      <c r="G1" s="536"/>
      <c r="H1" s="537"/>
      <c r="I1" s="537"/>
      <c r="J1" s="537"/>
      <c r="K1" s="537"/>
      <c r="L1" s="537"/>
      <c r="M1" s="537"/>
      <c r="N1" s="537"/>
      <c r="O1" s="537"/>
      <c r="P1" s="537"/>
      <c r="Q1" s="537"/>
      <c r="R1" s="537"/>
      <c r="S1" s="537"/>
      <c r="T1" s="537"/>
      <c r="U1" s="537"/>
      <c r="V1" s="537"/>
      <c r="W1" s="537"/>
      <c r="X1" s="537"/>
      <c r="Y1" s="537"/>
      <c r="Z1" s="537"/>
    </row>
    <row r="2">
      <c r="A2" s="535" t="s">
        <v>521</v>
      </c>
      <c r="B2" s="538">
        <v>88300.0</v>
      </c>
      <c r="C2" s="534" t="s">
        <v>522</v>
      </c>
      <c r="D2" s="539" t="s">
        <v>523</v>
      </c>
      <c r="E2" s="535"/>
      <c r="F2" s="535"/>
      <c r="G2" s="536"/>
      <c r="H2" s="537"/>
      <c r="I2" s="537"/>
      <c r="J2" s="537"/>
      <c r="K2" s="537"/>
      <c r="L2" s="537"/>
      <c r="M2" s="537"/>
      <c r="N2" s="537"/>
      <c r="O2" s="537"/>
      <c r="P2" s="537"/>
      <c r="Q2" s="537"/>
      <c r="R2" s="537"/>
      <c r="S2" s="537"/>
      <c r="T2" s="537"/>
      <c r="U2" s="537"/>
      <c r="V2" s="537"/>
      <c r="W2" s="537"/>
      <c r="X2" s="537"/>
      <c r="Y2" s="537"/>
      <c r="Z2" s="537"/>
    </row>
    <row r="3">
      <c r="A3" s="535" t="s">
        <v>524</v>
      </c>
      <c r="B3" s="538">
        <v>35.0</v>
      </c>
      <c r="C3" s="534" t="s">
        <v>525</v>
      </c>
      <c r="D3" s="535" t="s">
        <v>526</v>
      </c>
      <c r="E3" s="535"/>
      <c r="F3" s="535"/>
      <c r="G3" s="536"/>
      <c r="H3" s="537"/>
      <c r="I3" s="537"/>
      <c r="J3" s="537"/>
      <c r="K3" s="537"/>
      <c r="L3" s="537"/>
      <c r="M3" s="537"/>
      <c r="N3" s="537"/>
      <c r="O3" s="537"/>
      <c r="P3" s="537"/>
      <c r="Q3" s="537"/>
      <c r="R3" s="537"/>
      <c r="S3" s="537"/>
      <c r="T3" s="537"/>
      <c r="U3" s="537"/>
      <c r="V3" s="537"/>
      <c r="W3" s="537"/>
      <c r="X3" s="537"/>
      <c r="Y3" s="537"/>
      <c r="Z3" s="537"/>
    </row>
    <row r="4">
      <c r="A4" s="535" t="s">
        <v>527</v>
      </c>
      <c r="B4" s="538">
        <v>155.0</v>
      </c>
      <c r="C4" s="534" t="s">
        <v>525</v>
      </c>
      <c r="D4" s="535" t="s">
        <v>528</v>
      </c>
      <c r="E4" s="535"/>
      <c r="F4" s="535"/>
      <c r="G4" s="536"/>
      <c r="H4" s="537"/>
      <c r="I4" s="537"/>
      <c r="J4" s="537"/>
      <c r="K4" s="537"/>
      <c r="L4" s="537"/>
      <c r="M4" s="537"/>
      <c r="N4" s="537"/>
      <c r="O4" s="537"/>
      <c r="P4" s="537"/>
      <c r="Q4" s="537"/>
      <c r="R4" s="537"/>
      <c r="S4" s="537"/>
      <c r="T4" s="537"/>
      <c r="U4" s="537"/>
      <c r="V4" s="537"/>
      <c r="W4" s="537"/>
      <c r="X4" s="537"/>
      <c r="Y4" s="537"/>
      <c r="Z4" s="537"/>
    </row>
    <row r="5">
      <c r="A5" s="535" t="s">
        <v>529</v>
      </c>
      <c r="B5" s="538">
        <v>35.0</v>
      </c>
      <c r="C5" s="534" t="s">
        <v>525</v>
      </c>
      <c r="D5" s="535" t="s">
        <v>526</v>
      </c>
      <c r="E5" s="535"/>
      <c r="F5" s="535"/>
      <c r="G5" s="536"/>
      <c r="H5" s="537"/>
      <c r="I5" s="537"/>
      <c r="J5" s="537"/>
      <c r="K5" s="537"/>
      <c r="L5" s="537"/>
      <c r="M5" s="537"/>
      <c r="N5" s="537"/>
      <c r="O5" s="537"/>
      <c r="P5" s="537"/>
      <c r="Q5" s="537"/>
      <c r="R5" s="537"/>
      <c r="S5" s="537"/>
      <c r="T5" s="537"/>
      <c r="U5" s="537"/>
      <c r="V5" s="537"/>
      <c r="W5" s="537"/>
      <c r="X5" s="537"/>
      <c r="Y5" s="537"/>
      <c r="Z5" s="537"/>
    </row>
    <row r="6">
      <c r="A6" s="535" t="s">
        <v>530</v>
      </c>
      <c r="B6" s="538">
        <v>1500.0</v>
      </c>
      <c r="C6" s="534" t="s">
        <v>522</v>
      </c>
      <c r="D6" s="535" t="s">
        <v>531</v>
      </c>
      <c r="E6" s="535"/>
      <c r="F6" s="535"/>
      <c r="G6" s="536"/>
      <c r="H6" s="537"/>
      <c r="I6" s="537"/>
      <c r="J6" s="537"/>
      <c r="K6" s="537"/>
      <c r="L6" s="537"/>
      <c r="M6" s="537"/>
      <c r="N6" s="537"/>
      <c r="O6" s="537"/>
      <c r="P6" s="537"/>
      <c r="Q6" s="537"/>
      <c r="R6" s="537"/>
      <c r="S6" s="537"/>
      <c r="T6" s="537"/>
      <c r="U6" s="537"/>
      <c r="V6" s="537"/>
      <c r="W6" s="537"/>
      <c r="X6" s="537"/>
      <c r="Y6" s="537"/>
      <c r="Z6" s="537"/>
    </row>
    <row r="7">
      <c r="A7" s="535" t="s">
        <v>532</v>
      </c>
      <c r="B7" s="540">
        <v>6000.0</v>
      </c>
      <c r="C7" s="534" t="s">
        <v>525</v>
      </c>
      <c r="D7" s="539" t="s">
        <v>533</v>
      </c>
      <c r="E7" s="535"/>
      <c r="F7" s="535"/>
      <c r="G7" s="536"/>
      <c r="H7" s="537"/>
      <c r="I7" s="537"/>
      <c r="J7" s="537"/>
      <c r="K7" s="537"/>
      <c r="L7" s="537"/>
      <c r="M7" s="537"/>
      <c r="N7" s="537"/>
      <c r="O7" s="537"/>
      <c r="P7" s="537"/>
      <c r="Q7" s="537"/>
      <c r="R7" s="537"/>
      <c r="S7" s="537"/>
      <c r="T7" s="537"/>
      <c r="U7" s="537"/>
      <c r="V7" s="537"/>
      <c r="W7" s="537"/>
      <c r="X7" s="537"/>
      <c r="Y7" s="537"/>
      <c r="Z7" s="537"/>
    </row>
    <row r="8">
      <c r="A8" s="535" t="s">
        <v>534</v>
      </c>
      <c r="B8" s="538">
        <v>20000.0</v>
      </c>
      <c r="C8" s="534" t="s">
        <v>525</v>
      </c>
      <c r="D8" s="535" t="s">
        <v>535</v>
      </c>
      <c r="E8" s="535"/>
      <c r="F8" s="535"/>
      <c r="G8" s="536"/>
      <c r="H8" s="537"/>
      <c r="I8" s="537"/>
      <c r="J8" s="537"/>
      <c r="K8" s="537"/>
      <c r="L8" s="537"/>
      <c r="M8" s="537"/>
      <c r="N8" s="537"/>
      <c r="O8" s="537"/>
      <c r="P8" s="537"/>
      <c r="Q8" s="537"/>
      <c r="R8" s="537"/>
      <c r="S8" s="537"/>
      <c r="T8" s="537"/>
      <c r="U8" s="537"/>
      <c r="V8" s="537"/>
      <c r="W8" s="537"/>
      <c r="X8" s="537"/>
      <c r="Y8" s="537"/>
      <c r="Z8" s="537"/>
    </row>
    <row r="9">
      <c r="A9" s="535" t="s">
        <v>536</v>
      </c>
      <c r="B9" s="541"/>
      <c r="C9" s="534" t="s">
        <v>537</v>
      </c>
      <c r="D9" s="539" t="s">
        <v>538</v>
      </c>
      <c r="E9" s="535"/>
      <c r="F9" s="535"/>
      <c r="G9" s="536"/>
      <c r="H9" s="537"/>
      <c r="I9" s="537"/>
      <c r="J9" s="537"/>
      <c r="K9" s="537"/>
      <c r="L9" s="537"/>
      <c r="M9" s="537"/>
      <c r="N9" s="537"/>
      <c r="O9" s="537"/>
      <c r="P9" s="537"/>
      <c r="Q9" s="537"/>
      <c r="R9" s="537"/>
      <c r="S9" s="537"/>
      <c r="T9" s="537"/>
      <c r="U9" s="537"/>
      <c r="V9" s="537"/>
      <c r="W9" s="537"/>
      <c r="X9" s="537"/>
      <c r="Y9" s="537"/>
      <c r="Z9" s="537"/>
    </row>
    <row r="10">
      <c r="A10" s="535" t="s">
        <v>539</v>
      </c>
      <c r="B10" s="540">
        <v>10000.0</v>
      </c>
      <c r="C10" s="534" t="s">
        <v>537</v>
      </c>
      <c r="D10" s="542" t="s">
        <v>540</v>
      </c>
      <c r="E10" s="535"/>
      <c r="F10" s="535"/>
      <c r="G10" s="536"/>
      <c r="H10" s="537"/>
      <c r="I10" s="537"/>
      <c r="J10" s="537"/>
      <c r="K10" s="537"/>
      <c r="L10" s="537"/>
      <c r="M10" s="537"/>
      <c r="N10" s="537"/>
      <c r="O10" s="537"/>
      <c r="P10" s="537"/>
      <c r="Q10" s="537"/>
      <c r="R10" s="537"/>
      <c r="S10" s="537"/>
      <c r="T10" s="537"/>
      <c r="U10" s="537"/>
      <c r="V10" s="537"/>
      <c r="W10" s="537"/>
      <c r="X10" s="537"/>
      <c r="Y10" s="537"/>
      <c r="Z10" s="537"/>
    </row>
    <row r="11">
      <c r="A11" s="535" t="s">
        <v>541</v>
      </c>
      <c r="B11" s="540">
        <v>12500.0</v>
      </c>
      <c r="C11" s="534" t="s">
        <v>525</v>
      </c>
      <c r="D11" s="539" t="s">
        <v>542</v>
      </c>
      <c r="E11" s="543" t="s">
        <v>543</v>
      </c>
      <c r="F11" s="535"/>
      <c r="G11" s="536"/>
      <c r="H11" s="537"/>
      <c r="I11" s="537"/>
      <c r="J11" s="537"/>
      <c r="K11" s="537"/>
      <c r="L11" s="537"/>
      <c r="M11" s="537"/>
      <c r="N11" s="537"/>
      <c r="O11" s="537"/>
      <c r="P11" s="537"/>
      <c r="Q11" s="537"/>
      <c r="R11" s="537"/>
      <c r="S11" s="537"/>
      <c r="T11" s="537"/>
      <c r="U11" s="537"/>
      <c r="V11" s="537"/>
      <c r="W11" s="537"/>
      <c r="X11" s="537"/>
      <c r="Y11" s="537"/>
      <c r="Z11" s="537"/>
    </row>
    <row r="12">
      <c r="A12" s="535" t="s">
        <v>544</v>
      </c>
      <c r="B12" s="540">
        <v>6000.0</v>
      </c>
      <c r="C12" s="534" t="s">
        <v>525</v>
      </c>
      <c r="D12" s="539" t="s">
        <v>545</v>
      </c>
      <c r="E12" s="535"/>
      <c r="F12" s="535"/>
      <c r="G12" s="536"/>
      <c r="H12" s="537"/>
      <c r="I12" s="537"/>
      <c r="J12" s="537"/>
      <c r="K12" s="537"/>
      <c r="L12" s="537"/>
      <c r="M12" s="537"/>
      <c r="N12" s="537"/>
      <c r="O12" s="537"/>
      <c r="P12" s="537"/>
      <c r="Q12" s="537"/>
      <c r="R12" s="537"/>
      <c r="S12" s="537"/>
      <c r="T12" s="537"/>
      <c r="U12" s="537"/>
      <c r="V12" s="537"/>
      <c r="W12" s="537"/>
      <c r="X12" s="537"/>
      <c r="Y12" s="537"/>
      <c r="Z12" s="537"/>
    </row>
    <row r="13">
      <c r="A13" s="535" t="s">
        <v>546</v>
      </c>
      <c r="B13" s="538">
        <v>1000.0</v>
      </c>
      <c r="C13" s="534" t="s">
        <v>522</v>
      </c>
      <c r="D13" s="539" t="s">
        <v>547</v>
      </c>
      <c r="E13" s="535"/>
      <c r="F13" s="535"/>
      <c r="G13" s="536"/>
      <c r="H13" s="537"/>
      <c r="I13" s="537"/>
      <c r="J13" s="537"/>
      <c r="K13" s="537"/>
      <c r="L13" s="537"/>
      <c r="M13" s="537"/>
      <c r="N13" s="537"/>
      <c r="O13" s="537"/>
      <c r="P13" s="537"/>
      <c r="Q13" s="537"/>
      <c r="R13" s="537"/>
      <c r="S13" s="537"/>
      <c r="T13" s="537"/>
      <c r="U13" s="537"/>
      <c r="V13" s="537"/>
      <c r="W13" s="537"/>
      <c r="X13" s="537"/>
      <c r="Y13" s="537"/>
      <c r="Z13" s="537"/>
    </row>
    <row r="14">
      <c r="A14" s="535" t="s">
        <v>548</v>
      </c>
      <c r="B14" s="540">
        <v>50000.0</v>
      </c>
      <c r="C14" s="534" t="s">
        <v>525</v>
      </c>
      <c r="D14" s="535" t="s">
        <v>549</v>
      </c>
      <c r="E14" s="535"/>
      <c r="F14" s="535"/>
      <c r="G14" s="536"/>
      <c r="H14" s="537"/>
      <c r="I14" s="537"/>
      <c r="J14" s="537"/>
      <c r="K14" s="537"/>
      <c r="L14" s="537"/>
      <c r="M14" s="537"/>
      <c r="N14" s="537"/>
      <c r="O14" s="537"/>
      <c r="P14" s="537"/>
      <c r="Q14" s="537"/>
      <c r="R14" s="537"/>
      <c r="S14" s="537"/>
      <c r="T14" s="537"/>
      <c r="U14" s="537"/>
      <c r="V14" s="537"/>
      <c r="W14" s="537"/>
      <c r="X14" s="537"/>
      <c r="Y14" s="537"/>
      <c r="Z14" s="537"/>
    </row>
    <row r="15">
      <c r="A15" s="535" t="s">
        <v>550</v>
      </c>
      <c r="B15" s="538">
        <v>400.0</v>
      </c>
      <c r="C15" s="534" t="s">
        <v>525</v>
      </c>
      <c r="D15" s="535" t="s">
        <v>551</v>
      </c>
      <c r="E15" s="418" t="s">
        <v>552</v>
      </c>
      <c r="F15" s="535"/>
      <c r="G15" s="536"/>
      <c r="H15" s="537"/>
      <c r="I15" s="537"/>
      <c r="J15" s="537"/>
      <c r="K15" s="537"/>
      <c r="L15" s="537"/>
      <c r="M15" s="537"/>
      <c r="N15" s="537"/>
      <c r="O15" s="537"/>
      <c r="P15" s="537"/>
      <c r="Q15" s="537"/>
      <c r="R15" s="537"/>
      <c r="S15" s="537"/>
      <c r="T15" s="537"/>
      <c r="U15" s="537"/>
      <c r="V15" s="537"/>
      <c r="W15" s="537"/>
      <c r="X15" s="537"/>
      <c r="Y15" s="537"/>
      <c r="Z15" s="537"/>
    </row>
    <row r="16">
      <c r="A16" s="535" t="s">
        <v>553</v>
      </c>
      <c r="B16" s="538">
        <v>19010.0</v>
      </c>
      <c r="C16" s="534" t="s">
        <v>525</v>
      </c>
      <c r="D16" s="535" t="s">
        <v>554</v>
      </c>
      <c r="E16" s="535"/>
      <c r="F16" s="535"/>
      <c r="G16" s="536"/>
      <c r="H16" s="537"/>
      <c r="I16" s="537"/>
      <c r="J16" s="537"/>
      <c r="K16" s="537"/>
      <c r="L16" s="537"/>
      <c r="M16" s="537"/>
      <c r="N16" s="537"/>
      <c r="O16" s="537"/>
      <c r="P16" s="537"/>
      <c r="Q16" s="537"/>
      <c r="R16" s="537"/>
      <c r="S16" s="537"/>
      <c r="T16" s="537"/>
      <c r="U16" s="537"/>
      <c r="V16" s="537"/>
      <c r="W16" s="537"/>
      <c r="X16" s="537"/>
      <c r="Y16" s="537"/>
      <c r="Z16" s="537"/>
    </row>
    <row r="17">
      <c r="A17" s="535" t="s">
        <v>555</v>
      </c>
      <c r="B17" s="538">
        <v>57000.0</v>
      </c>
      <c r="C17" s="534" t="s">
        <v>525</v>
      </c>
      <c r="D17" s="535" t="s">
        <v>556</v>
      </c>
      <c r="E17" s="418" t="s">
        <v>299</v>
      </c>
      <c r="F17" s="535"/>
      <c r="G17" s="536"/>
      <c r="H17" s="537"/>
      <c r="I17" s="537"/>
      <c r="J17" s="537"/>
      <c r="K17" s="537"/>
      <c r="L17" s="537"/>
      <c r="M17" s="537"/>
      <c r="N17" s="537"/>
      <c r="O17" s="537"/>
      <c r="P17" s="537"/>
      <c r="Q17" s="537"/>
      <c r="R17" s="537"/>
      <c r="S17" s="537"/>
      <c r="T17" s="537"/>
      <c r="U17" s="537"/>
      <c r="V17" s="537"/>
      <c r="W17" s="537"/>
      <c r="X17" s="537"/>
      <c r="Y17" s="537"/>
      <c r="Z17" s="537"/>
    </row>
    <row r="18">
      <c r="A18" s="535" t="s">
        <v>557</v>
      </c>
      <c r="B18" s="538">
        <v>76800.0</v>
      </c>
      <c r="C18" s="534" t="s">
        <v>537</v>
      </c>
      <c r="D18" s="535" t="s">
        <v>558</v>
      </c>
      <c r="E18" s="418" t="s">
        <v>559</v>
      </c>
      <c r="F18" s="535"/>
      <c r="G18" s="536"/>
      <c r="H18" s="537"/>
      <c r="I18" s="537"/>
      <c r="J18" s="537"/>
      <c r="K18" s="537"/>
      <c r="L18" s="537"/>
      <c r="M18" s="537"/>
      <c r="N18" s="537"/>
      <c r="O18" s="537"/>
      <c r="P18" s="537"/>
      <c r="Q18" s="537"/>
      <c r="R18" s="537"/>
      <c r="S18" s="537"/>
      <c r="T18" s="537"/>
      <c r="U18" s="537"/>
      <c r="V18" s="537"/>
      <c r="W18" s="537"/>
      <c r="X18" s="537"/>
      <c r="Y18" s="537"/>
      <c r="Z18" s="537"/>
    </row>
    <row r="19">
      <c r="A19" s="535" t="s">
        <v>560</v>
      </c>
      <c r="B19" s="538">
        <v>2000.0</v>
      </c>
      <c r="C19" s="534" t="s">
        <v>525</v>
      </c>
      <c r="D19" s="535" t="s">
        <v>561</v>
      </c>
      <c r="E19" s="418" t="s">
        <v>562</v>
      </c>
      <c r="F19" s="535"/>
      <c r="G19" s="536"/>
      <c r="H19" s="537"/>
      <c r="I19" s="537"/>
      <c r="J19" s="537"/>
      <c r="K19" s="537"/>
      <c r="L19" s="537"/>
      <c r="M19" s="537"/>
      <c r="N19" s="537"/>
      <c r="O19" s="537"/>
      <c r="P19" s="537"/>
      <c r="Q19" s="537"/>
      <c r="R19" s="537"/>
      <c r="S19" s="537"/>
      <c r="T19" s="537"/>
      <c r="U19" s="537"/>
      <c r="V19" s="537"/>
      <c r="W19" s="537"/>
      <c r="X19" s="537"/>
      <c r="Y19" s="537"/>
      <c r="Z19" s="537"/>
    </row>
    <row r="20">
      <c r="A20" s="535" t="s">
        <v>563</v>
      </c>
      <c r="B20" s="538">
        <v>21094.0</v>
      </c>
      <c r="C20" s="534" t="s">
        <v>522</v>
      </c>
      <c r="D20" s="539" t="s">
        <v>564</v>
      </c>
      <c r="E20" s="535"/>
      <c r="F20" s="535"/>
      <c r="G20" s="536"/>
      <c r="H20" s="537"/>
      <c r="I20" s="537"/>
      <c r="J20" s="537"/>
      <c r="K20" s="537"/>
      <c r="L20" s="537"/>
      <c r="M20" s="537"/>
      <c r="N20" s="537"/>
      <c r="O20" s="537"/>
      <c r="P20" s="537"/>
      <c r="Q20" s="537"/>
      <c r="R20" s="537"/>
      <c r="S20" s="537"/>
      <c r="T20" s="537"/>
      <c r="U20" s="537"/>
      <c r="V20" s="537"/>
      <c r="W20" s="537"/>
      <c r="X20" s="537"/>
      <c r="Y20" s="537"/>
      <c r="Z20" s="537"/>
    </row>
    <row r="21" ht="15.75" customHeight="1">
      <c r="A21" s="535" t="s">
        <v>565</v>
      </c>
      <c r="B21" s="540">
        <v>1500.0</v>
      </c>
      <c r="C21" s="534" t="s">
        <v>525</v>
      </c>
      <c r="D21" s="539" t="s">
        <v>566</v>
      </c>
      <c r="E21" s="535"/>
      <c r="F21" s="535"/>
      <c r="G21" s="536"/>
      <c r="H21" s="537"/>
      <c r="I21" s="537"/>
      <c r="J21" s="537"/>
      <c r="K21" s="537"/>
      <c r="L21" s="537"/>
      <c r="M21" s="537"/>
      <c r="N21" s="537"/>
      <c r="O21" s="537"/>
      <c r="P21" s="537"/>
      <c r="Q21" s="537"/>
      <c r="R21" s="537"/>
      <c r="S21" s="537"/>
      <c r="T21" s="537"/>
      <c r="U21" s="537"/>
      <c r="V21" s="537"/>
      <c r="W21" s="537"/>
      <c r="X21" s="537"/>
      <c r="Y21" s="537"/>
      <c r="Z21" s="537"/>
    </row>
    <row r="22" ht="15.75" customHeight="1">
      <c r="A22" s="544" t="s">
        <v>567</v>
      </c>
      <c r="B22" s="536"/>
      <c r="C22" s="536"/>
      <c r="D22" s="536"/>
      <c r="E22" s="536"/>
      <c r="F22" s="536"/>
      <c r="G22" s="536"/>
      <c r="H22" s="537"/>
      <c r="I22" s="537"/>
      <c r="J22" s="537"/>
      <c r="K22" s="537"/>
      <c r="L22" s="537"/>
      <c r="M22" s="537"/>
      <c r="N22" s="537"/>
      <c r="O22" s="537"/>
      <c r="P22" s="537"/>
      <c r="Q22" s="537"/>
      <c r="R22" s="537"/>
      <c r="S22" s="537"/>
      <c r="T22" s="537"/>
      <c r="U22" s="537"/>
      <c r="V22" s="537"/>
      <c r="W22" s="537"/>
      <c r="X22" s="537"/>
      <c r="Y22" s="537"/>
      <c r="Z22" s="537"/>
    </row>
    <row r="23" ht="15.75" customHeight="1">
      <c r="A23" s="545" t="s">
        <v>568</v>
      </c>
      <c r="B23" s="546">
        <v>10000.0</v>
      </c>
      <c r="C23" s="536"/>
      <c r="D23" s="536" t="s">
        <v>569</v>
      </c>
      <c r="E23" s="536"/>
      <c r="F23" s="536"/>
      <c r="G23" s="536"/>
      <c r="H23" s="537"/>
      <c r="I23" s="537"/>
      <c r="J23" s="537"/>
      <c r="K23" s="537"/>
      <c r="L23" s="537"/>
      <c r="M23" s="537"/>
      <c r="N23" s="537"/>
      <c r="O23" s="537"/>
      <c r="P23" s="537"/>
      <c r="Q23" s="537"/>
      <c r="R23" s="537"/>
      <c r="S23" s="537"/>
      <c r="T23" s="537"/>
      <c r="U23" s="537"/>
      <c r="V23" s="537"/>
      <c r="W23" s="537"/>
      <c r="X23" s="537"/>
      <c r="Y23" s="537"/>
      <c r="Z23" s="537"/>
    </row>
    <row r="24" ht="15.75" customHeight="1">
      <c r="A24" s="545" t="s">
        <v>570</v>
      </c>
      <c r="B24" s="546">
        <v>26000.0</v>
      </c>
      <c r="C24" s="536"/>
      <c r="D24" s="536" t="s">
        <v>571</v>
      </c>
      <c r="E24" s="536"/>
      <c r="F24" s="536"/>
      <c r="G24" s="536"/>
      <c r="H24" s="537"/>
      <c r="I24" s="537"/>
      <c r="J24" s="537"/>
      <c r="K24" s="537"/>
      <c r="L24" s="537"/>
      <c r="M24" s="537"/>
      <c r="N24" s="537"/>
      <c r="O24" s="537"/>
      <c r="P24" s="537"/>
      <c r="Q24" s="537"/>
      <c r="R24" s="537"/>
      <c r="S24" s="537"/>
      <c r="T24" s="537"/>
      <c r="U24" s="537"/>
      <c r="V24" s="537"/>
      <c r="W24" s="537"/>
      <c r="X24" s="537"/>
      <c r="Y24" s="537"/>
      <c r="Z24" s="537"/>
    </row>
    <row r="25" ht="15.75" customHeight="1">
      <c r="A25" s="545" t="s">
        <v>572</v>
      </c>
      <c r="B25" s="546">
        <v>30000.0</v>
      </c>
      <c r="C25" s="536"/>
      <c r="D25" s="536" t="s">
        <v>573</v>
      </c>
      <c r="E25" s="536"/>
      <c r="F25" s="536"/>
      <c r="G25" s="536"/>
      <c r="H25" s="537"/>
      <c r="I25" s="537"/>
      <c r="J25" s="537"/>
      <c r="K25" s="537"/>
      <c r="L25" s="537"/>
      <c r="M25" s="537"/>
      <c r="N25" s="537"/>
      <c r="O25" s="537"/>
      <c r="P25" s="537"/>
      <c r="Q25" s="537"/>
      <c r="R25" s="537"/>
      <c r="S25" s="537"/>
      <c r="T25" s="537"/>
      <c r="U25" s="537"/>
      <c r="V25" s="537"/>
      <c r="W25" s="537"/>
      <c r="X25" s="537"/>
      <c r="Y25" s="537"/>
      <c r="Z25" s="537"/>
    </row>
    <row r="26" ht="15.75" customHeight="1">
      <c r="A26" s="545" t="s">
        <v>574</v>
      </c>
      <c r="B26" s="546">
        <v>22000.0</v>
      </c>
      <c r="C26" s="536"/>
      <c r="D26" s="536" t="s">
        <v>575</v>
      </c>
      <c r="E26" s="536"/>
      <c r="F26" s="536"/>
      <c r="G26" s="536"/>
      <c r="H26" s="537"/>
      <c r="I26" s="537"/>
      <c r="J26" s="537"/>
      <c r="K26" s="537"/>
      <c r="L26" s="537"/>
      <c r="M26" s="537"/>
      <c r="N26" s="537"/>
      <c r="O26" s="537"/>
      <c r="P26" s="537"/>
      <c r="Q26" s="537"/>
      <c r="R26" s="537"/>
      <c r="S26" s="537"/>
      <c r="T26" s="537"/>
      <c r="U26" s="537"/>
      <c r="V26" s="537"/>
      <c r="W26" s="537"/>
      <c r="X26" s="537"/>
      <c r="Y26" s="537"/>
      <c r="Z26" s="537"/>
    </row>
    <row r="27" ht="15.75" customHeight="1">
      <c r="A27" s="545" t="s">
        <v>576</v>
      </c>
      <c r="B27" s="546">
        <v>25000.0</v>
      </c>
      <c r="C27" s="536"/>
      <c r="D27" s="536" t="s">
        <v>577</v>
      </c>
      <c r="E27" s="536"/>
      <c r="F27" s="536"/>
      <c r="G27" s="536"/>
      <c r="H27" s="537"/>
      <c r="I27" s="537"/>
      <c r="J27" s="537"/>
      <c r="K27" s="537"/>
      <c r="L27" s="537"/>
      <c r="M27" s="537"/>
      <c r="N27" s="537"/>
      <c r="O27" s="537"/>
      <c r="P27" s="537"/>
      <c r="Q27" s="537"/>
      <c r="R27" s="537"/>
      <c r="S27" s="537"/>
      <c r="T27" s="537"/>
      <c r="U27" s="537"/>
      <c r="V27" s="537"/>
      <c r="W27" s="537"/>
      <c r="X27" s="537"/>
      <c r="Y27" s="537"/>
      <c r="Z27" s="537"/>
    </row>
    <row r="28" ht="15.75" customHeight="1">
      <c r="A28" s="545" t="s">
        <v>578</v>
      </c>
      <c r="B28" s="546">
        <v>15000.0</v>
      </c>
      <c r="C28" s="536"/>
      <c r="D28" s="536" t="s">
        <v>579</v>
      </c>
      <c r="E28" s="536"/>
      <c r="F28" s="536"/>
      <c r="G28" s="536"/>
      <c r="H28" s="537"/>
      <c r="I28" s="537"/>
      <c r="J28" s="537"/>
      <c r="K28" s="537"/>
      <c r="L28" s="537"/>
      <c r="M28" s="537"/>
      <c r="N28" s="537"/>
      <c r="O28" s="537"/>
      <c r="P28" s="537"/>
      <c r="Q28" s="537"/>
      <c r="R28" s="537"/>
      <c r="S28" s="537"/>
      <c r="T28" s="537"/>
      <c r="U28" s="537"/>
      <c r="V28" s="537"/>
      <c r="W28" s="537"/>
      <c r="X28" s="537"/>
      <c r="Y28" s="537"/>
      <c r="Z28" s="537"/>
    </row>
    <row r="29" ht="15.75" customHeight="1">
      <c r="A29" s="545" t="s">
        <v>580</v>
      </c>
      <c r="B29" s="546">
        <v>8000.0</v>
      </c>
      <c r="C29" s="536"/>
      <c r="D29" s="536" t="s">
        <v>581</v>
      </c>
      <c r="E29" s="536"/>
      <c r="F29" s="536"/>
      <c r="G29" s="536"/>
      <c r="H29" s="537"/>
      <c r="I29" s="537"/>
      <c r="J29" s="537"/>
      <c r="K29" s="537"/>
      <c r="L29" s="537"/>
      <c r="M29" s="537"/>
      <c r="N29" s="537"/>
      <c r="O29" s="537"/>
      <c r="P29" s="537"/>
      <c r="Q29" s="537"/>
      <c r="R29" s="537"/>
      <c r="S29" s="537"/>
      <c r="T29" s="537"/>
      <c r="U29" s="537"/>
      <c r="V29" s="537"/>
      <c r="W29" s="537"/>
      <c r="X29" s="537"/>
      <c r="Y29" s="537"/>
      <c r="Z29" s="537"/>
    </row>
    <row r="30" ht="15.75" customHeight="1">
      <c r="A30" s="545" t="s">
        <v>582</v>
      </c>
      <c r="B30" s="546">
        <v>8000.0</v>
      </c>
      <c r="C30" s="536"/>
      <c r="D30" s="536" t="s">
        <v>583</v>
      </c>
      <c r="E30" s="536"/>
      <c r="F30" s="536"/>
      <c r="G30" s="536"/>
      <c r="H30" s="537"/>
      <c r="I30" s="537"/>
      <c r="J30" s="537"/>
      <c r="K30" s="537"/>
      <c r="L30" s="537"/>
      <c r="M30" s="537"/>
      <c r="N30" s="537"/>
      <c r="O30" s="537"/>
      <c r="P30" s="537"/>
      <c r="Q30" s="537"/>
      <c r="R30" s="537"/>
      <c r="S30" s="537"/>
      <c r="T30" s="537"/>
      <c r="U30" s="537"/>
      <c r="V30" s="537"/>
      <c r="W30" s="537"/>
      <c r="X30" s="537"/>
      <c r="Y30" s="537"/>
      <c r="Z30" s="537"/>
    </row>
    <row r="31" ht="15.75" customHeight="1">
      <c r="A31" s="545" t="s">
        <v>584</v>
      </c>
      <c r="B31" s="546">
        <v>10000.0</v>
      </c>
      <c r="C31" s="536"/>
      <c r="D31" s="536" t="s">
        <v>585</v>
      </c>
      <c r="E31" s="536"/>
      <c r="F31" s="536"/>
      <c r="G31" s="536"/>
      <c r="H31" s="537"/>
      <c r="I31" s="537"/>
      <c r="J31" s="537"/>
      <c r="K31" s="537"/>
      <c r="L31" s="537"/>
      <c r="M31" s="537"/>
      <c r="N31" s="537"/>
      <c r="O31" s="537"/>
      <c r="P31" s="537"/>
      <c r="Q31" s="537"/>
      <c r="R31" s="537"/>
      <c r="S31" s="537"/>
      <c r="T31" s="537"/>
      <c r="U31" s="537"/>
      <c r="V31" s="537"/>
      <c r="W31" s="537"/>
      <c r="X31" s="537"/>
      <c r="Y31" s="537"/>
      <c r="Z31" s="537"/>
    </row>
    <row r="32" ht="15.75" customHeight="1">
      <c r="A32" s="536"/>
      <c r="B32" s="536"/>
      <c r="C32" s="536"/>
      <c r="D32" s="536"/>
      <c r="E32" s="536"/>
      <c r="F32" s="536"/>
      <c r="G32" s="536"/>
      <c r="H32" s="537"/>
      <c r="I32" s="537"/>
      <c r="J32" s="537"/>
      <c r="K32" s="537"/>
      <c r="L32" s="537"/>
      <c r="M32" s="537"/>
      <c r="N32" s="537"/>
      <c r="O32" s="537"/>
      <c r="P32" s="537"/>
      <c r="Q32" s="537"/>
      <c r="R32" s="537"/>
      <c r="S32" s="537"/>
      <c r="T32" s="537"/>
      <c r="U32" s="537"/>
      <c r="V32" s="537"/>
      <c r="W32" s="537"/>
      <c r="X32" s="537"/>
      <c r="Y32" s="537"/>
      <c r="Z32" s="537"/>
    </row>
    <row r="33" ht="15.75" customHeight="1">
      <c r="A33" s="537"/>
      <c r="B33" s="537"/>
      <c r="C33" s="537"/>
      <c r="D33" s="537"/>
      <c r="E33" s="537"/>
      <c r="F33" s="537"/>
      <c r="G33" s="537"/>
      <c r="H33" s="537"/>
      <c r="I33" s="537"/>
      <c r="J33" s="537"/>
      <c r="K33" s="537"/>
      <c r="L33" s="537"/>
      <c r="M33" s="537"/>
      <c r="N33" s="537"/>
      <c r="O33" s="537"/>
      <c r="P33" s="537"/>
      <c r="Q33" s="537"/>
      <c r="R33" s="537"/>
      <c r="S33" s="537"/>
      <c r="T33" s="537"/>
      <c r="U33" s="537"/>
      <c r="V33" s="537"/>
      <c r="W33" s="537"/>
      <c r="X33" s="537"/>
      <c r="Y33" s="537"/>
      <c r="Z33" s="537"/>
    </row>
    <row r="34" ht="15.75" customHeight="1">
      <c r="A34" s="537"/>
      <c r="B34" s="537"/>
      <c r="C34" s="537"/>
      <c r="D34" s="537"/>
      <c r="E34" s="537"/>
      <c r="F34" s="537"/>
      <c r="G34" s="537"/>
      <c r="H34" s="537"/>
      <c r="I34" s="537"/>
      <c r="J34" s="537"/>
      <c r="K34" s="537"/>
      <c r="L34" s="537"/>
      <c r="M34" s="537"/>
      <c r="N34" s="537"/>
      <c r="O34" s="537"/>
      <c r="P34" s="537"/>
      <c r="Q34" s="537"/>
      <c r="R34" s="537"/>
      <c r="S34" s="537"/>
      <c r="T34" s="537"/>
      <c r="U34" s="537"/>
      <c r="V34" s="537"/>
      <c r="W34" s="537"/>
      <c r="X34" s="537"/>
      <c r="Y34" s="537"/>
      <c r="Z34" s="537"/>
    </row>
    <row r="35" ht="15.75" customHeight="1">
      <c r="A35" s="537"/>
      <c r="B35" s="537"/>
      <c r="C35" s="537"/>
      <c r="D35" s="537"/>
      <c r="E35" s="537"/>
      <c r="F35" s="537"/>
      <c r="G35" s="537"/>
      <c r="H35" s="537"/>
      <c r="I35" s="537"/>
      <c r="J35" s="537"/>
      <c r="K35" s="537"/>
      <c r="L35" s="537"/>
      <c r="M35" s="537"/>
      <c r="N35" s="537"/>
      <c r="O35" s="537"/>
      <c r="P35" s="537"/>
      <c r="Q35" s="537"/>
      <c r="R35" s="537"/>
      <c r="S35" s="537"/>
      <c r="T35" s="537"/>
      <c r="U35" s="537"/>
      <c r="V35" s="537"/>
      <c r="W35" s="537"/>
      <c r="X35" s="537"/>
      <c r="Y35" s="537"/>
      <c r="Z35" s="537"/>
    </row>
    <row r="36" ht="15.75" customHeight="1">
      <c r="A36" s="537"/>
      <c r="B36" s="537"/>
      <c r="C36" s="537"/>
      <c r="D36" s="537"/>
      <c r="E36" s="537"/>
      <c r="F36" s="537"/>
      <c r="G36" s="537"/>
      <c r="H36" s="537"/>
      <c r="I36" s="537"/>
      <c r="J36" s="537"/>
      <c r="K36" s="537"/>
      <c r="L36" s="537"/>
      <c r="M36" s="537"/>
      <c r="N36" s="537"/>
      <c r="O36" s="537"/>
      <c r="P36" s="537"/>
      <c r="Q36" s="537"/>
      <c r="R36" s="537"/>
      <c r="S36" s="537"/>
      <c r="T36" s="537"/>
      <c r="U36" s="537"/>
      <c r="V36" s="537"/>
      <c r="W36" s="537"/>
      <c r="X36" s="537"/>
      <c r="Y36" s="537"/>
      <c r="Z36" s="537"/>
    </row>
    <row r="37" ht="15.75" customHeight="1">
      <c r="A37" s="537"/>
      <c r="B37" s="537"/>
      <c r="C37" s="537"/>
      <c r="D37" s="537"/>
      <c r="E37" s="537"/>
      <c r="F37" s="537"/>
      <c r="G37" s="537"/>
      <c r="H37" s="537"/>
      <c r="I37" s="537"/>
      <c r="J37" s="537"/>
      <c r="K37" s="537"/>
      <c r="L37" s="537"/>
      <c r="M37" s="537"/>
      <c r="N37" s="537"/>
      <c r="O37" s="537"/>
      <c r="P37" s="537"/>
      <c r="Q37" s="537"/>
      <c r="R37" s="537"/>
      <c r="S37" s="537"/>
      <c r="T37" s="537"/>
      <c r="U37" s="537"/>
      <c r="V37" s="537"/>
      <c r="W37" s="537"/>
      <c r="X37" s="537"/>
      <c r="Y37" s="537"/>
      <c r="Z37" s="537"/>
    </row>
    <row r="38" ht="15.75" customHeight="1">
      <c r="A38" s="537"/>
      <c r="B38" s="537"/>
      <c r="C38" s="537"/>
      <c r="D38" s="537"/>
      <c r="E38" s="537"/>
      <c r="F38" s="537"/>
      <c r="G38" s="537"/>
      <c r="H38" s="537"/>
      <c r="I38" s="537"/>
      <c r="J38" s="537"/>
      <c r="K38" s="537"/>
      <c r="L38" s="537"/>
      <c r="M38" s="537"/>
      <c r="N38" s="537"/>
      <c r="O38" s="537"/>
      <c r="P38" s="537"/>
      <c r="Q38" s="537"/>
      <c r="R38" s="537"/>
      <c r="S38" s="537"/>
      <c r="T38" s="537"/>
      <c r="U38" s="537"/>
      <c r="V38" s="537"/>
      <c r="W38" s="537"/>
      <c r="X38" s="537"/>
      <c r="Y38" s="537"/>
      <c r="Z38" s="537"/>
    </row>
    <row r="39" ht="15.75" customHeight="1">
      <c r="A39" s="537"/>
      <c r="B39" s="537"/>
      <c r="C39" s="537"/>
      <c r="D39" s="537"/>
      <c r="E39" s="537"/>
      <c r="F39" s="537"/>
      <c r="G39" s="537"/>
      <c r="H39" s="537"/>
      <c r="I39" s="537"/>
      <c r="J39" s="537"/>
      <c r="K39" s="537"/>
      <c r="L39" s="537"/>
      <c r="M39" s="537"/>
      <c r="N39" s="537"/>
      <c r="O39" s="537"/>
      <c r="P39" s="537"/>
      <c r="Q39" s="537"/>
      <c r="R39" s="537"/>
      <c r="S39" s="537"/>
      <c r="T39" s="537"/>
      <c r="U39" s="537"/>
      <c r="V39" s="537"/>
      <c r="W39" s="537"/>
      <c r="X39" s="537"/>
      <c r="Y39" s="537"/>
      <c r="Z39" s="537"/>
    </row>
    <row r="40" ht="15.75" customHeight="1">
      <c r="A40" s="537"/>
      <c r="B40" s="537"/>
      <c r="C40" s="537"/>
      <c r="D40" s="537"/>
      <c r="E40" s="537"/>
      <c r="F40" s="537"/>
      <c r="G40" s="537"/>
      <c r="H40" s="537"/>
      <c r="I40" s="537"/>
      <c r="J40" s="537"/>
      <c r="K40" s="537"/>
      <c r="L40" s="537"/>
      <c r="M40" s="537"/>
      <c r="N40" s="537"/>
      <c r="O40" s="537"/>
      <c r="P40" s="537"/>
      <c r="Q40" s="537"/>
      <c r="R40" s="537"/>
      <c r="S40" s="537"/>
      <c r="T40" s="537"/>
      <c r="U40" s="537"/>
      <c r="V40" s="537"/>
      <c r="W40" s="537"/>
      <c r="X40" s="537"/>
      <c r="Y40" s="537"/>
      <c r="Z40" s="537"/>
    </row>
    <row r="41" ht="15.75" customHeight="1">
      <c r="A41" s="537"/>
      <c r="B41" s="537"/>
      <c r="C41" s="537"/>
      <c r="D41" s="537"/>
      <c r="E41" s="537"/>
      <c r="F41" s="537"/>
      <c r="G41" s="537"/>
      <c r="H41" s="537"/>
      <c r="I41" s="537"/>
      <c r="J41" s="537"/>
      <c r="K41" s="537"/>
      <c r="L41" s="537"/>
      <c r="M41" s="537"/>
      <c r="N41" s="537"/>
      <c r="O41" s="537"/>
      <c r="P41" s="537"/>
      <c r="Q41" s="537"/>
      <c r="R41" s="537"/>
      <c r="S41" s="537"/>
      <c r="T41" s="537"/>
      <c r="U41" s="537"/>
      <c r="V41" s="537"/>
      <c r="W41" s="537"/>
      <c r="X41" s="537"/>
      <c r="Y41" s="537"/>
      <c r="Z41" s="537"/>
    </row>
    <row r="42" ht="15.75" customHeight="1">
      <c r="A42" s="537"/>
      <c r="B42" s="537"/>
      <c r="C42" s="537"/>
      <c r="D42" s="537"/>
      <c r="E42" s="537"/>
      <c r="F42" s="537"/>
      <c r="G42" s="537"/>
      <c r="H42" s="537"/>
      <c r="I42" s="537"/>
      <c r="J42" s="537"/>
      <c r="K42" s="537"/>
      <c r="L42" s="537"/>
      <c r="M42" s="537"/>
      <c r="N42" s="537"/>
      <c r="O42" s="537"/>
      <c r="P42" s="537"/>
      <c r="Q42" s="537"/>
      <c r="R42" s="537"/>
      <c r="S42" s="537"/>
      <c r="T42" s="537"/>
      <c r="U42" s="537"/>
      <c r="V42" s="537"/>
      <c r="W42" s="537"/>
      <c r="X42" s="537"/>
      <c r="Y42" s="537"/>
      <c r="Z42" s="537"/>
    </row>
    <row r="43" ht="15.75" customHeight="1">
      <c r="A43" s="537"/>
      <c r="B43" s="537"/>
      <c r="C43" s="537"/>
      <c r="D43" s="537"/>
      <c r="E43" s="537"/>
      <c r="F43" s="537"/>
      <c r="G43" s="537"/>
      <c r="H43" s="537"/>
      <c r="I43" s="537"/>
      <c r="J43" s="537"/>
      <c r="K43" s="537"/>
      <c r="L43" s="537"/>
      <c r="M43" s="537"/>
      <c r="N43" s="537"/>
      <c r="O43" s="537"/>
      <c r="P43" s="537"/>
      <c r="Q43" s="537"/>
      <c r="R43" s="537"/>
      <c r="S43" s="537"/>
      <c r="T43" s="537"/>
      <c r="U43" s="537"/>
      <c r="V43" s="537"/>
      <c r="W43" s="537"/>
      <c r="X43" s="537"/>
      <c r="Y43" s="537"/>
      <c r="Z43" s="537"/>
    </row>
    <row r="44" ht="15.75" customHeight="1">
      <c r="A44" s="537"/>
      <c r="B44" s="537"/>
      <c r="C44" s="537"/>
      <c r="D44" s="537"/>
      <c r="E44" s="537"/>
      <c r="F44" s="537"/>
      <c r="G44" s="537"/>
      <c r="H44" s="537"/>
      <c r="I44" s="537"/>
      <c r="J44" s="537"/>
      <c r="K44" s="537"/>
      <c r="L44" s="537"/>
      <c r="M44" s="537"/>
      <c r="N44" s="537"/>
      <c r="O44" s="537"/>
      <c r="P44" s="537"/>
      <c r="Q44" s="537"/>
      <c r="R44" s="537"/>
      <c r="S44" s="537"/>
      <c r="T44" s="537"/>
      <c r="U44" s="537"/>
      <c r="V44" s="537"/>
      <c r="W44" s="537"/>
      <c r="X44" s="537"/>
      <c r="Y44" s="537"/>
      <c r="Z44" s="537"/>
    </row>
    <row r="45" ht="15.75" customHeight="1">
      <c r="A45" s="537"/>
      <c r="B45" s="537"/>
      <c r="C45" s="537"/>
      <c r="D45" s="537"/>
      <c r="E45" s="537"/>
      <c r="F45" s="537"/>
      <c r="G45" s="537"/>
      <c r="H45" s="537"/>
      <c r="I45" s="537"/>
      <c r="J45" s="537"/>
      <c r="K45" s="537"/>
      <c r="L45" s="537"/>
      <c r="M45" s="537"/>
      <c r="N45" s="537"/>
      <c r="O45" s="537"/>
      <c r="P45" s="537"/>
      <c r="Q45" s="537"/>
      <c r="R45" s="537"/>
      <c r="S45" s="537"/>
      <c r="T45" s="537"/>
      <c r="U45" s="537"/>
      <c r="V45" s="537"/>
      <c r="W45" s="537"/>
      <c r="X45" s="537"/>
      <c r="Y45" s="537"/>
      <c r="Z45" s="537"/>
    </row>
    <row r="46" ht="15.75" customHeight="1">
      <c r="A46" s="537"/>
      <c r="B46" s="537"/>
      <c r="C46" s="537"/>
      <c r="D46" s="537"/>
      <c r="E46" s="537"/>
      <c r="F46" s="537"/>
      <c r="G46" s="537"/>
      <c r="H46" s="537"/>
      <c r="I46" s="537"/>
      <c r="J46" s="537"/>
      <c r="K46" s="537"/>
      <c r="L46" s="537"/>
      <c r="M46" s="537"/>
      <c r="N46" s="537"/>
      <c r="O46" s="537"/>
      <c r="P46" s="537"/>
      <c r="Q46" s="537"/>
      <c r="R46" s="537"/>
      <c r="S46" s="537"/>
      <c r="T46" s="537"/>
      <c r="U46" s="537"/>
      <c r="V46" s="537"/>
      <c r="W46" s="537"/>
      <c r="X46" s="537"/>
      <c r="Y46" s="537"/>
      <c r="Z46" s="537"/>
    </row>
    <row r="47" ht="15.75" customHeight="1">
      <c r="A47" s="537"/>
      <c r="B47" s="537"/>
      <c r="C47" s="537"/>
      <c r="D47" s="537"/>
      <c r="E47" s="537"/>
      <c r="F47" s="537"/>
      <c r="G47" s="537"/>
      <c r="H47" s="537"/>
      <c r="I47" s="537"/>
      <c r="J47" s="537"/>
      <c r="K47" s="537"/>
      <c r="L47" s="537"/>
      <c r="M47" s="537"/>
      <c r="N47" s="537"/>
      <c r="O47" s="537"/>
      <c r="P47" s="537"/>
      <c r="Q47" s="537"/>
      <c r="R47" s="537"/>
      <c r="S47" s="537"/>
      <c r="T47" s="537"/>
      <c r="U47" s="537"/>
      <c r="V47" s="537"/>
      <c r="W47" s="537"/>
      <c r="X47" s="537"/>
      <c r="Y47" s="537"/>
      <c r="Z47" s="537"/>
    </row>
    <row r="48" ht="15.75" customHeight="1">
      <c r="A48" s="537"/>
      <c r="B48" s="537"/>
      <c r="C48" s="537"/>
      <c r="D48" s="537"/>
      <c r="E48" s="537"/>
      <c r="F48" s="537"/>
      <c r="G48" s="537"/>
      <c r="H48" s="537"/>
      <c r="I48" s="537"/>
      <c r="J48" s="537"/>
      <c r="K48" s="537"/>
      <c r="L48" s="537"/>
      <c r="M48" s="537"/>
      <c r="N48" s="537"/>
      <c r="O48" s="537"/>
      <c r="P48" s="537"/>
      <c r="Q48" s="537"/>
      <c r="R48" s="537"/>
      <c r="S48" s="537"/>
      <c r="T48" s="537"/>
      <c r="U48" s="537"/>
      <c r="V48" s="537"/>
      <c r="W48" s="537"/>
      <c r="X48" s="537"/>
      <c r="Y48" s="537"/>
      <c r="Z48" s="537"/>
    </row>
    <row r="49" ht="15.75" customHeight="1">
      <c r="A49" s="537"/>
      <c r="B49" s="537"/>
      <c r="C49" s="537"/>
      <c r="D49" s="537"/>
      <c r="E49" s="537"/>
      <c r="F49" s="537"/>
      <c r="G49" s="537"/>
      <c r="H49" s="537"/>
      <c r="I49" s="537"/>
      <c r="J49" s="537"/>
      <c r="K49" s="537"/>
      <c r="L49" s="537"/>
      <c r="M49" s="537"/>
      <c r="N49" s="537"/>
      <c r="O49" s="537"/>
      <c r="P49" s="537"/>
      <c r="Q49" s="537"/>
      <c r="R49" s="537"/>
      <c r="S49" s="537"/>
      <c r="T49" s="537"/>
      <c r="U49" s="537"/>
      <c r="V49" s="537"/>
      <c r="W49" s="537"/>
      <c r="X49" s="537"/>
      <c r="Y49" s="537"/>
      <c r="Z49" s="537"/>
    </row>
    <row r="50" ht="15.75" customHeight="1">
      <c r="A50" s="537"/>
      <c r="B50" s="537"/>
      <c r="C50" s="537"/>
      <c r="D50" s="537"/>
      <c r="E50" s="537"/>
      <c r="F50" s="537"/>
      <c r="G50" s="537"/>
      <c r="H50" s="537"/>
      <c r="I50" s="537"/>
      <c r="J50" s="537"/>
      <c r="K50" s="537"/>
      <c r="L50" s="537"/>
      <c r="M50" s="537"/>
      <c r="N50" s="537"/>
      <c r="O50" s="537"/>
      <c r="P50" s="537"/>
      <c r="Q50" s="537"/>
      <c r="R50" s="537"/>
      <c r="S50" s="537"/>
      <c r="T50" s="537"/>
      <c r="U50" s="537"/>
      <c r="V50" s="537"/>
      <c r="W50" s="537"/>
      <c r="X50" s="537"/>
      <c r="Y50" s="537"/>
      <c r="Z50" s="537"/>
    </row>
    <row r="51" ht="15.75" customHeight="1">
      <c r="A51" s="537"/>
      <c r="B51" s="537"/>
      <c r="C51" s="537"/>
      <c r="D51" s="537"/>
      <c r="E51" s="537"/>
      <c r="F51" s="537"/>
      <c r="G51" s="537"/>
      <c r="H51" s="537"/>
      <c r="I51" s="537"/>
      <c r="J51" s="537"/>
      <c r="K51" s="537"/>
      <c r="L51" s="537"/>
      <c r="M51" s="537"/>
      <c r="N51" s="537"/>
      <c r="O51" s="537"/>
      <c r="P51" s="537"/>
      <c r="Q51" s="537"/>
      <c r="R51" s="537"/>
      <c r="S51" s="537"/>
      <c r="T51" s="537"/>
      <c r="U51" s="537"/>
      <c r="V51" s="537"/>
      <c r="W51" s="537"/>
      <c r="X51" s="537"/>
      <c r="Y51" s="537"/>
      <c r="Z51" s="537"/>
    </row>
    <row r="52" ht="15.75" customHeight="1">
      <c r="A52" s="537"/>
      <c r="B52" s="537"/>
      <c r="C52" s="537"/>
      <c r="D52" s="537"/>
      <c r="E52" s="537"/>
      <c r="F52" s="537"/>
      <c r="G52" s="537"/>
      <c r="H52" s="537"/>
      <c r="I52" s="537"/>
      <c r="J52" s="537"/>
      <c r="K52" s="537"/>
      <c r="L52" s="537"/>
      <c r="M52" s="537"/>
      <c r="N52" s="537"/>
      <c r="O52" s="537"/>
      <c r="P52" s="537"/>
      <c r="Q52" s="537"/>
      <c r="R52" s="537"/>
      <c r="S52" s="537"/>
      <c r="T52" s="537"/>
      <c r="U52" s="537"/>
      <c r="V52" s="537"/>
      <c r="W52" s="537"/>
      <c r="X52" s="537"/>
      <c r="Y52" s="537"/>
      <c r="Z52" s="537"/>
    </row>
    <row r="53" ht="15.75" customHeight="1">
      <c r="A53" s="537"/>
      <c r="B53" s="537"/>
      <c r="C53" s="537"/>
      <c r="D53" s="537"/>
      <c r="E53" s="537"/>
      <c r="F53" s="537"/>
      <c r="G53" s="537"/>
      <c r="H53" s="537"/>
      <c r="I53" s="537"/>
      <c r="J53" s="537"/>
      <c r="K53" s="537"/>
      <c r="L53" s="537"/>
      <c r="M53" s="537"/>
      <c r="N53" s="537"/>
      <c r="O53" s="537"/>
      <c r="P53" s="537"/>
      <c r="Q53" s="537"/>
      <c r="R53" s="537"/>
      <c r="S53" s="537"/>
      <c r="T53" s="537"/>
      <c r="U53" s="537"/>
      <c r="V53" s="537"/>
      <c r="W53" s="537"/>
      <c r="X53" s="537"/>
      <c r="Y53" s="537"/>
      <c r="Z53" s="537"/>
    </row>
    <row r="54" ht="15.75" customHeight="1">
      <c r="A54" s="537"/>
      <c r="B54" s="537"/>
      <c r="C54" s="537"/>
      <c r="D54" s="537"/>
      <c r="E54" s="537"/>
      <c r="F54" s="537"/>
      <c r="G54" s="537"/>
      <c r="H54" s="537"/>
      <c r="I54" s="537"/>
      <c r="J54" s="537"/>
      <c r="K54" s="537"/>
      <c r="L54" s="537"/>
      <c r="M54" s="537"/>
      <c r="N54" s="537"/>
      <c r="O54" s="537"/>
      <c r="P54" s="537"/>
      <c r="Q54" s="537"/>
      <c r="R54" s="537"/>
      <c r="S54" s="537"/>
      <c r="T54" s="537"/>
      <c r="U54" s="537"/>
      <c r="V54" s="537"/>
      <c r="W54" s="537"/>
      <c r="X54" s="537"/>
      <c r="Y54" s="537"/>
      <c r="Z54" s="537"/>
    </row>
    <row r="55" ht="15.75" customHeight="1">
      <c r="A55" s="537"/>
      <c r="B55" s="537"/>
      <c r="C55" s="537"/>
      <c r="D55" s="537"/>
      <c r="E55" s="537"/>
      <c r="F55" s="537"/>
      <c r="G55" s="537"/>
      <c r="H55" s="537"/>
      <c r="I55" s="537"/>
      <c r="J55" s="537"/>
      <c r="K55" s="537"/>
      <c r="L55" s="537"/>
      <c r="M55" s="537"/>
      <c r="N55" s="537"/>
      <c r="O55" s="537"/>
      <c r="P55" s="537"/>
      <c r="Q55" s="537"/>
      <c r="R55" s="537"/>
      <c r="S55" s="537"/>
      <c r="T55" s="537"/>
      <c r="U55" s="537"/>
      <c r="V55" s="537"/>
      <c r="W55" s="537"/>
      <c r="X55" s="537"/>
      <c r="Y55" s="537"/>
      <c r="Z55" s="537"/>
    </row>
    <row r="56" ht="15.75" customHeight="1">
      <c r="A56" s="537"/>
      <c r="B56" s="537"/>
      <c r="C56" s="537"/>
      <c r="D56" s="537"/>
      <c r="E56" s="537"/>
      <c r="F56" s="537"/>
      <c r="G56" s="537"/>
      <c r="H56" s="537"/>
      <c r="I56" s="537"/>
      <c r="J56" s="537"/>
      <c r="K56" s="537"/>
      <c r="L56" s="537"/>
      <c r="M56" s="537"/>
      <c r="N56" s="537"/>
      <c r="O56" s="537"/>
      <c r="P56" s="537"/>
      <c r="Q56" s="537"/>
      <c r="R56" s="537"/>
      <c r="S56" s="537"/>
      <c r="T56" s="537"/>
      <c r="U56" s="537"/>
      <c r="V56" s="537"/>
      <c r="W56" s="537"/>
      <c r="X56" s="537"/>
      <c r="Y56" s="537"/>
      <c r="Z56" s="537"/>
    </row>
    <row r="57" ht="15.75" customHeight="1">
      <c r="A57" s="537"/>
      <c r="B57" s="537"/>
      <c r="C57" s="537"/>
      <c r="D57" s="537"/>
      <c r="E57" s="537"/>
      <c r="F57" s="537"/>
      <c r="G57" s="537"/>
      <c r="H57" s="537"/>
      <c r="I57" s="537"/>
      <c r="J57" s="537"/>
      <c r="K57" s="537"/>
      <c r="L57" s="537"/>
      <c r="M57" s="537"/>
      <c r="N57" s="537"/>
      <c r="O57" s="537"/>
      <c r="P57" s="537"/>
      <c r="Q57" s="537"/>
      <c r="R57" s="537"/>
      <c r="S57" s="537"/>
      <c r="T57" s="537"/>
      <c r="U57" s="537"/>
      <c r="V57" s="537"/>
      <c r="W57" s="537"/>
      <c r="X57" s="537"/>
      <c r="Y57" s="537"/>
      <c r="Z57" s="537"/>
    </row>
    <row r="58" ht="15.75" customHeight="1">
      <c r="A58" s="537"/>
      <c r="B58" s="537"/>
      <c r="C58" s="537"/>
      <c r="D58" s="537"/>
      <c r="E58" s="537"/>
      <c r="F58" s="537"/>
      <c r="G58" s="537"/>
      <c r="H58" s="537"/>
      <c r="I58" s="537"/>
      <c r="J58" s="537"/>
      <c r="K58" s="537"/>
      <c r="L58" s="537"/>
      <c r="M58" s="537"/>
      <c r="N58" s="537"/>
      <c r="O58" s="537"/>
      <c r="P58" s="537"/>
      <c r="Q58" s="537"/>
      <c r="R58" s="537"/>
      <c r="S58" s="537"/>
      <c r="T58" s="537"/>
      <c r="U58" s="537"/>
      <c r="V58" s="537"/>
      <c r="W58" s="537"/>
      <c r="X58" s="537"/>
      <c r="Y58" s="537"/>
      <c r="Z58" s="537"/>
    </row>
    <row r="59" ht="15.75" customHeight="1">
      <c r="A59" s="537"/>
      <c r="B59" s="537"/>
      <c r="C59" s="537"/>
      <c r="D59" s="537"/>
      <c r="E59" s="537"/>
      <c r="F59" s="537"/>
      <c r="G59" s="537"/>
      <c r="H59" s="537"/>
      <c r="I59" s="537"/>
      <c r="J59" s="537"/>
      <c r="K59" s="537"/>
      <c r="L59" s="537"/>
      <c r="M59" s="537"/>
      <c r="N59" s="537"/>
      <c r="O59" s="537"/>
      <c r="P59" s="537"/>
      <c r="Q59" s="537"/>
      <c r="R59" s="537"/>
      <c r="S59" s="537"/>
      <c r="T59" s="537"/>
      <c r="U59" s="537"/>
      <c r="V59" s="537"/>
      <c r="W59" s="537"/>
      <c r="X59" s="537"/>
      <c r="Y59" s="537"/>
      <c r="Z59" s="537"/>
    </row>
    <row r="60" ht="15.75" customHeight="1">
      <c r="A60" s="537"/>
      <c r="B60" s="537"/>
      <c r="C60" s="537"/>
      <c r="D60" s="537"/>
      <c r="E60" s="537"/>
      <c r="F60" s="537"/>
      <c r="G60" s="537"/>
      <c r="H60" s="537"/>
      <c r="I60" s="537"/>
      <c r="J60" s="537"/>
      <c r="K60" s="537"/>
      <c r="L60" s="537"/>
      <c r="M60" s="537"/>
      <c r="N60" s="537"/>
      <c r="O60" s="537"/>
      <c r="P60" s="537"/>
      <c r="Q60" s="537"/>
      <c r="R60" s="537"/>
      <c r="S60" s="537"/>
      <c r="T60" s="537"/>
      <c r="U60" s="537"/>
      <c r="V60" s="537"/>
      <c r="W60" s="537"/>
      <c r="X60" s="537"/>
      <c r="Y60" s="537"/>
      <c r="Z60" s="537"/>
    </row>
    <row r="61" ht="15.75" customHeight="1">
      <c r="A61" s="537"/>
      <c r="B61" s="537"/>
      <c r="C61" s="537"/>
      <c r="D61" s="537"/>
      <c r="E61" s="537"/>
      <c r="F61" s="537"/>
      <c r="G61" s="537"/>
      <c r="H61" s="537"/>
      <c r="I61" s="537"/>
      <c r="J61" s="537"/>
      <c r="K61" s="537"/>
      <c r="L61" s="537"/>
      <c r="M61" s="537"/>
      <c r="N61" s="537"/>
      <c r="O61" s="537"/>
      <c r="P61" s="537"/>
      <c r="Q61" s="537"/>
      <c r="R61" s="537"/>
      <c r="S61" s="537"/>
      <c r="T61" s="537"/>
      <c r="U61" s="537"/>
      <c r="V61" s="537"/>
      <c r="W61" s="537"/>
      <c r="X61" s="537"/>
      <c r="Y61" s="537"/>
      <c r="Z61" s="537"/>
    </row>
    <row r="62" ht="15.75" customHeight="1">
      <c r="A62" s="537"/>
      <c r="B62" s="537"/>
      <c r="C62" s="537"/>
      <c r="D62" s="537"/>
      <c r="E62" s="537"/>
      <c r="F62" s="537"/>
      <c r="G62" s="537"/>
      <c r="H62" s="537"/>
      <c r="I62" s="537"/>
      <c r="J62" s="537"/>
      <c r="K62" s="537"/>
      <c r="L62" s="537"/>
      <c r="M62" s="537"/>
      <c r="N62" s="537"/>
      <c r="O62" s="537"/>
      <c r="P62" s="537"/>
      <c r="Q62" s="537"/>
      <c r="R62" s="537"/>
      <c r="S62" s="537"/>
      <c r="T62" s="537"/>
      <c r="U62" s="537"/>
      <c r="V62" s="537"/>
      <c r="W62" s="537"/>
      <c r="X62" s="537"/>
      <c r="Y62" s="537"/>
      <c r="Z62" s="537"/>
    </row>
    <row r="63" ht="15.75" customHeight="1">
      <c r="A63" s="537"/>
      <c r="B63" s="537"/>
      <c r="C63" s="537"/>
      <c r="D63" s="537"/>
      <c r="E63" s="537"/>
      <c r="F63" s="537"/>
      <c r="G63" s="537"/>
      <c r="H63" s="537"/>
      <c r="I63" s="537"/>
      <c r="J63" s="537"/>
      <c r="K63" s="537"/>
      <c r="L63" s="537"/>
      <c r="M63" s="537"/>
      <c r="N63" s="537"/>
      <c r="O63" s="537"/>
      <c r="P63" s="537"/>
      <c r="Q63" s="537"/>
      <c r="R63" s="537"/>
      <c r="S63" s="537"/>
      <c r="T63" s="537"/>
      <c r="U63" s="537"/>
      <c r="V63" s="537"/>
      <c r="W63" s="537"/>
      <c r="X63" s="537"/>
      <c r="Y63" s="537"/>
      <c r="Z63" s="537"/>
    </row>
    <row r="64" ht="15.75" customHeight="1">
      <c r="A64" s="537"/>
      <c r="B64" s="537"/>
      <c r="C64" s="537"/>
      <c r="D64" s="537"/>
      <c r="E64" s="537"/>
      <c r="F64" s="537"/>
      <c r="G64" s="537"/>
      <c r="H64" s="537"/>
      <c r="I64" s="537"/>
      <c r="J64" s="537"/>
      <c r="K64" s="537"/>
      <c r="L64" s="537"/>
      <c r="M64" s="537"/>
      <c r="N64" s="537"/>
      <c r="O64" s="537"/>
      <c r="P64" s="537"/>
      <c r="Q64" s="537"/>
      <c r="R64" s="537"/>
      <c r="S64" s="537"/>
      <c r="T64" s="537"/>
      <c r="U64" s="537"/>
      <c r="V64" s="537"/>
      <c r="W64" s="537"/>
      <c r="X64" s="537"/>
      <c r="Y64" s="537"/>
      <c r="Z64" s="537"/>
    </row>
    <row r="65" ht="15.75" customHeight="1">
      <c r="A65" s="537"/>
      <c r="B65" s="537"/>
      <c r="C65" s="537"/>
      <c r="D65" s="537"/>
      <c r="E65" s="537"/>
      <c r="F65" s="537"/>
      <c r="G65" s="537"/>
      <c r="H65" s="537"/>
      <c r="I65" s="537"/>
      <c r="J65" s="537"/>
      <c r="K65" s="537"/>
      <c r="L65" s="537"/>
      <c r="M65" s="537"/>
      <c r="N65" s="537"/>
      <c r="O65" s="537"/>
      <c r="P65" s="537"/>
      <c r="Q65" s="537"/>
      <c r="R65" s="537"/>
      <c r="S65" s="537"/>
      <c r="T65" s="537"/>
      <c r="U65" s="537"/>
      <c r="V65" s="537"/>
      <c r="W65" s="537"/>
      <c r="X65" s="537"/>
      <c r="Y65" s="537"/>
      <c r="Z65" s="537"/>
    </row>
    <row r="66" ht="15.75" customHeight="1">
      <c r="A66" s="537"/>
      <c r="B66" s="537"/>
      <c r="C66" s="537"/>
      <c r="D66" s="537"/>
      <c r="E66" s="537"/>
      <c r="F66" s="537"/>
      <c r="G66" s="537"/>
      <c r="H66" s="537"/>
      <c r="I66" s="537"/>
      <c r="J66" s="537"/>
      <c r="K66" s="537"/>
      <c r="L66" s="537"/>
      <c r="M66" s="537"/>
      <c r="N66" s="537"/>
      <c r="O66" s="537"/>
      <c r="P66" s="537"/>
      <c r="Q66" s="537"/>
      <c r="R66" s="537"/>
      <c r="S66" s="537"/>
      <c r="T66" s="537"/>
      <c r="U66" s="537"/>
      <c r="V66" s="537"/>
      <c r="W66" s="537"/>
      <c r="X66" s="537"/>
      <c r="Y66" s="537"/>
      <c r="Z66" s="537"/>
    </row>
    <row r="67" ht="15.75" customHeight="1">
      <c r="A67" s="537"/>
      <c r="B67" s="537"/>
      <c r="C67" s="537"/>
      <c r="D67" s="537"/>
      <c r="E67" s="537"/>
      <c r="F67" s="537"/>
      <c r="G67" s="537"/>
      <c r="H67" s="537"/>
      <c r="I67" s="537"/>
      <c r="J67" s="537"/>
      <c r="K67" s="537"/>
      <c r="L67" s="537"/>
      <c r="M67" s="537"/>
      <c r="N67" s="537"/>
      <c r="O67" s="537"/>
      <c r="P67" s="537"/>
      <c r="Q67" s="537"/>
      <c r="R67" s="537"/>
      <c r="S67" s="537"/>
      <c r="T67" s="537"/>
      <c r="U67" s="537"/>
      <c r="V67" s="537"/>
      <c r="W67" s="537"/>
      <c r="X67" s="537"/>
      <c r="Y67" s="537"/>
      <c r="Z67" s="537"/>
    </row>
    <row r="68" ht="15.75" customHeight="1">
      <c r="A68" s="537"/>
      <c r="B68" s="537"/>
      <c r="C68" s="537"/>
      <c r="D68" s="537"/>
      <c r="E68" s="537"/>
      <c r="F68" s="537"/>
      <c r="G68" s="537"/>
      <c r="H68" s="537"/>
      <c r="I68" s="537"/>
      <c r="J68" s="537"/>
      <c r="K68" s="537"/>
      <c r="L68" s="537"/>
      <c r="M68" s="537"/>
      <c r="N68" s="537"/>
      <c r="O68" s="537"/>
      <c r="P68" s="537"/>
      <c r="Q68" s="537"/>
      <c r="R68" s="537"/>
      <c r="S68" s="537"/>
      <c r="T68" s="537"/>
      <c r="U68" s="537"/>
      <c r="V68" s="537"/>
      <c r="W68" s="537"/>
      <c r="X68" s="537"/>
      <c r="Y68" s="537"/>
      <c r="Z68" s="537"/>
    </row>
    <row r="69" ht="15.75" customHeight="1">
      <c r="A69" s="537"/>
      <c r="B69" s="537"/>
      <c r="C69" s="537"/>
      <c r="D69" s="537"/>
      <c r="E69" s="537"/>
      <c r="F69" s="537"/>
      <c r="G69" s="537"/>
      <c r="H69" s="537"/>
      <c r="I69" s="537"/>
      <c r="J69" s="537"/>
      <c r="K69" s="537"/>
      <c r="L69" s="537"/>
      <c r="M69" s="537"/>
      <c r="N69" s="537"/>
      <c r="O69" s="537"/>
      <c r="P69" s="537"/>
      <c r="Q69" s="537"/>
      <c r="R69" s="537"/>
      <c r="S69" s="537"/>
      <c r="T69" s="537"/>
      <c r="U69" s="537"/>
      <c r="V69" s="537"/>
      <c r="W69" s="537"/>
      <c r="X69" s="537"/>
      <c r="Y69" s="537"/>
      <c r="Z69" s="537"/>
    </row>
    <row r="70" ht="15.75" customHeight="1">
      <c r="A70" s="537"/>
      <c r="B70" s="537"/>
      <c r="C70" s="537"/>
      <c r="D70" s="537"/>
      <c r="E70" s="537"/>
      <c r="F70" s="537"/>
      <c r="G70" s="537"/>
      <c r="H70" s="537"/>
      <c r="I70" s="537"/>
      <c r="J70" s="537"/>
      <c r="K70" s="537"/>
      <c r="L70" s="537"/>
      <c r="M70" s="537"/>
      <c r="N70" s="537"/>
      <c r="O70" s="537"/>
      <c r="P70" s="537"/>
      <c r="Q70" s="537"/>
      <c r="R70" s="537"/>
      <c r="S70" s="537"/>
      <c r="T70" s="537"/>
      <c r="U70" s="537"/>
      <c r="V70" s="537"/>
      <c r="W70" s="537"/>
      <c r="X70" s="537"/>
      <c r="Y70" s="537"/>
      <c r="Z70" s="537"/>
    </row>
    <row r="71" ht="15.75" customHeight="1">
      <c r="A71" s="537"/>
      <c r="B71" s="537"/>
      <c r="C71" s="537"/>
      <c r="D71" s="537"/>
      <c r="E71" s="537"/>
      <c r="F71" s="537"/>
      <c r="G71" s="537"/>
      <c r="H71" s="537"/>
      <c r="I71" s="537"/>
      <c r="J71" s="537"/>
      <c r="K71" s="537"/>
      <c r="L71" s="537"/>
      <c r="M71" s="537"/>
      <c r="N71" s="537"/>
      <c r="O71" s="537"/>
      <c r="P71" s="537"/>
      <c r="Q71" s="537"/>
      <c r="R71" s="537"/>
      <c r="S71" s="537"/>
      <c r="T71" s="537"/>
      <c r="U71" s="537"/>
      <c r="V71" s="537"/>
      <c r="W71" s="537"/>
      <c r="X71" s="537"/>
      <c r="Y71" s="537"/>
      <c r="Z71" s="537"/>
    </row>
    <row r="72" ht="15.75" customHeight="1">
      <c r="A72" s="537"/>
      <c r="B72" s="537"/>
      <c r="C72" s="537"/>
      <c r="D72" s="537"/>
      <c r="E72" s="537"/>
      <c r="F72" s="537"/>
      <c r="G72" s="537"/>
      <c r="H72" s="537"/>
      <c r="I72" s="537"/>
      <c r="J72" s="537"/>
      <c r="K72" s="537"/>
      <c r="L72" s="537"/>
      <c r="M72" s="537"/>
      <c r="N72" s="537"/>
      <c r="O72" s="537"/>
      <c r="P72" s="537"/>
      <c r="Q72" s="537"/>
      <c r="R72" s="537"/>
      <c r="S72" s="537"/>
      <c r="T72" s="537"/>
      <c r="U72" s="537"/>
      <c r="V72" s="537"/>
      <c r="W72" s="537"/>
      <c r="X72" s="537"/>
      <c r="Y72" s="537"/>
      <c r="Z72" s="537"/>
    </row>
    <row r="73" ht="15.75" customHeight="1">
      <c r="A73" s="537"/>
      <c r="B73" s="537"/>
      <c r="C73" s="537"/>
      <c r="D73" s="537"/>
      <c r="E73" s="537"/>
      <c r="F73" s="537"/>
      <c r="G73" s="537"/>
      <c r="H73" s="537"/>
      <c r="I73" s="537"/>
      <c r="J73" s="537"/>
      <c r="K73" s="537"/>
      <c r="L73" s="537"/>
      <c r="M73" s="537"/>
      <c r="N73" s="537"/>
      <c r="O73" s="537"/>
      <c r="P73" s="537"/>
      <c r="Q73" s="537"/>
      <c r="R73" s="537"/>
      <c r="S73" s="537"/>
      <c r="T73" s="537"/>
      <c r="U73" s="537"/>
      <c r="V73" s="537"/>
      <c r="W73" s="537"/>
      <c r="X73" s="537"/>
      <c r="Y73" s="537"/>
      <c r="Z73" s="537"/>
    </row>
    <row r="74" ht="15.75" customHeight="1">
      <c r="A74" s="537"/>
      <c r="B74" s="537"/>
      <c r="C74" s="537"/>
      <c r="D74" s="537"/>
      <c r="E74" s="537"/>
      <c r="F74" s="537"/>
      <c r="G74" s="537"/>
      <c r="H74" s="537"/>
      <c r="I74" s="537"/>
      <c r="J74" s="537"/>
      <c r="K74" s="537"/>
      <c r="L74" s="537"/>
      <c r="M74" s="537"/>
      <c r="N74" s="537"/>
      <c r="O74" s="537"/>
      <c r="P74" s="537"/>
      <c r="Q74" s="537"/>
      <c r="R74" s="537"/>
      <c r="S74" s="537"/>
      <c r="T74" s="537"/>
      <c r="U74" s="537"/>
      <c r="V74" s="537"/>
      <c r="W74" s="537"/>
      <c r="X74" s="537"/>
      <c r="Y74" s="537"/>
      <c r="Z74" s="537"/>
    </row>
    <row r="75" ht="15.75" customHeight="1">
      <c r="A75" s="537"/>
      <c r="B75" s="537"/>
      <c r="C75" s="537"/>
      <c r="D75" s="537"/>
      <c r="E75" s="537"/>
      <c r="F75" s="537"/>
      <c r="G75" s="537"/>
      <c r="H75" s="537"/>
      <c r="I75" s="537"/>
      <c r="J75" s="537"/>
      <c r="K75" s="537"/>
      <c r="L75" s="537"/>
      <c r="M75" s="537"/>
      <c r="N75" s="537"/>
      <c r="O75" s="537"/>
      <c r="P75" s="537"/>
      <c r="Q75" s="537"/>
      <c r="R75" s="537"/>
      <c r="S75" s="537"/>
      <c r="T75" s="537"/>
      <c r="U75" s="537"/>
      <c r="V75" s="537"/>
      <c r="W75" s="537"/>
      <c r="X75" s="537"/>
      <c r="Y75" s="537"/>
      <c r="Z75" s="537"/>
    </row>
    <row r="76" ht="15.75" customHeight="1">
      <c r="A76" s="537"/>
      <c r="B76" s="537"/>
      <c r="C76" s="537"/>
      <c r="D76" s="537"/>
      <c r="E76" s="537"/>
      <c r="F76" s="537"/>
      <c r="G76" s="537"/>
      <c r="H76" s="537"/>
      <c r="I76" s="537"/>
      <c r="J76" s="537"/>
      <c r="K76" s="537"/>
      <c r="L76" s="537"/>
      <c r="M76" s="537"/>
      <c r="N76" s="537"/>
      <c r="O76" s="537"/>
      <c r="P76" s="537"/>
      <c r="Q76" s="537"/>
      <c r="R76" s="537"/>
      <c r="S76" s="537"/>
      <c r="T76" s="537"/>
      <c r="U76" s="537"/>
      <c r="V76" s="537"/>
      <c r="W76" s="537"/>
      <c r="X76" s="537"/>
      <c r="Y76" s="537"/>
      <c r="Z76" s="537"/>
    </row>
    <row r="77" ht="15.75" customHeight="1">
      <c r="A77" s="537"/>
      <c r="B77" s="537"/>
      <c r="C77" s="537"/>
      <c r="D77" s="537"/>
      <c r="E77" s="537"/>
      <c r="F77" s="537"/>
      <c r="G77" s="537"/>
      <c r="H77" s="537"/>
      <c r="I77" s="537"/>
      <c r="J77" s="537"/>
      <c r="K77" s="537"/>
      <c r="L77" s="537"/>
      <c r="M77" s="537"/>
      <c r="N77" s="537"/>
      <c r="O77" s="537"/>
      <c r="P77" s="537"/>
      <c r="Q77" s="537"/>
      <c r="R77" s="537"/>
      <c r="S77" s="537"/>
      <c r="T77" s="537"/>
      <c r="U77" s="537"/>
      <c r="V77" s="537"/>
      <c r="W77" s="537"/>
      <c r="X77" s="537"/>
      <c r="Y77" s="537"/>
      <c r="Z77" s="537"/>
    </row>
    <row r="78" ht="15.75" customHeight="1">
      <c r="A78" s="537"/>
      <c r="B78" s="537"/>
      <c r="C78" s="537"/>
      <c r="D78" s="537"/>
      <c r="E78" s="537"/>
      <c r="F78" s="537"/>
      <c r="G78" s="537"/>
      <c r="H78" s="537"/>
      <c r="I78" s="537"/>
      <c r="J78" s="537"/>
      <c r="K78" s="537"/>
      <c r="L78" s="537"/>
      <c r="M78" s="537"/>
      <c r="N78" s="537"/>
      <c r="O78" s="537"/>
      <c r="P78" s="537"/>
      <c r="Q78" s="537"/>
      <c r="R78" s="537"/>
      <c r="S78" s="537"/>
      <c r="T78" s="537"/>
      <c r="U78" s="537"/>
      <c r="V78" s="537"/>
      <c r="W78" s="537"/>
      <c r="X78" s="537"/>
      <c r="Y78" s="537"/>
      <c r="Z78" s="537"/>
    </row>
    <row r="79" ht="15.75" customHeight="1">
      <c r="A79" s="537"/>
      <c r="B79" s="537"/>
      <c r="C79" s="537"/>
      <c r="D79" s="537"/>
      <c r="E79" s="537"/>
      <c r="F79" s="537"/>
      <c r="G79" s="537"/>
      <c r="H79" s="537"/>
      <c r="I79" s="537"/>
      <c r="J79" s="537"/>
      <c r="K79" s="537"/>
      <c r="L79" s="537"/>
      <c r="M79" s="537"/>
      <c r="N79" s="537"/>
      <c r="O79" s="537"/>
      <c r="P79" s="537"/>
      <c r="Q79" s="537"/>
      <c r="R79" s="537"/>
      <c r="S79" s="537"/>
      <c r="T79" s="537"/>
      <c r="U79" s="537"/>
      <c r="V79" s="537"/>
      <c r="W79" s="537"/>
      <c r="X79" s="537"/>
      <c r="Y79" s="537"/>
      <c r="Z79" s="537"/>
    </row>
    <row r="80" ht="15.75" customHeight="1">
      <c r="A80" s="537"/>
      <c r="B80" s="537"/>
      <c r="C80" s="537"/>
      <c r="D80" s="537"/>
      <c r="E80" s="537"/>
      <c r="F80" s="537"/>
      <c r="G80" s="537"/>
      <c r="H80" s="537"/>
      <c r="I80" s="537"/>
      <c r="J80" s="537"/>
      <c r="K80" s="537"/>
      <c r="L80" s="537"/>
      <c r="M80" s="537"/>
      <c r="N80" s="537"/>
      <c r="O80" s="537"/>
      <c r="P80" s="537"/>
      <c r="Q80" s="537"/>
      <c r="R80" s="537"/>
      <c r="S80" s="537"/>
      <c r="T80" s="537"/>
      <c r="U80" s="537"/>
      <c r="V80" s="537"/>
      <c r="W80" s="537"/>
      <c r="X80" s="537"/>
      <c r="Y80" s="537"/>
      <c r="Z80" s="537"/>
    </row>
    <row r="81" ht="15.75" customHeight="1">
      <c r="A81" s="537"/>
      <c r="B81" s="537"/>
      <c r="C81" s="537"/>
      <c r="D81" s="537"/>
      <c r="E81" s="537"/>
      <c r="F81" s="537"/>
      <c r="G81" s="537"/>
      <c r="H81" s="537"/>
      <c r="I81" s="537"/>
      <c r="J81" s="537"/>
      <c r="K81" s="537"/>
      <c r="L81" s="537"/>
      <c r="M81" s="537"/>
      <c r="N81" s="537"/>
      <c r="O81" s="537"/>
      <c r="P81" s="537"/>
      <c r="Q81" s="537"/>
      <c r="R81" s="537"/>
      <c r="S81" s="537"/>
      <c r="T81" s="537"/>
      <c r="U81" s="537"/>
      <c r="V81" s="537"/>
      <c r="W81" s="537"/>
      <c r="X81" s="537"/>
      <c r="Y81" s="537"/>
      <c r="Z81" s="537"/>
    </row>
    <row r="82" ht="15.75" customHeight="1">
      <c r="A82" s="537"/>
      <c r="B82" s="537"/>
      <c r="C82" s="537"/>
      <c r="D82" s="537"/>
      <c r="E82" s="537"/>
      <c r="F82" s="537"/>
      <c r="G82" s="537"/>
      <c r="H82" s="537"/>
      <c r="I82" s="537"/>
      <c r="J82" s="537"/>
      <c r="K82" s="537"/>
      <c r="L82" s="537"/>
      <c r="M82" s="537"/>
      <c r="N82" s="537"/>
      <c r="O82" s="537"/>
      <c r="P82" s="537"/>
      <c r="Q82" s="537"/>
      <c r="R82" s="537"/>
      <c r="S82" s="537"/>
      <c r="T82" s="537"/>
      <c r="U82" s="537"/>
      <c r="V82" s="537"/>
      <c r="W82" s="537"/>
      <c r="X82" s="537"/>
      <c r="Y82" s="537"/>
      <c r="Z82" s="537"/>
    </row>
    <row r="83" ht="15.75" customHeight="1">
      <c r="A83" s="537"/>
      <c r="B83" s="537"/>
      <c r="C83" s="537"/>
      <c r="D83" s="537"/>
      <c r="E83" s="537"/>
      <c r="F83" s="537"/>
      <c r="G83" s="537"/>
      <c r="H83" s="537"/>
      <c r="I83" s="537"/>
      <c r="J83" s="537"/>
      <c r="K83" s="537"/>
      <c r="L83" s="537"/>
      <c r="M83" s="537"/>
      <c r="N83" s="537"/>
      <c r="O83" s="537"/>
      <c r="P83" s="537"/>
      <c r="Q83" s="537"/>
      <c r="R83" s="537"/>
      <c r="S83" s="537"/>
      <c r="T83" s="537"/>
      <c r="U83" s="537"/>
      <c r="V83" s="537"/>
      <c r="W83" s="537"/>
      <c r="X83" s="537"/>
      <c r="Y83" s="537"/>
      <c r="Z83" s="537"/>
    </row>
    <row r="84" ht="15.75" customHeight="1">
      <c r="A84" s="537"/>
      <c r="B84" s="537"/>
      <c r="C84" s="537"/>
      <c r="D84" s="537"/>
      <c r="E84" s="537"/>
      <c r="F84" s="537"/>
      <c r="G84" s="537"/>
      <c r="H84" s="537"/>
      <c r="I84" s="537"/>
      <c r="J84" s="537"/>
      <c r="K84" s="537"/>
      <c r="L84" s="537"/>
      <c r="M84" s="537"/>
      <c r="N84" s="537"/>
      <c r="O84" s="537"/>
      <c r="P84" s="537"/>
      <c r="Q84" s="537"/>
      <c r="R84" s="537"/>
      <c r="S84" s="537"/>
      <c r="T84" s="537"/>
      <c r="U84" s="537"/>
      <c r="V84" s="537"/>
      <c r="W84" s="537"/>
      <c r="X84" s="537"/>
      <c r="Y84" s="537"/>
      <c r="Z84" s="537"/>
    </row>
    <row r="85" ht="15.75" customHeight="1">
      <c r="A85" s="537"/>
      <c r="B85" s="537"/>
      <c r="C85" s="537"/>
      <c r="D85" s="537"/>
      <c r="E85" s="537"/>
      <c r="F85" s="537"/>
      <c r="G85" s="537"/>
      <c r="H85" s="537"/>
      <c r="I85" s="537"/>
      <c r="J85" s="537"/>
      <c r="K85" s="537"/>
      <c r="L85" s="537"/>
      <c r="M85" s="537"/>
      <c r="N85" s="537"/>
      <c r="O85" s="537"/>
      <c r="P85" s="537"/>
      <c r="Q85" s="537"/>
      <c r="R85" s="537"/>
      <c r="S85" s="537"/>
      <c r="T85" s="537"/>
      <c r="U85" s="537"/>
      <c r="V85" s="537"/>
      <c r="W85" s="537"/>
      <c r="X85" s="537"/>
      <c r="Y85" s="537"/>
      <c r="Z85" s="537"/>
    </row>
    <row r="86" ht="15.75" customHeight="1">
      <c r="A86" s="537"/>
      <c r="B86" s="537"/>
      <c r="C86" s="537"/>
      <c r="D86" s="537"/>
      <c r="E86" s="537"/>
      <c r="F86" s="537"/>
      <c r="G86" s="537"/>
      <c r="H86" s="537"/>
      <c r="I86" s="537"/>
      <c r="J86" s="537"/>
      <c r="K86" s="537"/>
      <c r="L86" s="537"/>
      <c r="M86" s="537"/>
      <c r="N86" s="537"/>
      <c r="O86" s="537"/>
      <c r="P86" s="537"/>
      <c r="Q86" s="537"/>
      <c r="R86" s="537"/>
      <c r="S86" s="537"/>
      <c r="T86" s="537"/>
      <c r="U86" s="537"/>
      <c r="V86" s="537"/>
      <c r="W86" s="537"/>
      <c r="X86" s="537"/>
      <c r="Y86" s="537"/>
      <c r="Z86" s="537"/>
    </row>
    <row r="87" ht="15.75" customHeight="1">
      <c r="A87" s="537"/>
      <c r="B87" s="537"/>
      <c r="C87" s="537"/>
      <c r="D87" s="537"/>
      <c r="E87" s="537"/>
      <c r="F87" s="537"/>
      <c r="G87" s="537"/>
      <c r="H87" s="537"/>
      <c r="I87" s="537"/>
      <c r="J87" s="537"/>
      <c r="K87" s="537"/>
      <c r="L87" s="537"/>
      <c r="M87" s="537"/>
      <c r="N87" s="537"/>
      <c r="O87" s="537"/>
      <c r="P87" s="537"/>
      <c r="Q87" s="537"/>
      <c r="R87" s="537"/>
      <c r="S87" s="537"/>
      <c r="T87" s="537"/>
      <c r="U87" s="537"/>
      <c r="V87" s="537"/>
      <c r="W87" s="537"/>
      <c r="X87" s="537"/>
      <c r="Y87" s="537"/>
      <c r="Z87" s="537"/>
    </row>
    <row r="88" ht="15.75" customHeight="1">
      <c r="A88" s="537"/>
      <c r="B88" s="537"/>
      <c r="C88" s="537"/>
      <c r="D88" s="537"/>
      <c r="E88" s="537"/>
      <c r="F88" s="537"/>
      <c r="G88" s="537"/>
      <c r="H88" s="537"/>
      <c r="I88" s="537"/>
      <c r="J88" s="537"/>
      <c r="K88" s="537"/>
      <c r="L88" s="537"/>
      <c r="M88" s="537"/>
      <c r="N88" s="537"/>
      <c r="O88" s="537"/>
      <c r="P88" s="537"/>
      <c r="Q88" s="537"/>
      <c r="R88" s="537"/>
      <c r="S88" s="537"/>
      <c r="T88" s="537"/>
      <c r="U88" s="537"/>
      <c r="V88" s="537"/>
      <c r="W88" s="537"/>
      <c r="X88" s="537"/>
      <c r="Y88" s="537"/>
      <c r="Z88" s="537"/>
    </row>
    <row r="89" ht="15.75" customHeight="1">
      <c r="A89" s="537"/>
      <c r="B89" s="537"/>
      <c r="C89" s="537"/>
      <c r="D89" s="537"/>
      <c r="E89" s="537"/>
      <c r="F89" s="537"/>
      <c r="G89" s="537"/>
      <c r="H89" s="537"/>
      <c r="I89" s="537"/>
      <c r="J89" s="537"/>
      <c r="K89" s="537"/>
      <c r="L89" s="537"/>
      <c r="M89" s="537"/>
      <c r="N89" s="537"/>
      <c r="O89" s="537"/>
      <c r="P89" s="537"/>
      <c r="Q89" s="537"/>
      <c r="R89" s="537"/>
      <c r="S89" s="537"/>
      <c r="T89" s="537"/>
      <c r="U89" s="537"/>
      <c r="V89" s="537"/>
      <c r="W89" s="537"/>
      <c r="X89" s="537"/>
      <c r="Y89" s="537"/>
      <c r="Z89" s="537"/>
    </row>
    <row r="90" ht="15.75" customHeight="1">
      <c r="A90" s="537"/>
      <c r="B90" s="537"/>
      <c r="C90" s="537"/>
      <c r="D90" s="537"/>
      <c r="E90" s="537"/>
      <c r="F90" s="537"/>
      <c r="G90" s="537"/>
      <c r="H90" s="537"/>
      <c r="I90" s="537"/>
      <c r="J90" s="537"/>
      <c r="K90" s="537"/>
      <c r="L90" s="537"/>
      <c r="M90" s="537"/>
      <c r="N90" s="537"/>
      <c r="O90" s="537"/>
      <c r="P90" s="537"/>
      <c r="Q90" s="537"/>
      <c r="R90" s="537"/>
      <c r="S90" s="537"/>
      <c r="T90" s="537"/>
      <c r="U90" s="537"/>
      <c r="V90" s="537"/>
      <c r="W90" s="537"/>
      <c r="X90" s="537"/>
      <c r="Y90" s="537"/>
      <c r="Z90" s="537"/>
    </row>
    <row r="91" ht="15.75" customHeight="1">
      <c r="A91" s="537"/>
      <c r="B91" s="537"/>
      <c r="C91" s="537"/>
      <c r="D91" s="537"/>
      <c r="E91" s="537"/>
      <c r="F91" s="537"/>
      <c r="G91" s="537"/>
      <c r="H91" s="537"/>
      <c r="I91" s="537"/>
      <c r="J91" s="537"/>
      <c r="K91" s="537"/>
      <c r="L91" s="537"/>
      <c r="M91" s="537"/>
      <c r="N91" s="537"/>
      <c r="O91" s="537"/>
      <c r="P91" s="537"/>
      <c r="Q91" s="537"/>
      <c r="R91" s="537"/>
      <c r="S91" s="537"/>
      <c r="T91" s="537"/>
      <c r="U91" s="537"/>
      <c r="V91" s="537"/>
      <c r="W91" s="537"/>
      <c r="X91" s="537"/>
      <c r="Y91" s="537"/>
      <c r="Z91" s="537"/>
    </row>
    <row r="92" ht="15.75" customHeight="1">
      <c r="A92" s="537"/>
      <c r="B92" s="537"/>
      <c r="C92" s="537"/>
      <c r="D92" s="537"/>
      <c r="E92" s="537"/>
      <c r="F92" s="537"/>
      <c r="G92" s="537"/>
      <c r="H92" s="537"/>
      <c r="I92" s="537"/>
      <c r="J92" s="537"/>
      <c r="K92" s="537"/>
      <c r="L92" s="537"/>
      <c r="M92" s="537"/>
      <c r="N92" s="537"/>
      <c r="O92" s="537"/>
      <c r="P92" s="537"/>
      <c r="Q92" s="537"/>
      <c r="R92" s="537"/>
      <c r="S92" s="537"/>
      <c r="T92" s="537"/>
      <c r="U92" s="537"/>
      <c r="V92" s="537"/>
      <c r="W92" s="537"/>
      <c r="X92" s="537"/>
      <c r="Y92" s="537"/>
      <c r="Z92" s="537"/>
    </row>
    <row r="93" ht="15.75" customHeight="1">
      <c r="A93" s="537"/>
      <c r="B93" s="537"/>
      <c r="C93" s="537"/>
      <c r="D93" s="537"/>
      <c r="E93" s="537"/>
      <c r="F93" s="537"/>
      <c r="G93" s="537"/>
      <c r="H93" s="537"/>
      <c r="I93" s="537"/>
      <c r="J93" s="537"/>
      <c r="K93" s="537"/>
      <c r="L93" s="537"/>
      <c r="M93" s="537"/>
      <c r="N93" s="537"/>
      <c r="O93" s="537"/>
      <c r="P93" s="537"/>
      <c r="Q93" s="537"/>
      <c r="R93" s="537"/>
      <c r="S93" s="537"/>
      <c r="T93" s="537"/>
      <c r="U93" s="537"/>
      <c r="V93" s="537"/>
      <c r="W93" s="537"/>
      <c r="X93" s="537"/>
      <c r="Y93" s="537"/>
      <c r="Z93" s="537"/>
    </row>
    <row r="94" ht="15.75" customHeight="1">
      <c r="A94" s="537"/>
      <c r="B94" s="537"/>
      <c r="C94" s="537"/>
      <c r="D94" s="537"/>
      <c r="E94" s="537"/>
      <c r="F94" s="537"/>
      <c r="G94" s="537"/>
      <c r="H94" s="537"/>
      <c r="I94" s="537"/>
      <c r="J94" s="537"/>
      <c r="K94" s="537"/>
      <c r="L94" s="537"/>
      <c r="M94" s="537"/>
      <c r="N94" s="537"/>
      <c r="O94" s="537"/>
      <c r="P94" s="537"/>
      <c r="Q94" s="537"/>
      <c r="R94" s="537"/>
      <c r="S94" s="537"/>
      <c r="T94" s="537"/>
      <c r="U94" s="537"/>
      <c r="V94" s="537"/>
      <c r="W94" s="537"/>
      <c r="X94" s="537"/>
      <c r="Y94" s="537"/>
      <c r="Z94" s="537"/>
    </row>
    <row r="95" ht="15.75" customHeight="1">
      <c r="A95" s="537"/>
      <c r="B95" s="537"/>
      <c r="C95" s="537"/>
      <c r="D95" s="537"/>
      <c r="E95" s="537"/>
      <c r="F95" s="537"/>
      <c r="G95" s="537"/>
      <c r="H95" s="537"/>
      <c r="I95" s="537"/>
      <c r="J95" s="537"/>
      <c r="K95" s="537"/>
      <c r="L95" s="537"/>
      <c r="M95" s="537"/>
      <c r="N95" s="537"/>
      <c r="O95" s="537"/>
      <c r="P95" s="537"/>
      <c r="Q95" s="537"/>
      <c r="R95" s="537"/>
      <c r="S95" s="537"/>
      <c r="T95" s="537"/>
      <c r="U95" s="537"/>
      <c r="V95" s="537"/>
      <c r="W95" s="537"/>
      <c r="X95" s="537"/>
      <c r="Y95" s="537"/>
      <c r="Z95" s="537"/>
    </row>
    <row r="96" ht="15.75" customHeight="1">
      <c r="A96" s="537"/>
      <c r="B96" s="537"/>
      <c r="C96" s="537"/>
      <c r="D96" s="537"/>
      <c r="E96" s="537"/>
      <c r="F96" s="537"/>
      <c r="G96" s="537"/>
      <c r="H96" s="537"/>
      <c r="I96" s="537"/>
      <c r="J96" s="537"/>
      <c r="K96" s="537"/>
      <c r="L96" s="537"/>
      <c r="M96" s="537"/>
      <c r="N96" s="537"/>
      <c r="O96" s="537"/>
      <c r="P96" s="537"/>
      <c r="Q96" s="537"/>
      <c r="R96" s="537"/>
      <c r="S96" s="537"/>
      <c r="T96" s="537"/>
      <c r="U96" s="537"/>
      <c r="V96" s="537"/>
      <c r="W96" s="537"/>
      <c r="X96" s="537"/>
      <c r="Y96" s="537"/>
      <c r="Z96" s="537"/>
    </row>
    <row r="97" ht="15.75" customHeight="1">
      <c r="A97" s="537"/>
      <c r="B97" s="537"/>
      <c r="C97" s="537"/>
      <c r="D97" s="537"/>
      <c r="E97" s="537"/>
      <c r="F97" s="537"/>
      <c r="G97" s="537"/>
      <c r="H97" s="537"/>
      <c r="I97" s="537"/>
      <c r="J97" s="537"/>
      <c r="K97" s="537"/>
      <c r="L97" s="537"/>
      <c r="M97" s="537"/>
      <c r="N97" s="537"/>
      <c r="O97" s="537"/>
      <c r="P97" s="537"/>
      <c r="Q97" s="537"/>
      <c r="R97" s="537"/>
      <c r="S97" s="537"/>
      <c r="T97" s="537"/>
      <c r="U97" s="537"/>
      <c r="V97" s="537"/>
      <c r="W97" s="537"/>
      <c r="X97" s="537"/>
      <c r="Y97" s="537"/>
      <c r="Z97" s="537"/>
    </row>
    <row r="98" ht="15.75" customHeight="1">
      <c r="A98" s="537"/>
      <c r="B98" s="537"/>
      <c r="C98" s="537"/>
      <c r="D98" s="537"/>
      <c r="E98" s="537"/>
      <c r="F98" s="537"/>
      <c r="G98" s="537"/>
      <c r="H98" s="537"/>
      <c r="I98" s="537"/>
      <c r="J98" s="537"/>
      <c r="K98" s="537"/>
      <c r="L98" s="537"/>
      <c r="M98" s="537"/>
      <c r="N98" s="537"/>
      <c r="O98" s="537"/>
      <c r="P98" s="537"/>
      <c r="Q98" s="537"/>
      <c r="R98" s="537"/>
      <c r="S98" s="537"/>
      <c r="T98" s="537"/>
      <c r="U98" s="537"/>
      <c r="V98" s="537"/>
      <c r="W98" s="537"/>
      <c r="X98" s="537"/>
      <c r="Y98" s="537"/>
      <c r="Z98" s="537"/>
    </row>
    <row r="99" ht="15.75" customHeight="1">
      <c r="A99" s="537"/>
      <c r="B99" s="537"/>
      <c r="C99" s="537"/>
      <c r="D99" s="537"/>
      <c r="E99" s="537"/>
      <c r="F99" s="537"/>
      <c r="G99" s="537"/>
      <c r="H99" s="537"/>
      <c r="I99" s="537"/>
      <c r="J99" s="537"/>
      <c r="K99" s="537"/>
      <c r="L99" s="537"/>
      <c r="M99" s="537"/>
      <c r="N99" s="537"/>
      <c r="O99" s="537"/>
      <c r="P99" s="537"/>
      <c r="Q99" s="537"/>
      <c r="R99" s="537"/>
      <c r="S99" s="537"/>
      <c r="T99" s="537"/>
      <c r="U99" s="537"/>
      <c r="V99" s="537"/>
      <c r="W99" s="537"/>
      <c r="X99" s="537"/>
      <c r="Y99" s="537"/>
      <c r="Z99" s="537"/>
    </row>
    <row r="100" ht="15.75" customHeight="1">
      <c r="A100" s="537"/>
      <c r="B100" s="537"/>
      <c r="C100" s="537"/>
      <c r="D100" s="537"/>
      <c r="E100" s="537"/>
      <c r="F100" s="537"/>
      <c r="G100" s="537"/>
      <c r="H100" s="537"/>
      <c r="I100" s="537"/>
      <c r="J100" s="537"/>
      <c r="K100" s="537"/>
      <c r="L100" s="537"/>
      <c r="M100" s="537"/>
      <c r="N100" s="537"/>
      <c r="O100" s="537"/>
      <c r="P100" s="537"/>
      <c r="Q100" s="537"/>
      <c r="R100" s="537"/>
      <c r="S100" s="537"/>
      <c r="T100" s="537"/>
      <c r="U100" s="537"/>
      <c r="V100" s="537"/>
      <c r="W100" s="537"/>
      <c r="X100" s="537"/>
      <c r="Y100" s="537"/>
      <c r="Z100" s="537"/>
    </row>
    <row r="101" ht="15.75" customHeight="1">
      <c r="A101" s="537"/>
      <c r="B101" s="537"/>
      <c r="C101" s="537"/>
      <c r="D101" s="537"/>
      <c r="E101" s="537"/>
      <c r="F101" s="537"/>
      <c r="G101" s="537"/>
      <c r="H101" s="537"/>
      <c r="I101" s="537"/>
      <c r="J101" s="537"/>
      <c r="K101" s="537"/>
      <c r="L101" s="537"/>
      <c r="M101" s="537"/>
      <c r="N101" s="537"/>
      <c r="O101" s="537"/>
      <c r="P101" s="537"/>
      <c r="Q101" s="537"/>
      <c r="R101" s="537"/>
      <c r="S101" s="537"/>
      <c r="T101" s="537"/>
      <c r="U101" s="537"/>
      <c r="V101" s="537"/>
      <c r="W101" s="537"/>
      <c r="X101" s="537"/>
      <c r="Y101" s="537"/>
      <c r="Z101" s="537"/>
    </row>
    <row r="102" ht="15.75" customHeight="1">
      <c r="A102" s="537"/>
      <c r="B102" s="537"/>
      <c r="C102" s="537"/>
      <c r="D102" s="537"/>
      <c r="E102" s="537"/>
      <c r="F102" s="537"/>
      <c r="G102" s="537"/>
      <c r="H102" s="537"/>
      <c r="I102" s="537"/>
      <c r="J102" s="537"/>
      <c r="K102" s="537"/>
      <c r="L102" s="537"/>
      <c r="M102" s="537"/>
      <c r="N102" s="537"/>
      <c r="O102" s="537"/>
      <c r="P102" s="537"/>
      <c r="Q102" s="537"/>
      <c r="R102" s="537"/>
      <c r="S102" s="537"/>
      <c r="T102" s="537"/>
      <c r="U102" s="537"/>
      <c r="V102" s="537"/>
      <c r="W102" s="537"/>
      <c r="X102" s="537"/>
      <c r="Y102" s="537"/>
      <c r="Z102" s="537"/>
    </row>
    <row r="103" ht="15.75" customHeight="1">
      <c r="A103" s="537"/>
      <c r="B103" s="537"/>
      <c r="C103" s="537"/>
      <c r="D103" s="537"/>
      <c r="E103" s="537"/>
      <c r="F103" s="537"/>
      <c r="G103" s="537"/>
      <c r="H103" s="537"/>
      <c r="I103" s="537"/>
      <c r="J103" s="537"/>
      <c r="K103" s="537"/>
      <c r="L103" s="537"/>
      <c r="M103" s="537"/>
      <c r="N103" s="537"/>
      <c r="O103" s="537"/>
      <c r="P103" s="537"/>
      <c r="Q103" s="537"/>
      <c r="R103" s="537"/>
      <c r="S103" s="537"/>
      <c r="T103" s="537"/>
      <c r="U103" s="537"/>
      <c r="V103" s="537"/>
      <c r="W103" s="537"/>
      <c r="X103" s="537"/>
      <c r="Y103" s="537"/>
      <c r="Z103" s="537"/>
    </row>
    <row r="104" ht="15.75" customHeight="1">
      <c r="A104" s="537"/>
      <c r="B104" s="537"/>
      <c r="C104" s="537"/>
      <c r="D104" s="537"/>
      <c r="E104" s="537"/>
      <c r="F104" s="537"/>
      <c r="G104" s="537"/>
      <c r="H104" s="537"/>
      <c r="I104" s="537"/>
      <c r="J104" s="537"/>
      <c r="K104" s="537"/>
      <c r="L104" s="537"/>
      <c r="M104" s="537"/>
      <c r="N104" s="537"/>
      <c r="O104" s="537"/>
      <c r="P104" s="537"/>
      <c r="Q104" s="537"/>
      <c r="R104" s="537"/>
      <c r="S104" s="537"/>
      <c r="T104" s="537"/>
      <c r="U104" s="537"/>
      <c r="V104" s="537"/>
      <c r="W104" s="537"/>
      <c r="X104" s="537"/>
      <c r="Y104" s="537"/>
      <c r="Z104" s="537"/>
    </row>
    <row r="105" ht="15.75" customHeight="1">
      <c r="A105" s="537"/>
      <c r="B105" s="537"/>
      <c r="C105" s="537"/>
      <c r="D105" s="537"/>
      <c r="E105" s="537"/>
      <c r="F105" s="537"/>
      <c r="G105" s="537"/>
      <c r="H105" s="537"/>
      <c r="I105" s="537"/>
      <c r="J105" s="537"/>
      <c r="K105" s="537"/>
      <c r="L105" s="537"/>
      <c r="M105" s="537"/>
      <c r="N105" s="537"/>
      <c r="O105" s="537"/>
      <c r="P105" s="537"/>
      <c r="Q105" s="537"/>
      <c r="R105" s="537"/>
      <c r="S105" s="537"/>
      <c r="T105" s="537"/>
      <c r="U105" s="537"/>
      <c r="V105" s="537"/>
      <c r="W105" s="537"/>
      <c r="X105" s="537"/>
      <c r="Y105" s="537"/>
      <c r="Z105" s="537"/>
    </row>
    <row r="106" ht="15.75" customHeight="1">
      <c r="A106" s="537"/>
      <c r="B106" s="537"/>
      <c r="C106" s="537"/>
      <c r="D106" s="537"/>
      <c r="E106" s="537"/>
      <c r="F106" s="537"/>
      <c r="G106" s="537"/>
      <c r="H106" s="537"/>
      <c r="I106" s="537"/>
      <c r="J106" s="537"/>
      <c r="K106" s="537"/>
      <c r="L106" s="537"/>
      <c r="M106" s="537"/>
      <c r="N106" s="537"/>
      <c r="O106" s="537"/>
      <c r="P106" s="537"/>
      <c r="Q106" s="537"/>
      <c r="R106" s="537"/>
      <c r="S106" s="537"/>
      <c r="T106" s="537"/>
      <c r="U106" s="537"/>
      <c r="V106" s="537"/>
      <c r="W106" s="537"/>
      <c r="X106" s="537"/>
      <c r="Y106" s="537"/>
      <c r="Z106" s="537"/>
    </row>
    <row r="107" ht="15.75" customHeight="1">
      <c r="A107" s="537"/>
      <c r="B107" s="537"/>
      <c r="C107" s="537"/>
      <c r="D107" s="537"/>
      <c r="E107" s="537"/>
      <c r="F107" s="537"/>
      <c r="G107" s="537"/>
      <c r="H107" s="537"/>
      <c r="I107" s="537"/>
      <c r="J107" s="537"/>
      <c r="K107" s="537"/>
      <c r="L107" s="537"/>
      <c r="M107" s="537"/>
      <c r="N107" s="537"/>
      <c r="O107" s="537"/>
      <c r="P107" s="537"/>
      <c r="Q107" s="537"/>
      <c r="R107" s="537"/>
      <c r="S107" s="537"/>
      <c r="T107" s="537"/>
      <c r="U107" s="537"/>
      <c r="V107" s="537"/>
      <c r="W107" s="537"/>
      <c r="X107" s="537"/>
      <c r="Y107" s="537"/>
      <c r="Z107" s="537"/>
    </row>
    <row r="108" ht="15.75" customHeight="1">
      <c r="A108" s="537"/>
      <c r="B108" s="537"/>
      <c r="C108" s="537"/>
      <c r="D108" s="537"/>
      <c r="E108" s="537"/>
      <c r="F108" s="537"/>
      <c r="G108" s="537"/>
      <c r="H108" s="537"/>
      <c r="I108" s="537"/>
      <c r="J108" s="537"/>
      <c r="K108" s="537"/>
      <c r="L108" s="537"/>
      <c r="M108" s="537"/>
      <c r="N108" s="537"/>
      <c r="O108" s="537"/>
      <c r="P108" s="537"/>
      <c r="Q108" s="537"/>
      <c r="R108" s="537"/>
      <c r="S108" s="537"/>
      <c r="T108" s="537"/>
      <c r="U108" s="537"/>
      <c r="V108" s="537"/>
      <c r="W108" s="537"/>
      <c r="X108" s="537"/>
      <c r="Y108" s="537"/>
      <c r="Z108" s="537"/>
    </row>
    <row r="109" ht="15.75" customHeight="1">
      <c r="A109" s="537"/>
      <c r="B109" s="537"/>
      <c r="C109" s="537"/>
      <c r="D109" s="537"/>
      <c r="E109" s="537"/>
      <c r="F109" s="537"/>
      <c r="G109" s="537"/>
      <c r="H109" s="537"/>
      <c r="I109" s="537"/>
      <c r="J109" s="537"/>
      <c r="K109" s="537"/>
      <c r="L109" s="537"/>
      <c r="M109" s="537"/>
      <c r="N109" s="537"/>
      <c r="O109" s="537"/>
      <c r="P109" s="537"/>
      <c r="Q109" s="537"/>
      <c r="R109" s="537"/>
      <c r="S109" s="537"/>
      <c r="T109" s="537"/>
      <c r="U109" s="537"/>
      <c r="V109" s="537"/>
      <c r="W109" s="537"/>
      <c r="X109" s="537"/>
      <c r="Y109" s="537"/>
      <c r="Z109" s="537"/>
    </row>
    <row r="110" ht="15.75" customHeight="1">
      <c r="A110" s="537"/>
      <c r="B110" s="537"/>
      <c r="C110" s="537"/>
      <c r="D110" s="537"/>
      <c r="E110" s="537"/>
      <c r="F110" s="537"/>
      <c r="G110" s="537"/>
      <c r="H110" s="537"/>
      <c r="I110" s="537"/>
      <c r="J110" s="537"/>
      <c r="K110" s="537"/>
      <c r="L110" s="537"/>
      <c r="M110" s="537"/>
      <c r="N110" s="537"/>
      <c r="O110" s="537"/>
      <c r="P110" s="537"/>
      <c r="Q110" s="537"/>
      <c r="R110" s="537"/>
      <c r="S110" s="537"/>
      <c r="T110" s="537"/>
      <c r="U110" s="537"/>
      <c r="V110" s="537"/>
      <c r="W110" s="537"/>
      <c r="X110" s="537"/>
      <c r="Y110" s="537"/>
      <c r="Z110" s="537"/>
    </row>
    <row r="111" ht="15.75" customHeight="1">
      <c r="A111" s="537"/>
      <c r="B111" s="537"/>
      <c r="C111" s="537"/>
      <c r="D111" s="537"/>
      <c r="E111" s="537"/>
      <c r="F111" s="537"/>
      <c r="G111" s="537"/>
      <c r="H111" s="537"/>
      <c r="I111" s="537"/>
      <c r="J111" s="537"/>
      <c r="K111" s="537"/>
      <c r="L111" s="537"/>
      <c r="M111" s="537"/>
      <c r="N111" s="537"/>
      <c r="O111" s="537"/>
      <c r="P111" s="537"/>
      <c r="Q111" s="537"/>
      <c r="R111" s="537"/>
      <c r="S111" s="537"/>
      <c r="T111" s="537"/>
      <c r="U111" s="537"/>
      <c r="V111" s="537"/>
      <c r="W111" s="537"/>
      <c r="X111" s="537"/>
      <c r="Y111" s="537"/>
      <c r="Z111" s="537"/>
    </row>
    <row r="112" ht="15.75" customHeight="1">
      <c r="A112" s="537"/>
      <c r="B112" s="537"/>
      <c r="C112" s="537"/>
      <c r="D112" s="537"/>
      <c r="E112" s="537"/>
      <c r="F112" s="537"/>
      <c r="G112" s="537"/>
      <c r="H112" s="537"/>
      <c r="I112" s="537"/>
      <c r="J112" s="537"/>
      <c r="K112" s="537"/>
      <c r="L112" s="537"/>
      <c r="M112" s="537"/>
      <c r="N112" s="537"/>
      <c r="O112" s="537"/>
      <c r="P112" s="537"/>
      <c r="Q112" s="537"/>
      <c r="R112" s="537"/>
      <c r="S112" s="537"/>
      <c r="T112" s="537"/>
      <c r="U112" s="537"/>
      <c r="V112" s="537"/>
      <c r="W112" s="537"/>
      <c r="X112" s="537"/>
      <c r="Y112" s="537"/>
      <c r="Z112" s="537"/>
    </row>
    <row r="113" ht="15.75" customHeight="1">
      <c r="A113" s="537"/>
      <c r="B113" s="537"/>
      <c r="C113" s="537"/>
      <c r="D113" s="537"/>
      <c r="E113" s="537"/>
      <c r="F113" s="537"/>
      <c r="G113" s="537"/>
      <c r="H113" s="537"/>
      <c r="I113" s="537"/>
      <c r="J113" s="537"/>
      <c r="K113" s="537"/>
      <c r="L113" s="537"/>
      <c r="M113" s="537"/>
      <c r="N113" s="537"/>
      <c r="O113" s="537"/>
      <c r="P113" s="537"/>
      <c r="Q113" s="537"/>
      <c r="R113" s="537"/>
      <c r="S113" s="537"/>
      <c r="T113" s="537"/>
      <c r="U113" s="537"/>
      <c r="V113" s="537"/>
      <c r="W113" s="537"/>
      <c r="X113" s="537"/>
      <c r="Y113" s="537"/>
      <c r="Z113" s="537"/>
    </row>
    <row r="114" ht="15.75" customHeight="1">
      <c r="A114" s="537"/>
      <c r="B114" s="537"/>
      <c r="C114" s="537"/>
      <c r="D114" s="537"/>
      <c r="E114" s="537"/>
      <c r="F114" s="537"/>
      <c r="G114" s="537"/>
      <c r="H114" s="537"/>
      <c r="I114" s="537"/>
      <c r="J114" s="537"/>
      <c r="K114" s="537"/>
      <c r="L114" s="537"/>
      <c r="M114" s="537"/>
      <c r="N114" s="537"/>
      <c r="O114" s="537"/>
      <c r="P114" s="537"/>
      <c r="Q114" s="537"/>
      <c r="R114" s="537"/>
      <c r="S114" s="537"/>
      <c r="T114" s="537"/>
      <c r="U114" s="537"/>
      <c r="V114" s="537"/>
      <c r="W114" s="537"/>
      <c r="X114" s="537"/>
      <c r="Y114" s="537"/>
      <c r="Z114" s="537"/>
    </row>
    <row r="115" ht="15.75" customHeight="1">
      <c r="A115" s="537"/>
      <c r="B115" s="537"/>
      <c r="C115" s="537"/>
      <c r="D115" s="537"/>
      <c r="E115" s="537"/>
      <c r="F115" s="537"/>
      <c r="G115" s="537"/>
      <c r="H115" s="537"/>
      <c r="I115" s="537"/>
      <c r="J115" s="537"/>
      <c r="K115" s="537"/>
      <c r="L115" s="537"/>
      <c r="M115" s="537"/>
      <c r="N115" s="537"/>
      <c r="O115" s="537"/>
      <c r="P115" s="537"/>
      <c r="Q115" s="537"/>
      <c r="R115" s="537"/>
      <c r="S115" s="537"/>
      <c r="T115" s="537"/>
      <c r="U115" s="537"/>
      <c r="V115" s="537"/>
      <c r="W115" s="537"/>
      <c r="X115" s="537"/>
      <c r="Y115" s="537"/>
      <c r="Z115" s="537"/>
    </row>
    <row r="116" ht="15.75" customHeight="1">
      <c r="A116" s="537"/>
      <c r="B116" s="537"/>
      <c r="C116" s="537"/>
      <c r="D116" s="537"/>
      <c r="E116" s="537"/>
      <c r="F116" s="537"/>
      <c r="G116" s="537"/>
      <c r="H116" s="537"/>
      <c r="I116" s="537"/>
      <c r="J116" s="537"/>
      <c r="K116" s="537"/>
      <c r="L116" s="537"/>
      <c r="M116" s="537"/>
      <c r="N116" s="537"/>
      <c r="O116" s="537"/>
      <c r="P116" s="537"/>
      <c r="Q116" s="537"/>
      <c r="R116" s="537"/>
      <c r="S116" s="537"/>
      <c r="T116" s="537"/>
      <c r="U116" s="537"/>
      <c r="V116" s="537"/>
      <c r="W116" s="537"/>
      <c r="X116" s="537"/>
      <c r="Y116" s="537"/>
      <c r="Z116" s="537"/>
    </row>
    <row r="117" ht="15.75" customHeight="1">
      <c r="A117" s="537"/>
      <c r="B117" s="537"/>
      <c r="C117" s="537"/>
      <c r="D117" s="537"/>
      <c r="E117" s="537"/>
      <c r="F117" s="537"/>
      <c r="G117" s="537"/>
      <c r="H117" s="537"/>
      <c r="I117" s="537"/>
      <c r="J117" s="537"/>
      <c r="K117" s="537"/>
      <c r="L117" s="537"/>
      <c r="M117" s="537"/>
      <c r="N117" s="537"/>
      <c r="O117" s="537"/>
      <c r="P117" s="537"/>
      <c r="Q117" s="537"/>
      <c r="R117" s="537"/>
      <c r="S117" s="537"/>
      <c r="T117" s="537"/>
      <c r="U117" s="537"/>
      <c r="V117" s="537"/>
      <c r="W117" s="537"/>
      <c r="X117" s="537"/>
      <c r="Y117" s="537"/>
      <c r="Z117" s="537"/>
    </row>
    <row r="118" ht="15.75" customHeight="1">
      <c r="A118" s="537"/>
      <c r="B118" s="537"/>
      <c r="C118" s="537"/>
      <c r="D118" s="537"/>
      <c r="E118" s="537"/>
      <c r="F118" s="537"/>
      <c r="G118" s="537"/>
      <c r="H118" s="537"/>
      <c r="I118" s="537"/>
      <c r="J118" s="537"/>
      <c r="K118" s="537"/>
      <c r="L118" s="537"/>
      <c r="M118" s="537"/>
      <c r="N118" s="537"/>
      <c r="O118" s="537"/>
      <c r="P118" s="537"/>
      <c r="Q118" s="537"/>
      <c r="R118" s="537"/>
      <c r="S118" s="537"/>
      <c r="T118" s="537"/>
      <c r="U118" s="537"/>
      <c r="V118" s="537"/>
      <c r="W118" s="537"/>
      <c r="X118" s="537"/>
      <c r="Y118" s="537"/>
      <c r="Z118" s="537"/>
    </row>
    <row r="119" ht="15.75" customHeight="1">
      <c r="A119" s="537"/>
      <c r="B119" s="537"/>
      <c r="C119" s="537"/>
      <c r="D119" s="537"/>
      <c r="E119" s="537"/>
      <c r="F119" s="537"/>
      <c r="G119" s="537"/>
      <c r="H119" s="537"/>
      <c r="I119" s="537"/>
      <c r="J119" s="537"/>
      <c r="K119" s="537"/>
      <c r="L119" s="537"/>
      <c r="M119" s="537"/>
      <c r="N119" s="537"/>
      <c r="O119" s="537"/>
      <c r="P119" s="537"/>
      <c r="Q119" s="537"/>
      <c r="R119" s="537"/>
      <c r="S119" s="537"/>
      <c r="T119" s="537"/>
      <c r="U119" s="537"/>
      <c r="V119" s="537"/>
      <c r="W119" s="537"/>
      <c r="X119" s="537"/>
      <c r="Y119" s="537"/>
      <c r="Z119" s="537"/>
    </row>
    <row r="120" ht="15.75" customHeight="1">
      <c r="A120" s="537"/>
      <c r="B120" s="537"/>
      <c r="C120" s="537"/>
      <c r="D120" s="537"/>
      <c r="E120" s="537"/>
      <c r="F120" s="537"/>
      <c r="G120" s="537"/>
      <c r="H120" s="537"/>
      <c r="I120" s="537"/>
      <c r="J120" s="537"/>
      <c r="K120" s="537"/>
      <c r="L120" s="537"/>
      <c r="M120" s="537"/>
      <c r="N120" s="537"/>
      <c r="O120" s="537"/>
      <c r="P120" s="537"/>
      <c r="Q120" s="537"/>
      <c r="R120" s="537"/>
      <c r="S120" s="537"/>
      <c r="T120" s="537"/>
      <c r="U120" s="537"/>
      <c r="V120" s="537"/>
      <c r="W120" s="537"/>
      <c r="X120" s="537"/>
      <c r="Y120" s="537"/>
      <c r="Z120" s="537"/>
    </row>
    <row r="121" ht="15.75" customHeight="1">
      <c r="A121" s="537"/>
      <c r="B121" s="537"/>
      <c r="C121" s="537"/>
      <c r="D121" s="537"/>
      <c r="E121" s="537"/>
      <c r="F121" s="537"/>
      <c r="G121" s="537"/>
      <c r="H121" s="537"/>
      <c r="I121" s="537"/>
      <c r="J121" s="537"/>
      <c r="K121" s="537"/>
      <c r="L121" s="537"/>
      <c r="M121" s="537"/>
      <c r="N121" s="537"/>
      <c r="O121" s="537"/>
      <c r="P121" s="537"/>
      <c r="Q121" s="537"/>
      <c r="R121" s="537"/>
      <c r="S121" s="537"/>
      <c r="T121" s="537"/>
      <c r="U121" s="537"/>
      <c r="V121" s="537"/>
      <c r="W121" s="537"/>
      <c r="X121" s="537"/>
      <c r="Y121" s="537"/>
      <c r="Z121" s="537"/>
    </row>
    <row r="122" ht="15.75" customHeight="1">
      <c r="A122" s="537"/>
      <c r="B122" s="537"/>
      <c r="C122" s="537"/>
      <c r="D122" s="537"/>
      <c r="E122" s="537"/>
      <c r="F122" s="537"/>
      <c r="G122" s="537"/>
      <c r="H122" s="537"/>
      <c r="I122" s="537"/>
      <c r="J122" s="537"/>
      <c r="K122" s="537"/>
      <c r="L122" s="537"/>
      <c r="M122" s="537"/>
      <c r="N122" s="537"/>
      <c r="O122" s="537"/>
      <c r="P122" s="537"/>
      <c r="Q122" s="537"/>
      <c r="R122" s="537"/>
      <c r="S122" s="537"/>
      <c r="T122" s="537"/>
      <c r="U122" s="537"/>
      <c r="V122" s="537"/>
      <c r="W122" s="537"/>
      <c r="X122" s="537"/>
      <c r="Y122" s="537"/>
      <c r="Z122" s="537"/>
    </row>
    <row r="123" ht="15.75" customHeight="1">
      <c r="A123" s="537"/>
      <c r="B123" s="537"/>
      <c r="C123" s="537"/>
      <c r="D123" s="537"/>
      <c r="E123" s="537"/>
      <c r="F123" s="537"/>
      <c r="G123" s="537"/>
      <c r="H123" s="537"/>
      <c r="I123" s="537"/>
      <c r="J123" s="537"/>
      <c r="K123" s="537"/>
      <c r="L123" s="537"/>
      <c r="M123" s="537"/>
      <c r="N123" s="537"/>
      <c r="O123" s="537"/>
      <c r="P123" s="537"/>
      <c r="Q123" s="537"/>
      <c r="R123" s="537"/>
      <c r="S123" s="537"/>
      <c r="T123" s="537"/>
      <c r="U123" s="537"/>
      <c r="V123" s="537"/>
      <c r="W123" s="537"/>
      <c r="X123" s="537"/>
      <c r="Y123" s="537"/>
      <c r="Z123" s="537"/>
    </row>
    <row r="124" ht="15.75" customHeight="1">
      <c r="A124" s="537"/>
      <c r="B124" s="537"/>
      <c r="C124" s="537"/>
      <c r="D124" s="537"/>
      <c r="E124" s="537"/>
      <c r="F124" s="537"/>
      <c r="G124" s="537"/>
      <c r="H124" s="537"/>
      <c r="I124" s="537"/>
      <c r="J124" s="537"/>
      <c r="K124" s="537"/>
      <c r="L124" s="537"/>
      <c r="M124" s="537"/>
      <c r="N124" s="537"/>
      <c r="O124" s="537"/>
      <c r="P124" s="537"/>
      <c r="Q124" s="537"/>
      <c r="R124" s="537"/>
      <c r="S124" s="537"/>
      <c r="T124" s="537"/>
      <c r="U124" s="537"/>
      <c r="V124" s="537"/>
      <c r="W124" s="537"/>
      <c r="X124" s="537"/>
      <c r="Y124" s="537"/>
      <c r="Z124" s="537"/>
    </row>
    <row r="125" ht="15.75" customHeight="1">
      <c r="A125" s="537"/>
      <c r="B125" s="537"/>
      <c r="C125" s="537"/>
      <c r="D125" s="537"/>
      <c r="E125" s="537"/>
      <c r="F125" s="537"/>
      <c r="G125" s="537"/>
      <c r="H125" s="537"/>
      <c r="I125" s="537"/>
      <c r="J125" s="537"/>
      <c r="K125" s="537"/>
      <c r="L125" s="537"/>
      <c r="M125" s="537"/>
      <c r="N125" s="537"/>
      <c r="O125" s="537"/>
      <c r="P125" s="537"/>
      <c r="Q125" s="537"/>
      <c r="R125" s="537"/>
      <c r="S125" s="537"/>
      <c r="T125" s="537"/>
      <c r="U125" s="537"/>
      <c r="V125" s="537"/>
      <c r="W125" s="537"/>
      <c r="X125" s="537"/>
      <c r="Y125" s="537"/>
      <c r="Z125" s="537"/>
    </row>
    <row r="126" ht="15.75" customHeight="1">
      <c r="A126" s="537"/>
      <c r="B126" s="537"/>
      <c r="C126" s="537"/>
      <c r="D126" s="537"/>
      <c r="E126" s="537"/>
      <c r="F126" s="537"/>
      <c r="G126" s="537"/>
      <c r="H126" s="537"/>
      <c r="I126" s="537"/>
      <c r="J126" s="537"/>
      <c r="K126" s="537"/>
      <c r="L126" s="537"/>
      <c r="M126" s="537"/>
      <c r="N126" s="537"/>
      <c r="O126" s="537"/>
      <c r="P126" s="537"/>
      <c r="Q126" s="537"/>
      <c r="R126" s="537"/>
      <c r="S126" s="537"/>
      <c r="T126" s="537"/>
      <c r="U126" s="537"/>
      <c r="V126" s="537"/>
      <c r="W126" s="537"/>
      <c r="X126" s="537"/>
      <c r="Y126" s="537"/>
      <c r="Z126" s="537"/>
    </row>
    <row r="127" ht="15.75" customHeight="1">
      <c r="A127" s="537"/>
      <c r="B127" s="537"/>
      <c r="C127" s="537"/>
      <c r="D127" s="537"/>
      <c r="E127" s="537"/>
      <c r="F127" s="537"/>
      <c r="G127" s="537"/>
      <c r="H127" s="537"/>
      <c r="I127" s="537"/>
      <c r="J127" s="537"/>
      <c r="K127" s="537"/>
      <c r="L127" s="537"/>
      <c r="M127" s="537"/>
      <c r="N127" s="537"/>
      <c r="O127" s="537"/>
      <c r="P127" s="537"/>
      <c r="Q127" s="537"/>
      <c r="R127" s="537"/>
      <c r="S127" s="537"/>
      <c r="T127" s="537"/>
      <c r="U127" s="537"/>
      <c r="V127" s="537"/>
      <c r="W127" s="537"/>
      <c r="X127" s="537"/>
      <c r="Y127" s="537"/>
      <c r="Z127" s="537"/>
    </row>
    <row r="128" ht="15.75" customHeight="1">
      <c r="A128" s="537"/>
      <c r="B128" s="537"/>
      <c r="C128" s="537"/>
      <c r="D128" s="537"/>
      <c r="E128" s="537"/>
      <c r="F128" s="537"/>
      <c r="G128" s="537"/>
      <c r="H128" s="537"/>
      <c r="I128" s="537"/>
      <c r="J128" s="537"/>
      <c r="K128" s="537"/>
      <c r="L128" s="537"/>
      <c r="M128" s="537"/>
      <c r="N128" s="537"/>
      <c r="O128" s="537"/>
      <c r="P128" s="537"/>
      <c r="Q128" s="537"/>
      <c r="R128" s="537"/>
      <c r="S128" s="537"/>
      <c r="T128" s="537"/>
      <c r="U128" s="537"/>
      <c r="V128" s="537"/>
      <c r="W128" s="537"/>
      <c r="X128" s="537"/>
      <c r="Y128" s="537"/>
      <c r="Z128" s="537"/>
    </row>
    <row r="129" ht="15.75" customHeight="1">
      <c r="A129" s="537"/>
      <c r="B129" s="537"/>
      <c r="C129" s="537"/>
      <c r="D129" s="537"/>
      <c r="E129" s="537"/>
      <c r="F129" s="537"/>
      <c r="G129" s="537"/>
      <c r="H129" s="537"/>
      <c r="I129" s="537"/>
      <c r="J129" s="537"/>
      <c r="K129" s="537"/>
      <c r="L129" s="537"/>
      <c r="M129" s="537"/>
      <c r="N129" s="537"/>
      <c r="O129" s="537"/>
      <c r="P129" s="537"/>
      <c r="Q129" s="537"/>
      <c r="R129" s="537"/>
      <c r="S129" s="537"/>
      <c r="T129" s="537"/>
      <c r="U129" s="537"/>
      <c r="V129" s="537"/>
      <c r="W129" s="537"/>
      <c r="X129" s="537"/>
      <c r="Y129" s="537"/>
      <c r="Z129" s="537"/>
    </row>
    <row r="130" ht="15.75" customHeight="1">
      <c r="A130" s="537"/>
      <c r="B130" s="537"/>
      <c r="C130" s="537"/>
      <c r="D130" s="537"/>
      <c r="E130" s="537"/>
      <c r="F130" s="537"/>
      <c r="G130" s="537"/>
      <c r="H130" s="537"/>
      <c r="I130" s="537"/>
      <c r="J130" s="537"/>
      <c r="K130" s="537"/>
      <c r="L130" s="537"/>
      <c r="M130" s="537"/>
      <c r="N130" s="537"/>
      <c r="O130" s="537"/>
      <c r="P130" s="537"/>
      <c r="Q130" s="537"/>
      <c r="R130" s="537"/>
      <c r="S130" s="537"/>
      <c r="T130" s="537"/>
      <c r="U130" s="537"/>
      <c r="V130" s="537"/>
      <c r="W130" s="537"/>
      <c r="X130" s="537"/>
      <c r="Y130" s="537"/>
      <c r="Z130" s="537"/>
    </row>
    <row r="131" ht="15.75" customHeight="1">
      <c r="A131" s="537"/>
      <c r="B131" s="537"/>
      <c r="C131" s="537"/>
      <c r="D131" s="537"/>
      <c r="E131" s="537"/>
      <c r="F131" s="537"/>
      <c r="G131" s="537"/>
      <c r="H131" s="537"/>
      <c r="I131" s="537"/>
      <c r="J131" s="537"/>
      <c r="K131" s="537"/>
      <c r="L131" s="537"/>
      <c r="M131" s="537"/>
      <c r="N131" s="537"/>
      <c r="O131" s="537"/>
      <c r="P131" s="537"/>
      <c r="Q131" s="537"/>
      <c r="R131" s="537"/>
      <c r="S131" s="537"/>
      <c r="T131" s="537"/>
      <c r="U131" s="537"/>
      <c r="V131" s="537"/>
      <c r="W131" s="537"/>
      <c r="X131" s="537"/>
      <c r="Y131" s="537"/>
      <c r="Z131" s="537"/>
    </row>
    <row r="132" ht="15.75" customHeight="1">
      <c r="A132" s="537"/>
      <c r="B132" s="537"/>
      <c r="C132" s="537"/>
      <c r="D132" s="537"/>
      <c r="E132" s="537"/>
      <c r="F132" s="537"/>
      <c r="G132" s="537"/>
      <c r="H132" s="537"/>
      <c r="I132" s="537"/>
      <c r="J132" s="537"/>
      <c r="K132" s="537"/>
      <c r="L132" s="537"/>
      <c r="M132" s="537"/>
      <c r="N132" s="537"/>
      <c r="O132" s="537"/>
      <c r="P132" s="537"/>
      <c r="Q132" s="537"/>
      <c r="R132" s="537"/>
      <c r="S132" s="537"/>
      <c r="T132" s="537"/>
      <c r="U132" s="537"/>
      <c r="V132" s="537"/>
      <c r="W132" s="537"/>
      <c r="X132" s="537"/>
      <c r="Y132" s="537"/>
      <c r="Z132" s="537"/>
    </row>
    <row r="133" ht="15.75" customHeight="1">
      <c r="A133" s="537"/>
      <c r="B133" s="537"/>
      <c r="C133" s="537"/>
      <c r="D133" s="537"/>
      <c r="E133" s="537"/>
      <c r="F133" s="537"/>
      <c r="G133" s="537"/>
      <c r="H133" s="537"/>
      <c r="I133" s="537"/>
      <c r="J133" s="537"/>
      <c r="K133" s="537"/>
      <c r="L133" s="537"/>
      <c r="M133" s="537"/>
      <c r="N133" s="537"/>
      <c r="O133" s="537"/>
      <c r="P133" s="537"/>
      <c r="Q133" s="537"/>
      <c r="R133" s="537"/>
      <c r="S133" s="537"/>
      <c r="T133" s="537"/>
      <c r="U133" s="537"/>
      <c r="V133" s="537"/>
      <c r="W133" s="537"/>
      <c r="X133" s="537"/>
      <c r="Y133" s="537"/>
      <c r="Z133" s="537"/>
    </row>
    <row r="134" ht="15.75" customHeight="1">
      <c r="A134" s="537"/>
      <c r="B134" s="537"/>
      <c r="C134" s="537"/>
      <c r="D134" s="537"/>
      <c r="E134" s="537"/>
      <c r="F134" s="537"/>
      <c r="G134" s="537"/>
      <c r="H134" s="537"/>
      <c r="I134" s="537"/>
      <c r="J134" s="537"/>
      <c r="K134" s="537"/>
      <c r="L134" s="537"/>
      <c r="M134" s="537"/>
      <c r="N134" s="537"/>
      <c r="O134" s="537"/>
      <c r="P134" s="537"/>
      <c r="Q134" s="537"/>
      <c r="R134" s="537"/>
      <c r="S134" s="537"/>
      <c r="T134" s="537"/>
      <c r="U134" s="537"/>
      <c r="V134" s="537"/>
      <c r="W134" s="537"/>
      <c r="X134" s="537"/>
      <c r="Y134" s="537"/>
      <c r="Z134" s="537"/>
    </row>
    <row r="135" ht="15.75" customHeight="1">
      <c r="A135" s="537"/>
      <c r="B135" s="537"/>
      <c r="C135" s="537"/>
      <c r="D135" s="537"/>
      <c r="E135" s="537"/>
      <c r="F135" s="537"/>
      <c r="G135" s="537"/>
      <c r="H135" s="537"/>
      <c r="I135" s="537"/>
      <c r="J135" s="537"/>
      <c r="K135" s="537"/>
      <c r="L135" s="537"/>
      <c r="M135" s="537"/>
      <c r="N135" s="537"/>
      <c r="O135" s="537"/>
      <c r="P135" s="537"/>
      <c r="Q135" s="537"/>
      <c r="R135" s="537"/>
      <c r="S135" s="537"/>
      <c r="T135" s="537"/>
      <c r="U135" s="537"/>
      <c r="V135" s="537"/>
      <c r="W135" s="537"/>
      <c r="X135" s="537"/>
      <c r="Y135" s="537"/>
      <c r="Z135" s="537"/>
    </row>
    <row r="136" ht="15.75" customHeight="1">
      <c r="A136" s="537"/>
      <c r="B136" s="537"/>
      <c r="C136" s="537"/>
      <c r="D136" s="537"/>
      <c r="E136" s="537"/>
      <c r="F136" s="537"/>
      <c r="G136" s="537"/>
      <c r="H136" s="537"/>
      <c r="I136" s="537"/>
      <c r="J136" s="537"/>
      <c r="K136" s="537"/>
      <c r="L136" s="537"/>
      <c r="M136" s="537"/>
      <c r="N136" s="537"/>
      <c r="O136" s="537"/>
      <c r="P136" s="537"/>
      <c r="Q136" s="537"/>
      <c r="R136" s="537"/>
      <c r="S136" s="537"/>
      <c r="T136" s="537"/>
      <c r="U136" s="537"/>
      <c r="V136" s="537"/>
      <c r="W136" s="537"/>
      <c r="X136" s="537"/>
      <c r="Y136" s="537"/>
      <c r="Z136" s="537"/>
    </row>
    <row r="137" ht="15.75" customHeight="1">
      <c r="A137" s="537"/>
      <c r="B137" s="537"/>
      <c r="C137" s="537"/>
      <c r="D137" s="537"/>
      <c r="E137" s="537"/>
      <c r="F137" s="537"/>
      <c r="G137" s="537"/>
      <c r="H137" s="537"/>
      <c r="I137" s="537"/>
      <c r="J137" s="537"/>
      <c r="K137" s="537"/>
      <c r="L137" s="537"/>
      <c r="M137" s="537"/>
      <c r="N137" s="537"/>
      <c r="O137" s="537"/>
      <c r="P137" s="537"/>
      <c r="Q137" s="537"/>
      <c r="R137" s="537"/>
      <c r="S137" s="537"/>
      <c r="T137" s="537"/>
      <c r="U137" s="537"/>
      <c r="V137" s="537"/>
      <c r="W137" s="537"/>
      <c r="X137" s="537"/>
      <c r="Y137" s="537"/>
      <c r="Z137" s="537"/>
    </row>
    <row r="138" ht="15.75" customHeight="1">
      <c r="A138" s="537"/>
      <c r="B138" s="537"/>
      <c r="C138" s="537"/>
      <c r="D138" s="537"/>
      <c r="E138" s="537"/>
      <c r="F138" s="537"/>
      <c r="G138" s="537"/>
      <c r="H138" s="537"/>
      <c r="I138" s="537"/>
      <c r="J138" s="537"/>
      <c r="K138" s="537"/>
      <c r="L138" s="537"/>
      <c r="M138" s="537"/>
      <c r="N138" s="537"/>
      <c r="O138" s="537"/>
      <c r="P138" s="537"/>
      <c r="Q138" s="537"/>
      <c r="R138" s="537"/>
      <c r="S138" s="537"/>
      <c r="T138" s="537"/>
      <c r="U138" s="537"/>
      <c r="V138" s="537"/>
      <c r="W138" s="537"/>
      <c r="X138" s="537"/>
      <c r="Y138" s="537"/>
      <c r="Z138" s="537"/>
    </row>
    <row r="139" ht="15.75" customHeight="1">
      <c r="A139" s="537"/>
      <c r="B139" s="537"/>
      <c r="C139" s="537"/>
      <c r="D139" s="537"/>
      <c r="E139" s="537"/>
      <c r="F139" s="537"/>
      <c r="G139" s="537"/>
      <c r="H139" s="537"/>
      <c r="I139" s="537"/>
      <c r="J139" s="537"/>
      <c r="K139" s="537"/>
      <c r="L139" s="537"/>
      <c r="M139" s="537"/>
      <c r="N139" s="537"/>
      <c r="O139" s="537"/>
      <c r="P139" s="537"/>
      <c r="Q139" s="537"/>
      <c r="R139" s="537"/>
      <c r="S139" s="537"/>
      <c r="T139" s="537"/>
      <c r="U139" s="537"/>
      <c r="V139" s="537"/>
      <c r="W139" s="537"/>
      <c r="X139" s="537"/>
      <c r="Y139" s="537"/>
      <c r="Z139" s="537"/>
    </row>
    <row r="140" ht="15.75" customHeight="1">
      <c r="A140" s="537"/>
      <c r="B140" s="537"/>
      <c r="C140" s="537"/>
      <c r="D140" s="537"/>
      <c r="E140" s="537"/>
      <c r="F140" s="537"/>
      <c r="G140" s="537"/>
      <c r="H140" s="537"/>
      <c r="I140" s="537"/>
      <c r="J140" s="537"/>
      <c r="K140" s="537"/>
      <c r="L140" s="537"/>
      <c r="M140" s="537"/>
      <c r="N140" s="537"/>
      <c r="O140" s="537"/>
      <c r="P140" s="537"/>
      <c r="Q140" s="537"/>
      <c r="R140" s="537"/>
      <c r="S140" s="537"/>
      <c r="T140" s="537"/>
      <c r="U140" s="537"/>
      <c r="V140" s="537"/>
      <c r="W140" s="537"/>
      <c r="X140" s="537"/>
      <c r="Y140" s="537"/>
      <c r="Z140" s="537"/>
    </row>
    <row r="141" ht="15.75" customHeight="1">
      <c r="A141" s="537"/>
      <c r="B141" s="537"/>
      <c r="C141" s="537"/>
      <c r="D141" s="537"/>
      <c r="E141" s="537"/>
      <c r="F141" s="537"/>
      <c r="G141" s="537"/>
      <c r="H141" s="537"/>
      <c r="I141" s="537"/>
      <c r="J141" s="537"/>
      <c r="K141" s="537"/>
      <c r="L141" s="537"/>
      <c r="M141" s="537"/>
      <c r="N141" s="537"/>
      <c r="O141" s="537"/>
      <c r="P141" s="537"/>
      <c r="Q141" s="537"/>
      <c r="R141" s="537"/>
      <c r="S141" s="537"/>
      <c r="T141" s="537"/>
      <c r="U141" s="537"/>
      <c r="V141" s="537"/>
      <c r="W141" s="537"/>
      <c r="X141" s="537"/>
      <c r="Y141" s="537"/>
      <c r="Z141" s="537"/>
    </row>
    <row r="142" ht="15.75" customHeight="1">
      <c r="A142" s="537"/>
      <c r="B142" s="537"/>
      <c r="C142" s="537"/>
      <c r="D142" s="537"/>
      <c r="E142" s="537"/>
      <c r="F142" s="537"/>
      <c r="G142" s="537"/>
      <c r="H142" s="537"/>
      <c r="I142" s="537"/>
      <c r="J142" s="537"/>
      <c r="K142" s="537"/>
      <c r="L142" s="537"/>
      <c r="M142" s="537"/>
      <c r="N142" s="537"/>
      <c r="O142" s="537"/>
      <c r="P142" s="537"/>
      <c r="Q142" s="537"/>
      <c r="R142" s="537"/>
      <c r="S142" s="537"/>
      <c r="T142" s="537"/>
      <c r="U142" s="537"/>
      <c r="V142" s="537"/>
      <c r="W142" s="537"/>
      <c r="X142" s="537"/>
      <c r="Y142" s="537"/>
      <c r="Z142" s="537"/>
    </row>
    <row r="143" ht="15.75" customHeight="1">
      <c r="A143" s="537"/>
      <c r="B143" s="537"/>
      <c r="C143" s="537"/>
      <c r="D143" s="537"/>
      <c r="E143" s="537"/>
      <c r="F143" s="537"/>
      <c r="G143" s="537"/>
      <c r="H143" s="537"/>
      <c r="I143" s="537"/>
      <c r="J143" s="537"/>
      <c r="K143" s="537"/>
      <c r="L143" s="537"/>
      <c r="M143" s="537"/>
      <c r="N143" s="537"/>
      <c r="O143" s="537"/>
      <c r="P143" s="537"/>
      <c r="Q143" s="537"/>
      <c r="R143" s="537"/>
      <c r="S143" s="537"/>
      <c r="T143" s="537"/>
      <c r="U143" s="537"/>
      <c r="V143" s="537"/>
      <c r="W143" s="537"/>
      <c r="X143" s="537"/>
      <c r="Y143" s="537"/>
      <c r="Z143" s="537"/>
    </row>
    <row r="144" ht="15.75" customHeight="1">
      <c r="A144" s="537"/>
      <c r="B144" s="537"/>
      <c r="C144" s="537"/>
      <c r="D144" s="537"/>
      <c r="E144" s="537"/>
      <c r="F144" s="537"/>
      <c r="G144" s="537"/>
      <c r="H144" s="537"/>
      <c r="I144" s="537"/>
      <c r="J144" s="537"/>
      <c r="K144" s="537"/>
      <c r="L144" s="537"/>
      <c r="M144" s="537"/>
      <c r="N144" s="537"/>
      <c r="O144" s="537"/>
      <c r="P144" s="537"/>
      <c r="Q144" s="537"/>
      <c r="R144" s="537"/>
      <c r="S144" s="537"/>
      <c r="T144" s="537"/>
      <c r="U144" s="537"/>
      <c r="V144" s="537"/>
      <c r="W144" s="537"/>
      <c r="X144" s="537"/>
      <c r="Y144" s="537"/>
      <c r="Z144" s="537"/>
    </row>
    <row r="145" ht="15.75" customHeight="1">
      <c r="A145" s="537"/>
      <c r="B145" s="537"/>
      <c r="C145" s="537"/>
      <c r="D145" s="537"/>
      <c r="E145" s="537"/>
      <c r="F145" s="537"/>
      <c r="G145" s="537"/>
      <c r="H145" s="537"/>
      <c r="I145" s="537"/>
      <c r="J145" s="537"/>
      <c r="K145" s="537"/>
      <c r="L145" s="537"/>
      <c r="M145" s="537"/>
      <c r="N145" s="537"/>
      <c r="O145" s="537"/>
      <c r="P145" s="537"/>
      <c r="Q145" s="537"/>
      <c r="R145" s="537"/>
      <c r="S145" s="537"/>
      <c r="T145" s="537"/>
      <c r="U145" s="537"/>
      <c r="V145" s="537"/>
      <c r="W145" s="537"/>
      <c r="X145" s="537"/>
      <c r="Y145" s="537"/>
      <c r="Z145" s="537"/>
    </row>
    <row r="146" ht="15.75" customHeight="1">
      <c r="A146" s="537"/>
      <c r="B146" s="537"/>
      <c r="C146" s="537"/>
      <c r="D146" s="537"/>
      <c r="E146" s="537"/>
      <c r="F146" s="537"/>
      <c r="G146" s="537"/>
      <c r="H146" s="537"/>
      <c r="I146" s="537"/>
      <c r="J146" s="537"/>
      <c r="K146" s="537"/>
      <c r="L146" s="537"/>
      <c r="M146" s="537"/>
      <c r="N146" s="537"/>
      <c r="O146" s="537"/>
      <c r="P146" s="537"/>
      <c r="Q146" s="537"/>
      <c r="R146" s="537"/>
      <c r="S146" s="537"/>
      <c r="T146" s="537"/>
      <c r="U146" s="537"/>
      <c r="V146" s="537"/>
      <c r="W146" s="537"/>
      <c r="X146" s="537"/>
      <c r="Y146" s="537"/>
      <c r="Z146" s="537"/>
    </row>
    <row r="147" ht="15.75" customHeight="1">
      <c r="A147" s="537"/>
      <c r="B147" s="537"/>
      <c r="C147" s="537"/>
      <c r="D147" s="537"/>
      <c r="E147" s="537"/>
      <c r="F147" s="537"/>
      <c r="G147" s="537"/>
      <c r="H147" s="537"/>
      <c r="I147" s="537"/>
      <c r="J147" s="537"/>
      <c r="K147" s="537"/>
      <c r="L147" s="537"/>
      <c r="M147" s="537"/>
      <c r="N147" s="537"/>
      <c r="O147" s="537"/>
      <c r="P147" s="537"/>
      <c r="Q147" s="537"/>
      <c r="R147" s="537"/>
      <c r="S147" s="537"/>
      <c r="T147" s="537"/>
      <c r="U147" s="537"/>
      <c r="V147" s="537"/>
      <c r="W147" s="537"/>
      <c r="X147" s="537"/>
      <c r="Y147" s="537"/>
      <c r="Z147" s="537"/>
    </row>
    <row r="148" ht="15.75" customHeight="1">
      <c r="A148" s="537"/>
      <c r="B148" s="537"/>
      <c r="C148" s="537"/>
      <c r="D148" s="537"/>
      <c r="E148" s="537"/>
      <c r="F148" s="537"/>
      <c r="G148" s="537"/>
      <c r="H148" s="537"/>
      <c r="I148" s="537"/>
      <c r="J148" s="537"/>
      <c r="K148" s="537"/>
      <c r="L148" s="537"/>
      <c r="M148" s="537"/>
      <c r="N148" s="537"/>
      <c r="O148" s="537"/>
      <c r="P148" s="537"/>
      <c r="Q148" s="537"/>
      <c r="R148" s="537"/>
      <c r="S148" s="537"/>
      <c r="T148" s="537"/>
      <c r="U148" s="537"/>
      <c r="V148" s="537"/>
      <c r="W148" s="537"/>
      <c r="X148" s="537"/>
      <c r="Y148" s="537"/>
      <c r="Z148" s="537"/>
    </row>
    <row r="149" ht="15.75" customHeight="1">
      <c r="A149" s="537"/>
      <c r="B149" s="537"/>
      <c r="C149" s="537"/>
      <c r="D149" s="537"/>
      <c r="E149" s="537"/>
      <c r="F149" s="537"/>
      <c r="G149" s="537"/>
      <c r="H149" s="537"/>
      <c r="I149" s="537"/>
      <c r="J149" s="537"/>
      <c r="K149" s="537"/>
      <c r="L149" s="537"/>
      <c r="M149" s="537"/>
      <c r="N149" s="537"/>
      <c r="O149" s="537"/>
      <c r="P149" s="537"/>
      <c r="Q149" s="537"/>
      <c r="R149" s="537"/>
      <c r="S149" s="537"/>
      <c r="T149" s="537"/>
      <c r="U149" s="537"/>
      <c r="V149" s="537"/>
      <c r="W149" s="537"/>
      <c r="X149" s="537"/>
      <c r="Y149" s="537"/>
      <c r="Z149" s="537"/>
    </row>
    <row r="150" ht="15.75" customHeight="1">
      <c r="A150" s="537"/>
      <c r="B150" s="537"/>
      <c r="C150" s="537"/>
      <c r="D150" s="537"/>
      <c r="E150" s="537"/>
      <c r="F150" s="537"/>
      <c r="G150" s="537"/>
      <c r="H150" s="537"/>
      <c r="I150" s="537"/>
      <c r="J150" s="537"/>
      <c r="K150" s="537"/>
      <c r="L150" s="537"/>
      <c r="M150" s="537"/>
      <c r="N150" s="537"/>
      <c r="O150" s="537"/>
      <c r="P150" s="537"/>
      <c r="Q150" s="537"/>
      <c r="R150" s="537"/>
      <c r="S150" s="537"/>
      <c r="T150" s="537"/>
      <c r="U150" s="537"/>
      <c r="V150" s="537"/>
      <c r="W150" s="537"/>
      <c r="X150" s="537"/>
      <c r="Y150" s="537"/>
      <c r="Z150" s="537"/>
    </row>
    <row r="151" ht="15.75" customHeight="1">
      <c r="A151" s="537"/>
      <c r="B151" s="537"/>
      <c r="C151" s="537"/>
      <c r="D151" s="537"/>
      <c r="E151" s="537"/>
      <c r="F151" s="537"/>
      <c r="G151" s="537"/>
      <c r="H151" s="537"/>
      <c r="I151" s="537"/>
      <c r="J151" s="537"/>
      <c r="K151" s="537"/>
      <c r="L151" s="537"/>
      <c r="M151" s="537"/>
      <c r="N151" s="537"/>
      <c r="O151" s="537"/>
      <c r="P151" s="537"/>
      <c r="Q151" s="537"/>
      <c r="R151" s="537"/>
      <c r="S151" s="537"/>
      <c r="T151" s="537"/>
      <c r="U151" s="537"/>
      <c r="V151" s="537"/>
      <c r="W151" s="537"/>
      <c r="X151" s="537"/>
      <c r="Y151" s="537"/>
      <c r="Z151" s="537"/>
    </row>
    <row r="152" ht="15.75" customHeight="1">
      <c r="A152" s="537"/>
      <c r="B152" s="537"/>
      <c r="C152" s="537"/>
      <c r="D152" s="537"/>
      <c r="E152" s="537"/>
      <c r="F152" s="537"/>
      <c r="G152" s="537"/>
      <c r="H152" s="537"/>
      <c r="I152" s="537"/>
      <c r="J152" s="537"/>
      <c r="K152" s="537"/>
      <c r="L152" s="537"/>
      <c r="M152" s="537"/>
      <c r="N152" s="537"/>
      <c r="O152" s="537"/>
      <c r="P152" s="537"/>
      <c r="Q152" s="537"/>
      <c r="R152" s="537"/>
      <c r="S152" s="537"/>
      <c r="T152" s="537"/>
      <c r="U152" s="537"/>
      <c r="V152" s="537"/>
      <c r="W152" s="537"/>
      <c r="X152" s="537"/>
      <c r="Y152" s="537"/>
      <c r="Z152" s="537"/>
    </row>
    <row r="153" ht="15.75" customHeight="1">
      <c r="A153" s="537"/>
      <c r="B153" s="537"/>
      <c r="C153" s="537"/>
      <c r="D153" s="537"/>
      <c r="E153" s="537"/>
      <c r="F153" s="537"/>
      <c r="G153" s="537"/>
      <c r="H153" s="537"/>
      <c r="I153" s="537"/>
      <c r="J153" s="537"/>
      <c r="K153" s="537"/>
      <c r="L153" s="537"/>
      <c r="M153" s="537"/>
      <c r="N153" s="537"/>
      <c r="O153" s="537"/>
      <c r="P153" s="537"/>
      <c r="Q153" s="537"/>
      <c r="R153" s="537"/>
      <c r="S153" s="537"/>
      <c r="T153" s="537"/>
      <c r="U153" s="537"/>
      <c r="V153" s="537"/>
      <c r="W153" s="537"/>
      <c r="X153" s="537"/>
      <c r="Y153" s="537"/>
      <c r="Z153" s="537"/>
    </row>
    <row r="154" ht="15.75" customHeight="1">
      <c r="A154" s="537"/>
      <c r="B154" s="537"/>
      <c r="C154" s="537"/>
      <c r="D154" s="537"/>
      <c r="E154" s="537"/>
      <c r="F154" s="537"/>
      <c r="G154" s="537"/>
      <c r="H154" s="537"/>
      <c r="I154" s="537"/>
      <c r="J154" s="537"/>
      <c r="K154" s="537"/>
      <c r="L154" s="537"/>
      <c r="M154" s="537"/>
      <c r="N154" s="537"/>
      <c r="O154" s="537"/>
      <c r="P154" s="537"/>
      <c r="Q154" s="537"/>
      <c r="R154" s="537"/>
      <c r="S154" s="537"/>
      <c r="T154" s="537"/>
      <c r="U154" s="537"/>
      <c r="V154" s="537"/>
      <c r="W154" s="537"/>
      <c r="X154" s="537"/>
      <c r="Y154" s="537"/>
      <c r="Z154" s="537"/>
    </row>
    <row r="155" ht="15.75" customHeight="1">
      <c r="A155" s="537"/>
      <c r="B155" s="537"/>
      <c r="C155" s="537"/>
      <c r="D155" s="537"/>
      <c r="E155" s="537"/>
      <c r="F155" s="537"/>
      <c r="G155" s="537"/>
      <c r="H155" s="537"/>
      <c r="I155" s="537"/>
      <c r="J155" s="537"/>
      <c r="K155" s="537"/>
      <c r="L155" s="537"/>
      <c r="M155" s="537"/>
      <c r="N155" s="537"/>
      <c r="O155" s="537"/>
      <c r="P155" s="537"/>
      <c r="Q155" s="537"/>
      <c r="R155" s="537"/>
      <c r="S155" s="537"/>
      <c r="T155" s="537"/>
      <c r="U155" s="537"/>
      <c r="V155" s="537"/>
      <c r="W155" s="537"/>
      <c r="X155" s="537"/>
      <c r="Y155" s="537"/>
      <c r="Z155" s="537"/>
    </row>
    <row r="156" ht="15.75" customHeight="1">
      <c r="A156" s="537"/>
      <c r="B156" s="537"/>
      <c r="C156" s="537"/>
      <c r="D156" s="537"/>
      <c r="E156" s="537"/>
      <c r="F156" s="537"/>
      <c r="G156" s="537"/>
      <c r="H156" s="537"/>
      <c r="I156" s="537"/>
      <c r="J156" s="537"/>
      <c r="K156" s="537"/>
      <c r="L156" s="537"/>
      <c r="M156" s="537"/>
      <c r="N156" s="537"/>
      <c r="O156" s="537"/>
      <c r="P156" s="537"/>
      <c r="Q156" s="537"/>
      <c r="R156" s="537"/>
      <c r="S156" s="537"/>
      <c r="T156" s="537"/>
      <c r="U156" s="537"/>
      <c r="V156" s="537"/>
      <c r="W156" s="537"/>
      <c r="X156" s="537"/>
      <c r="Y156" s="537"/>
      <c r="Z156" s="537"/>
    </row>
    <row r="157" ht="15.75" customHeight="1">
      <c r="A157" s="537"/>
      <c r="B157" s="537"/>
      <c r="C157" s="537"/>
      <c r="D157" s="537"/>
      <c r="E157" s="537"/>
      <c r="F157" s="537"/>
      <c r="G157" s="537"/>
      <c r="H157" s="537"/>
      <c r="I157" s="537"/>
      <c r="J157" s="537"/>
      <c r="K157" s="537"/>
      <c r="L157" s="537"/>
      <c r="M157" s="537"/>
      <c r="N157" s="537"/>
      <c r="O157" s="537"/>
      <c r="P157" s="537"/>
      <c r="Q157" s="537"/>
      <c r="R157" s="537"/>
      <c r="S157" s="537"/>
      <c r="T157" s="537"/>
      <c r="U157" s="537"/>
      <c r="V157" s="537"/>
      <c r="W157" s="537"/>
      <c r="X157" s="537"/>
      <c r="Y157" s="537"/>
      <c r="Z157" s="537"/>
    </row>
    <row r="158" ht="15.75" customHeight="1">
      <c r="A158" s="537"/>
      <c r="B158" s="537"/>
      <c r="C158" s="537"/>
      <c r="D158" s="537"/>
      <c r="E158" s="537"/>
      <c r="F158" s="537"/>
      <c r="G158" s="537"/>
      <c r="H158" s="537"/>
      <c r="I158" s="537"/>
      <c r="J158" s="537"/>
      <c r="K158" s="537"/>
      <c r="L158" s="537"/>
      <c r="M158" s="537"/>
      <c r="N158" s="537"/>
      <c r="O158" s="537"/>
      <c r="P158" s="537"/>
      <c r="Q158" s="537"/>
      <c r="R158" s="537"/>
      <c r="S158" s="537"/>
      <c r="T158" s="537"/>
      <c r="U158" s="537"/>
      <c r="V158" s="537"/>
      <c r="W158" s="537"/>
      <c r="X158" s="537"/>
      <c r="Y158" s="537"/>
      <c r="Z158" s="537"/>
    </row>
    <row r="159" ht="15.75" customHeight="1">
      <c r="A159" s="537"/>
      <c r="B159" s="537"/>
      <c r="C159" s="537"/>
      <c r="D159" s="537"/>
      <c r="E159" s="537"/>
      <c r="F159" s="537"/>
      <c r="G159" s="537"/>
      <c r="H159" s="537"/>
      <c r="I159" s="537"/>
      <c r="J159" s="537"/>
      <c r="K159" s="537"/>
      <c r="L159" s="537"/>
      <c r="M159" s="537"/>
      <c r="N159" s="537"/>
      <c r="O159" s="537"/>
      <c r="P159" s="537"/>
      <c r="Q159" s="537"/>
      <c r="R159" s="537"/>
      <c r="S159" s="537"/>
      <c r="T159" s="537"/>
      <c r="U159" s="537"/>
      <c r="V159" s="537"/>
      <c r="W159" s="537"/>
      <c r="X159" s="537"/>
      <c r="Y159" s="537"/>
      <c r="Z159" s="537"/>
    </row>
    <row r="160" ht="15.75" customHeight="1">
      <c r="A160" s="537"/>
      <c r="B160" s="537"/>
      <c r="C160" s="537"/>
      <c r="D160" s="537"/>
      <c r="E160" s="537"/>
      <c r="F160" s="537"/>
      <c r="G160" s="537"/>
      <c r="H160" s="537"/>
      <c r="I160" s="537"/>
      <c r="J160" s="537"/>
      <c r="K160" s="537"/>
      <c r="L160" s="537"/>
      <c r="M160" s="537"/>
      <c r="N160" s="537"/>
      <c r="O160" s="537"/>
      <c r="P160" s="537"/>
      <c r="Q160" s="537"/>
      <c r="R160" s="537"/>
      <c r="S160" s="537"/>
      <c r="T160" s="537"/>
      <c r="U160" s="537"/>
      <c r="V160" s="537"/>
      <c r="W160" s="537"/>
      <c r="X160" s="537"/>
      <c r="Y160" s="537"/>
      <c r="Z160" s="537"/>
    </row>
    <row r="161" ht="15.75" customHeight="1">
      <c r="A161" s="537"/>
      <c r="B161" s="537"/>
      <c r="C161" s="537"/>
      <c r="D161" s="537"/>
      <c r="E161" s="537"/>
      <c r="F161" s="537"/>
      <c r="G161" s="537"/>
      <c r="H161" s="537"/>
      <c r="I161" s="537"/>
      <c r="J161" s="537"/>
      <c r="K161" s="537"/>
      <c r="L161" s="537"/>
      <c r="M161" s="537"/>
      <c r="N161" s="537"/>
      <c r="O161" s="537"/>
      <c r="P161" s="537"/>
      <c r="Q161" s="537"/>
      <c r="R161" s="537"/>
      <c r="S161" s="537"/>
      <c r="T161" s="537"/>
      <c r="U161" s="537"/>
      <c r="V161" s="537"/>
      <c r="W161" s="537"/>
      <c r="X161" s="537"/>
      <c r="Y161" s="537"/>
      <c r="Z161" s="537"/>
    </row>
    <row r="162" ht="15.75" customHeight="1">
      <c r="A162" s="537"/>
      <c r="B162" s="537"/>
      <c r="C162" s="537"/>
      <c r="D162" s="537"/>
      <c r="E162" s="537"/>
      <c r="F162" s="537"/>
      <c r="G162" s="537"/>
      <c r="H162" s="537"/>
      <c r="I162" s="537"/>
      <c r="J162" s="537"/>
      <c r="K162" s="537"/>
      <c r="L162" s="537"/>
      <c r="M162" s="537"/>
      <c r="N162" s="537"/>
      <c r="O162" s="537"/>
      <c r="P162" s="537"/>
      <c r="Q162" s="537"/>
      <c r="R162" s="537"/>
      <c r="S162" s="537"/>
      <c r="T162" s="537"/>
      <c r="U162" s="537"/>
      <c r="V162" s="537"/>
      <c r="W162" s="537"/>
      <c r="X162" s="537"/>
      <c r="Y162" s="537"/>
      <c r="Z162" s="537"/>
    </row>
    <row r="163" ht="15.75" customHeight="1">
      <c r="A163" s="537"/>
      <c r="B163" s="537"/>
      <c r="C163" s="537"/>
      <c r="D163" s="537"/>
      <c r="E163" s="537"/>
      <c r="F163" s="537"/>
      <c r="G163" s="537"/>
      <c r="H163" s="537"/>
      <c r="I163" s="537"/>
      <c r="J163" s="537"/>
      <c r="K163" s="537"/>
      <c r="L163" s="537"/>
      <c r="M163" s="537"/>
      <c r="N163" s="537"/>
      <c r="O163" s="537"/>
      <c r="P163" s="537"/>
      <c r="Q163" s="537"/>
      <c r="R163" s="537"/>
      <c r="S163" s="537"/>
      <c r="T163" s="537"/>
      <c r="U163" s="537"/>
      <c r="V163" s="537"/>
      <c r="W163" s="537"/>
      <c r="X163" s="537"/>
      <c r="Y163" s="537"/>
      <c r="Z163" s="537"/>
    </row>
    <row r="164" ht="15.75" customHeight="1">
      <c r="A164" s="537"/>
      <c r="B164" s="537"/>
      <c r="C164" s="537"/>
      <c r="D164" s="537"/>
      <c r="E164" s="537"/>
      <c r="F164" s="537"/>
      <c r="G164" s="537"/>
      <c r="H164" s="537"/>
      <c r="I164" s="537"/>
      <c r="J164" s="537"/>
      <c r="K164" s="537"/>
      <c r="L164" s="537"/>
      <c r="M164" s="537"/>
      <c r="N164" s="537"/>
      <c r="O164" s="537"/>
      <c r="P164" s="537"/>
      <c r="Q164" s="537"/>
      <c r="R164" s="537"/>
      <c r="S164" s="537"/>
      <c r="T164" s="537"/>
      <c r="U164" s="537"/>
      <c r="V164" s="537"/>
      <c r="W164" s="537"/>
      <c r="X164" s="537"/>
      <c r="Y164" s="537"/>
      <c r="Z164" s="537"/>
    </row>
    <row r="165" ht="15.75" customHeight="1">
      <c r="A165" s="537"/>
      <c r="B165" s="537"/>
      <c r="C165" s="537"/>
      <c r="D165" s="537"/>
      <c r="E165" s="537"/>
      <c r="F165" s="537"/>
      <c r="G165" s="537"/>
      <c r="H165" s="537"/>
      <c r="I165" s="537"/>
      <c r="J165" s="537"/>
      <c r="K165" s="537"/>
      <c r="L165" s="537"/>
      <c r="M165" s="537"/>
      <c r="N165" s="537"/>
      <c r="O165" s="537"/>
      <c r="P165" s="537"/>
      <c r="Q165" s="537"/>
      <c r="R165" s="537"/>
      <c r="S165" s="537"/>
      <c r="T165" s="537"/>
      <c r="U165" s="537"/>
      <c r="V165" s="537"/>
      <c r="W165" s="537"/>
      <c r="X165" s="537"/>
      <c r="Y165" s="537"/>
      <c r="Z165" s="537"/>
    </row>
    <row r="166" ht="15.75" customHeight="1">
      <c r="A166" s="537"/>
      <c r="B166" s="537"/>
      <c r="C166" s="537"/>
      <c r="D166" s="537"/>
      <c r="E166" s="537"/>
      <c r="F166" s="537"/>
      <c r="G166" s="537"/>
      <c r="H166" s="537"/>
      <c r="I166" s="537"/>
      <c r="J166" s="537"/>
      <c r="K166" s="537"/>
      <c r="L166" s="537"/>
      <c r="M166" s="537"/>
      <c r="N166" s="537"/>
      <c r="O166" s="537"/>
      <c r="P166" s="537"/>
      <c r="Q166" s="537"/>
      <c r="R166" s="537"/>
      <c r="S166" s="537"/>
      <c r="T166" s="537"/>
      <c r="U166" s="537"/>
      <c r="V166" s="537"/>
      <c r="W166" s="537"/>
      <c r="X166" s="537"/>
      <c r="Y166" s="537"/>
      <c r="Z166" s="537"/>
    </row>
    <row r="167" ht="15.75" customHeight="1">
      <c r="A167" s="537"/>
      <c r="B167" s="537"/>
      <c r="C167" s="537"/>
      <c r="D167" s="537"/>
      <c r="E167" s="537"/>
      <c r="F167" s="537"/>
      <c r="G167" s="537"/>
      <c r="H167" s="537"/>
      <c r="I167" s="537"/>
      <c r="J167" s="537"/>
      <c r="K167" s="537"/>
      <c r="L167" s="537"/>
      <c r="M167" s="537"/>
      <c r="N167" s="537"/>
      <c r="O167" s="537"/>
      <c r="P167" s="537"/>
      <c r="Q167" s="537"/>
      <c r="R167" s="537"/>
      <c r="S167" s="537"/>
      <c r="T167" s="537"/>
      <c r="U167" s="537"/>
      <c r="V167" s="537"/>
      <c r="W167" s="537"/>
      <c r="X167" s="537"/>
      <c r="Y167" s="537"/>
      <c r="Z167" s="537"/>
    </row>
    <row r="168" ht="15.75" customHeight="1">
      <c r="A168" s="537"/>
      <c r="B168" s="537"/>
      <c r="C168" s="537"/>
      <c r="D168" s="537"/>
      <c r="E168" s="537"/>
      <c r="F168" s="537"/>
      <c r="G168" s="537"/>
      <c r="H168" s="537"/>
      <c r="I168" s="537"/>
      <c r="J168" s="537"/>
      <c r="K168" s="537"/>
      <c r="L168" s="537"/>
      <c r="M168" s="537"/>
      <c r="N168" s="537"/>
      <c r="O168" s="537"/>
      <c r="P168" s="537"/>
      <c r="Q168" s="537"/>
      <c r="R168" s="537"/>
      <c r="S168" s="537"/>
      <c r="T168" s="537"/>
      <c r="U168" s="537"/>
      <c r="V168" s="537"/>
      <c r="W168" s="537"/>
      <c r="X168" s="537"/>
      <c r="Y168" s="537"/>
      <c r="Z168" s="537"/>
    </row>
    <row r="169" ht="15.75" customHeight="1">
      <c r="A169" s="537"/>
      <c r="B169" s="537"/>
      <c r="C169" s="537"/>
      <c r="D169" s="537"/>
      <c r="E169" s="537"/>
      <c r="F169" s="537"/>
      <c r="G169" s="537"/>
      <c r="H169" s="537"/>
      <c r="I169" s="537"/>
      <c r="J169" s="537"/>
      <c r="K169" s="537"/>
      <c r="L169" s="537"/>
      <c r="M169" s="537"/>
      <c r="N169" s="537"/>
      <c r="O169" s="537"/>
      <c r="P169" s="537"/>
      <c r="Q169" s="537"/>
      <c r="R169" s="537"/>
      <c r="S169" s="537"/>
      <c r="T169" s="537"/>
      <c r="U169" s="537"/>
      <c r="V169" s="537"/>
      <c r="W169" s="537"/>
      <c r="X169" s="537"/>
      <c r="Y169" s="537"/>
      <c r="Z169" s="537"/>
    </row>
    <row r="170" ht="15.75" customHeight="1">
      <c r="A170" s="537"/>
      <c r="B170" s="537"/>
      <c r="C170" s="537"/>
      <c r="D170" s="537"/>
      <c r="E170" s="537"/>
      <c r="F170" s="537"/>
      <c r="G170" s="537"/>
      <c r="H170" s="537"/>
      <c r="I170" s="537"/>
      <c r="J170" s="537"/>
      <c r="K170" s="537"/>
      <c r="L170" s="537"/>
      <c r="M170" s="537"/>
      <c r="N170" s="537"/>
      <c r="O170" s="537"/>
      <c r="P170" s="537"/>
      <c r="Q170" s="537"/>
      <c r="R170" s="537"/>
      <c r="S170" s="537"/>
      <c r="T170" s="537"/>
      <c r="U170" s="537"/>
      <c r="V170" s="537"/>
      <c r="W170" s="537"/>
      <c r="X170" s="537"/>
      <c r="Y170" s="537"/>
      <c r="Z170" s="537"/>
    </row>
    <row r="171" ht="15.75" customHeight="1">
      <c r="A171" s="537"/>
      <c r="B171" s="537"/>
      <c r="C171" s="537"/>
      <c r="D171" s="537"/>
      <c r="E171" s="537"/>
      <c r="F171" s="537"/>
      <c r="G171" s="537"/>
      <c r="H171" s="537"/>
      <c r="I171" s="537"/>
      <c r="J171" s="537"/>
      <c r="K171" s="537"/>
      <c r="L171" s="537"/>
      <c r="M171" s="537"/>
      <c r="N171" s="537"/>
      <c r="O171" s="537"/>
      <c r="P171" s="537"/>
      <c r="Q171" s="537"/>
      <c r="R171" s="537"/>
      <c r="S171" s="537"/>
      <c r="T171" s="537"/>
      <c r="U171" s="537"/>
      <c r="V171" s="537"/>
      <c r="W171" s="537"/>
      <c r="X171" s="537"/>
      <c r="Y171" s="537"/>
      <c r="Z171" s="537"/>
    </row>
    <row r="172" ht="15.75" customHeight="1">
      <c r="A172" s="537"/>
      <c r="B172" s="537"/>
      <c r="C172" s="537"/>
      <c r="D172" s="537"/>
      <c r="E172" s="537"/>
      <c r="F172" s="537"/>
      <c r="G172" s="537"/>
      <c r="H172" s="537"/>
      <c r="I172" s="537"/>
      <c r="J172" s="537"/>
      <c r="K172" s="537"/>
      <c r="L172" s="537"/>
      <c r="M172" s="537"/>
      <c r="N172" s="537"/>
      <c r="O172" s="537"/>
      <c r="P172" s="537"/>
      <c r="Q172" s="537"/>
      <c r="R172" s="537"/>
      <c r="S172" s="537"/>
      <c r="T172" s="537"/>
      <c r="U172" s="537"/>
      <c r="V172" s="537"/>
      <c r="W172" s="537"/>
      <c r="X172" s="537"/>
      <c r="Y172" s="537"/>
      <c r="Z172" s="537"/>
    </row>
    <row r="173" ht="15.75" customHeight="1">
      <c r="A173" s="537"/>
      <c r="B173" s="537"/>
      <c r="C173" s="537"/>
      <c r="D173" s="537"/>
      <c r="E173" s="537"/>
      <c r="F173" s="537"/>
      <c r="G173" s="537"/>
      <c r="H173" s="537"/>
      <c r="I173" s="537"/>
      <c r="J173" s="537"/>
      <c r="K173" s="537"/>
      <c r="L173" s="537"/>
      <c r="M173" s="537"/>
      <c r="N173" s="537"/>
      <c r="O173" s="537"/>
      <c r="P173" s="537"/>
      <c r="Q173" s="537"/>
      <c r="R173" s="537"/>
      <c r="S173" s="537"/>
      <c r="T173" s="537"/>
      <c r="U173" s="537"/>
      <c r="V173" s="537"/>
      <c r="W173" s="537"/>
      <c r="X173" s="537"/>
      <c r="Y173" s="537"/>
      <c r="Z173" s="537"/>
    </row>
    <row r="174" ht="15.75" customHeight="1">
      <c r="A174" s="537"/>
      <c r="B174" s="537"/>
      <c r="C174" s="537"/>
      <c r="D174" s="537"/>
      <c r="E174" s="537"/>
      <c r="F174" s="537"/>
      <c r="G174" s="537"/>
      <c r="H174" s="537"/>
      <c r="I174" s="537"/>
      <c r="J174" s="537"/>
      <c r="K174" s="537"/>
      <c r="L174" s="537"/>
      <c r="M174" s="537"/>
      <c r="N174" s="537"/>
      <c r="O174" s="537"/>
      <c r="P174" s="537"/>
      <c r="Q174" s="537"/>
      <c r="R174" s="537"/>
      <c r="S174" s="537"/>
      <c r="T174" s="537"/>
      <c r="U174" s="537"/>
      <c r="V174" s="537"/>
      <c r="W174" s="537"/>
      <c r="X174" s="537"/>
      <c r="Y174" s="537"/>
      <c r="Z174" s="537"/>
    </row>
    <row r="175" ht="15.75" customHeight="1">
      <c r="A175" s="537"/>
      <c r="B175" s="537"/>
      <c r="C175" s="537"/>
      <c r="D175" s="537"/>
      <c r="E175" s="537"/>
      <c r="F175" s="537"/>
      <c r="G175" s="537"/>
      <c r="H175" s="537"/>
      <c r="I175" s="537"/>
      <c r="J175" s="537"/>
      <c r="K175" s="537"/>
      <c r="L175" s="537"/>
      <c r="M175" s="537"/>
      <c r="N175" s="537"/>
      <c r="O175" s="537"/>
      <c r="P175" s="537"/>
      <c r="Q175" s="537"/>
      <c r="R175" s="537"/>
      <c r="S175" s="537"/>
      <c r="T175" s="537"/>
      <c r="U175" s="537"/>
      <c r="V175" s="537"/>
      <c r="W175" s="537"/>
      <c r="X175" s="537"/>
      <c r="Y175" s="537"/>
      <c r="Z175" s="537"/>
    </row>
    <row r="176" ht="15.75" customHeight="1">
      <c r="A176" s="537"/>
      <c r="B176" s="537"/>
      <c r="C176" s="537"/>
      <c r="D176" s="537"/>
      <c r="E176" s="537"/>
      <c r="F176" s="537"/>
      <c r="G176" s="537"/>
      <c r="H176" s="537"/>
      <c r="I176" s="537"/>
      <c r="J176" s="537"/>
      <c r="K176" s="537"/>
      <c r="L176" s="537"/>
      <c r="M176" s="537"/>
      <c r="N176" s="537"/>
      <c r="O176" s="537"/>
      <c r="P176" s="537"/>
      <c r="Q176" s="537"/>
      <c r="R176" s="537"/>
      <c r="S176" s="537"/>
      <c r="T176" s="537"/>
      <c r="U176" s="537"/>
      <c r="V176" s="537"/>
      <c r="W176" s="537"/>
      <c r="X176" s="537"/>
      <c r="Y176" s="537"/>
      <c r="Z176" s="537"/>
    </row>
    <row r="177" ht="15.75" customHeight="1">
      <c r="A177" s="537"/>
      <c r="B177" s="537"/>
      <c r="C177" s="537"/>
      <c r="D177" s="537"/>
      <c r="E177" s="537"/>
      <c r="F177" s="537"/>
      <c r="G177" s="537"/>
      <c r="H177" s="537"/>
      <c r="I177" s="537"/>
      <c r="J177" s="537"/>
      <c r="K177" s="537"/>
      <c r="L177" s="537"/>
      <c r="M177" s="537"/>
      <c r="N177" s="537"/>
      <c r="O177" s="537"/>
      <c r="P177" s="537"/>
      <c r="Q177" s="537"/>
      <c r="R177" s="537"/>
      <c r="S177" s="537"/>
      <c r="T177" s="537"/>
      <c r="U177" s="537"/>
      <c r="V177" s="537"/>
      <c r="W177" s="537"/>
      <c r="X177" s="537"/>
      <c r="Y177" s="537"/>
      <c r="Z177" s="537"/>
    </row>
    <row r="178" ht="15.75" customHeight="1">
      <c r="A178" s="537"/>
      <c r="B178" s="537"/>
      <c r="C178" s="537"/>
      <c r="D178" s="537"/>
      <c r="E178" s="537"/>
      <c r="F178" s="537"/>
      <c r="G178" s="537"/>
      <c r="H178" s="537"/>
      <c r="I178" s="537"/>
      <c r="J178" s="537"/>
      <c r="K178" s="537"/>
      <c r="L178" s="537"/>
      <c r="M178" s="537"/>
      <c r="N178" s="537"/>
      <c r="O178" s="537"/>
      <c r="P178" s="537"/>
      <c r="Q178" s="537"/>
      <c r="R178" s="537"/>
      <c r="S178" s="537"/>
      <c r="T178" s="537"/>
      <c r="U178" s="537"/>
      <c r="V178" s="537"/>
      <c r="W178" s="537"/>
      <c r="X178" s="537"/>
      <c r="Y178" s="537"/>
      <c r="Z178" s="537"/>
    </row>
    <row r="179" ht="15.75" customHeight="1">
      <c r="A179" s="537"/>
      <c r="B179" s="537"/>
      <c r="C179" s="537"/>
      <c r="D179" s="537"/>
      <c r="E179" s="537"/>
      <c r="F179" s="537"/>
      <c r="G179" s="537"/>
      <c r="H179" s="537"/>
      <c r="I179" s="537"/>
      <c r="J179" s="537"/>
      <c r="K179" s="537"/>
      <c r="L179" s="537"/>
      <c r="M179" s="537"/>
      <c r="N179" s="537"/>
      <c r="O179" s="537"/>
      <c r="P179" s="537"/>
      <c r="Q179" s="537"/>
      <c r="R179" s="537"/>
      <c r="S179" s="537"/>
      <c r="T179" s="537"/>
      <c r="U179" s="537"/>
      <c r="V179" s="537"/>
      <c r="W179" s="537"/>
      <c r="X179" s="537"/>
      <c r="Y179" s="537"/>
      <c r="Z179" s="537"/>
    </row>
    <row r="180" ht="15.75" customHeight="1">
      <c r="A180" s="537"/>
      <c r="B180" s="537"/>
      <c r="C180" s="537"/>
      <c r="D180" s="537"/>
      <c r="E180" s="537"/>
      <c r="F180" s="537"/>
      <c r="G180" s="537"/>
      <c r="H180" s="537"/>
      <c r="I180" s="537"/>
      <c r="J180" s="537"/>
      <c r="K180" s="537"/>
      <c r="L180" s="537"/>
      <c r="M180" s="537"/>
      <c r="N180" s="537"/>
      <c r="O180" s="537"/>
      <c r="P180" s="537"/>
      <c r="Q180" s="537"/>
      <c r="R180" s="537"/>
      <c r="S180" s="537"/>
      <c r="T180" s="537"/>
      <c r="U180" s="537"/>
      <c r="V180" s="537"/>
      <c r="W180" s="537"/>
      <c r="X180" s="537"/>
      <c r="Y180" s="537"/>
      <c r="Z180" s="537"/>
    </row>
    <row r="181" ht="15.75" customHeight="1">
      <c r="A181" s="537"/>
      <c r="B181" s="537"/>
      <c r="C181" s="537"/>
      <c r="D181" s="537"/>
      <c r="E181" s="537"/>
      <c r="F181" s="537"/>
      <c r="G181" s="537"/>
      <c r="H181" s="537"/>
      <c r="I181" s="537"/>
      <c r="J181" s="537"/>
      <c r="K181" s="537"/>
      <c r="L181" s="537"/>
      <c r="M181" s="537"/>
      <c r="N181" s="537"/>
      <c r="O181" s="537"/>
      <c r="P181" s="537"/>
      <c r="Q181" s="537"/>
      <c r="R181" s="537"/>
      <c r="S181" s="537"/>
      <c r="T181" s="537"/>
      <c r="U181" s="537"/>
      <c r="V181" s="537"/>
      <c r="W181" s="537"/>
      <c r="X181" s="537"/>
      <c r="Y181" s="537"/>
      <c r="Z181" s="537"/>
    </row>
    <row r="182" ht="15.75" customHeight="1">
      <c r="A182" s="537"/>
      <c r="B182" s="537"/>
      <c r="C182" s="537"/>
      <c r="D182" s="537"/>
      <c r="E182" s="537"/>
      <c r="F182" s="537"/>
      <c r="G182" s="537"/>
      <c r="H182" s="537"/>
      <c r="I182" s="537"/>
      <c r="J182" s="537"/>
      <c r="K182" s="537"/>
      <c r="L182" s="537"/>
      <c r="M182" s="537"/>
      <c r="N182" s="537"/>
      <c r="O182" s="537"/>
      <c r="P182" s="537"/>
      <c r="Q182" s="537"/>
      <c r="R182" s="537"/>
      <c r="S182" s="537"/>
      <c r="T182" s="537"/>
      <c r="U182" s="537"/>
      <c r="V182" s="537"/>
      <c r="W182" s="537"/>
      <c r="X182" s="537"/>
      <c r="Y182" s="537"/>
      <c r="Z182" s="537"/>
    </row>
    <row r="183" ht="15.75" customHeight="1">
      <c r="A183" s="537"/>
      <c r="B183" s="537"/>
      <c r="C183" s="537"/>
      <c r="D183" s="537"/>
      <c r="E183" s="537"/>
      <c r="F183" s="537"/>
      <c r="G183" s="537"/>
      <c r="H183" s="537"/>
      <c r="I183" s="537"/>
      <c r="J183" s="537"/>
      <c r="K183" s="537"/>
      <c r="L183" s="537"/>
      <c r="M183" s="537"/>
      <c r="N183" s="537"/>
      <c r="O183" s="537"/>
      <c r="P183" s="537"/>
      <c r="Q183" s="537"/>
      <c r="R183" s="537"/>
      <c r="S183" s="537"/>
      <c r="T183" s="537"/>
      <c r="U183" s="537"/>
      <c r="V183" s="537"/>
      <c r="W183" s="537"/>
      <c r="X183" s="537"/>
      <c r="Y183" s="537"/>
      <c r="Z183" s="537"/>
    </row>
    <row r="184" ht="15.75" customHeight="1">
      <c r="A184" s="537"/>
      <c r="B184" s="537"/>
      <c r="C184" s="537"/>
      <c r="D184" s="537"/>
      <c r="E184" s="537"/>
      <c r="F184" s="537"/>
      <c r="G184" s="537"/>
      <c r="H184" s="537"/>
      <c r="I184" s="537"/>
      <c r="J184" s="537"/>
      <c r="K184" s="537"/>
      <c r="L184" s="537"/>
      <c r="M184" s="537"/>
      <c r="N184" s="537"/>
      <c r="O184" s="537"/>
      <c r="P184" s="537"/>
      <c r="Q184" s="537"/>
      <c r="R184" s="537"/>
      <c r="S184" s="537"/>
      <c r="T184" s="537"/>
      <c r="U184" s="537"/>
      <c r="V184" s="537"/>
      <c r="W184" s="537"/>
      <c r="X184" s="537"/>
      <c r="Y184" s="537"/>
      <c r="Z184" s="537"/>
    </row>
    <row r="185" ht="15.75" customHeight="1">
      <c r="A185" s="537"/>
      <c r="B185" s="537"/>
      <c r="C185" s="537"/>
      <c r="D185" s="537"/>
      <c r="E185" s="537"/>
      <c r="F185" s="537"/>
      <c r="G185" s="537"/>
      <c r="H185" s="537"/>
      <c r="I185" s="537"/>
      <c r="J185" s="537"/>
      <c r="K185" s="537"/>
      <c r="L185" s="537"/>
      <c r="M185" s="537"/>
      <c r="N185" s="537"/>
      <c r="O185" s="537"/>
      <c r="P185" s="537"/>
      <c r="Q185" s="537"/>
      <c r="R185" s="537"/>
      <c r="S185" s="537"/>
      <c r="T185" s="537"/>
      <c r="U185" s="537"/>
      <c r="V185" s="537"/>
      <c r="W185" s="537"/>
      <c r="X185" s="537"/>
      <c r="Y185" s="537"/>
      <c r="Z185" s="537"/>
    </row>
    <row r="186" ht="15.75" customHeight="1">
      <c r="A186" s="537"/>
      <c r="B186" s="537"/>
      <c r="C186" s="537"/>
      <c r="D186" s="537"/>
      <c r="E186" s="537"/>
      <c r="F186" s="537"/>
      <c r="G186" s="537"/>
      <c r="H186" s="537"/>
      <c r="I186" s="537"/>
      <c r="J186" s="537"/>
      <c r="K186" s="537"/>
      <c r="L186" s="537"/>
      <c r="M186" s="537"/>
      <c r="N186" s="537"/>
      <c r="O186" s="537"/>
      <c r="P186" s="537"/>
      <c r="Q186" s="537"/>
      <c r="R186" s="537"/>
      <c r="S186" s="537"/>
      <c r="T186" s="537"/>
      <c r="U186" s="537"/>
      <c r="V186" s="537"/>
      <c r="W186" s="537"/>
      <c r="X186" s="537"/>
      <c r="Y186" s="537"/>
      <c r="Z186" s="537"/>
    </row>
    <row r="187" ht="15.75" customHeight="1">
      <c r="A187" s="537"/>
      <c r="B187" s="537"/>
      <c r="C187" s="537"/>
      <c r="D187" s="537"/>
      <c r="E187" s="537"/>
      <c r="F187" s="537"/>
      <c r="G187" s="537"/>
      <c r="H187" s="537"/>
      <c r="I187" s="537"/>
      <c r="J187" s="537"/>
      <c r="K187" s="537"/>
      <c r="L187" s="537"/>
      <c r="M187" s="537"/>
      <c r="N187" s="537"/>
      <c r="O187" s="537"/>
      <c r="P187" s="537"/>
      <c r="Q187" s="537"/>
      <c r="R187" s="537"/>
      <c r="S187" s="537"/>
      <c r="T187" s="537"/>
      <c r="U187" s="537"/>
      <c r="V187" s="537"/>
      <c r="W187" s="537"/>
      <c r="X187" s="537"/>
      <c r="Y187" s="537"/>
      <c r="Z187" s="537"/>
    </row>
    <row r="188" ht="15.75" customHeight="1">
      <c r="A188" s="537"/>
      <c r="B188" s="537"/>
      <c r="C188" s="537"/>
      <c r="D188" s="537"/>
      <c r="E188" s="537"/>
      <c r="F188" s="537"/>
      <c r="G188" s="537"/>
      <c r="H188" s="537"/>
      <c r="I188" s="537"/>
      <c r="J188" s="537"/>
      <c r="K188" s="537"/>
      <c r="L188" s="537"/>
      <c r="M188" s="537"/>
      <c r="N188" s="537"/>
      <c r="O188" s="537"/>
      <c r="P188" s="537"/>
      <c r="Q188" s="537"/>
      <c r="R188" s="537"/>
      <c r="S188" s="537"/>
      <c r="T188" s="537"/>
      <c r="U188" s="537"/>
      <c r="V188" s="537"/>
      <c r="W188" s="537"/>
      <c r="X188" s="537"/>
      <c r="Y188" s="537"/>
      <c r="Z188" s="537"/>
    </row>
    <row r="189" ht="15.75" customHeight="1">
      <c r="A189" s="537"/>
      <c r="B189" s="537"/>
      <c r="C189" s="537"/>
      <c r="D189" s="537"/>
      <c r="E189" s="537"/>
      <c r="F189" s="537"/>
      <c r="G189" s="537"/>
      <c r="H189" s="537"/>
      <c r="I189" s="537"/>
      <c r="J189" s="537"/>
      <c r="K189" s="537"/>
      <c r="L189" s="537"/>
      <c r="M189" s="537"/>
      <c r="N189" s="537"/>
      <c r="O189" s="537"/>
      <c r="P189" s="537"/>
      <c r="Q189" s="537"/>
      <c r="R189" s="537"/>
      <c r="S189" s="537"/>
      <c r="T189" s="537"/>
      <c r="U189" s="537"/>
      <c r="V189" s="537"/>
      <c r="W189" s="537"/>
      <c r="X189" s="537"/>
      <c r="Y189" s="537"/>
      <c r="Z189" s="537"/>
    </row>
    <row r="190" ht="15.75" customHeight="1">
      <c r="A190" s="537"/>
      <c r="B190" s="537"/>
      <c r="C190" s="537"/>
      <c r="D190" s="537"/>
      <c r="E190" s="537"/>
      <c r="F190" s="537"/>
      <c r="G190" s="537"/>
      <c r="H190" s="537"/>
      <c r="I190" s="537"/>
      <c r="J190" s="537"/>
      <c r="K190" s="537"/>
      <c r="L190" s="537"/>
      <c r="M190" s="537"/>
      <c r="N190" s="537"/>
      <c r="O190" s="537"/>
      <c r="P190" s="537"/>
      <c r="Q190" s="537"/>
      <c r="R190" s="537"/>
      <c r="S190" s="537"/>
      <c r="T190" s="537"/>
      <c r="U190" s="537"/>
      <c r="V190" s="537"/>
      <c r="W190" s="537"/>
      <c r="X190" s="537"/>
      <c r="Y190" s="537"/>
      <c r="Z190" s="537"/>
    </row>
    <row r="191" ht="15.75" customHeight="1">
      <c r="A191" s="537"/>
      <c r="B191" s="537"/>
      <c r="C191" s="537"/>
      <c r="D191" s="537"/>
      <c r="E191" s="537"/>
      <c r="F191" s="537"/>
      <c r="G191" s="537"/>
      <c r="H191" s="537"/>
      <c r="I191" s="537"/>
      <c r="J191" s="537"/>
      <c r="K191" s="537"/>
      <c r="L191" s="537"/>
      <c r="M191" s="537"/>
      <c r="N191" s="537"/>
      <c r="O191" s="537"/>
      <c r="P191" s="537"/>
      <c r="Q191" s="537"/>
      <c r="R191" s="537"/>
      <c r="S191" s="537"/>
      <c r="T191" s="537"/>
      <c r="U191" s="537"/>
      <c r="V191" s="537"/>
      <c r="W191" s="537"/>
      <c r="X191" s="537"/>
      <c r="Y191" s="537"/>
      <c r="Z191" s="537"/>
    </row>
    <row r="192" ht="15.75" customHeight="1">
      <c r="A192" s="537"/>
      <c r="B192" s="537"/>
      <c r="C192" s="537"/>
      <c r="D192" s="537"/>
      <c r="E192" s="537"/>
      <c r="F192" s="537"/>
      <c r="G192" s="537"/>
      <c r="H192" s="537"/>
      <c r="I192" s="537"/>
      <c r="J192" s="537"/>
      <c r="K192" s="537"/>
      <c r="L192" s="537"/>
      <c r="M192" s="537"/>
      <c r="N192" s="537"/>
      <c r="O192" s="537"/>
      <c r="P192" s="537"/>
      <c r="Q192" s="537"/>
      <c r="R192" s="537"/>
      <c r="S192" s="537"/>
      <c r="T192" s="537"/>
      <c r="U192" s="537"/>
      <c r="V192" s="537"/>
      <c r="W192" s="537"/>
      <c r="X192" s="537"/>
      <c r="Y192" s="537"/>
      <c r="Z192" s="537"/>
    </row>
    <row r="193" ht="15.75" customHeight="1">
      <c r="A193" s="537"/>
      <c r="B193" s="537"/>
      <c r="C193" s="537"/>
      <c r="D193" s="537"/>
      <c r="E193" s="537"/>
      <c r="F193" s="537"/>
      <c r="G193" s="537"/>
      <c r="H193" s="537"/>
      <c r="I193" s="537"/>
      <c r="J193" s="537"/>
      <c r="K193" s="537"/>
      <c r="L193" s="537"/>
      <c r="M193" s="537"/>
      <c r="N193" s="537"/>
      <c r="O193" s="537"/>
      <c r="P193" s="537"/>
      <c r="Q193" s="537"/>
      <c r="R193" s="537"/>
      <c r="S193" s="537"/>
      <c r="T193" s="537"/>
      <c r="U193" s="537"/>
      <c r="V193" s="537"/>
      <c r="W193" s="537"/>
      <c r="X193" s="537"/>
      <c r="Y193" s="537"/>
      <c r="Z193" s="537"/>
    </row>
    <row r="194" ht="15.75" customHeight="1">
      <c r="A194" s="537"/>
      <c r="B194" s="537"/>
      <c r="C194" s="537"/>
      <c r="D194" s="537"/>
      <c r="E194" s="537"/>
      <c r="F194" s="537"/>
      <c r="G194" s="537"/>
      <c r="H194" s="537"/>
      <c r="I194" s="537"/>
      <c r="J194" s="537"/>
      <c r="K194" s="537"/>
      <c r="L194" s="537"/>
      <c r="M194" s="537"/>
      <c r="N194" s="537"/>
      <c r="O194" s="537"/>
      <c r="P194" s="537"/>
      <c r="Q194" s="537"/>
      <c r="R194" s="537"/>
      <c r="S194" s="537"/>
      <c r="T194" s="537"/>
      <c r="U194" s="537"/>
      <c r="V194" s="537"/>
      <c r="W194" s="537"/>
      <c r="X194" s="537"/>
      <c r="Y194" s="537"/>
      <c r="Z194" s="537"/>
    </row>
    <row r="195" ht="15.75" customHeight="1">
      <c r="A195" s="537"/>
      <c r="B195" s="537"/>
      <c r="C195" s="537"/>
      <c r="D195" s="537"/>
      <c r="E195" s="537"/>
      <c r="F195" s="537"/>
      <c r="G195" s="537"/>
      <c r="H195" s="537"/>
      <c r="I195" s="537"/>
      <c r="J195" s="537"/>
      <c r="K195" s="537"/>
      <c r="L195" s="537"/>
      <c r="M195" s="537"/>
      <c r="N195" s="537"/>
      <c r="O195" s="537"/>
      <c r="P195" s="537"/>
      <c r="Q195" s="537"/>
      <c r="R195" s="537"/>
      <c r="S195" s="537"/>
      <c r="T195" s="537"/>
      <c r="U195" s="537"/>
      <c r="V195" s="537"/>
      <c r="W195" s="537"/>
      <c r="X195" s="537"/>
      <c r="Y195" s="537"/>
      <c r="Z195" s="537"/>
    </row>
    <row r="196" ht="15.75" customHeight="1">
      <c r="A196" s="537"/>
      <c r="B196" s="537"/>
      <c r="C196" s="537"/>
      <c r="D196" s="537"/>
      <c r="E196" s="537"/>
      <c r="F196" s="537"/>
      <c r="G196" s="537"/>
      <c r="H196" s="537"/>
      <c r="I196" s="537"/>
      <c r="J196" s="537"/>
      <c r="K196" s="537"/>
      <c r="L196" s="537"/>
      <c r="M196" s="537"/>
      <c r="N196" s="537"/>
      <c r="O196" s="537"/>
      <c r="P196" s="537"/>
      <c r="Q196" s="537"/>
      <c r="R196" s="537"/>
      <c r="S196" s="537"/>
      <c r="T196" s="537"/>
      <c r="U196" s="537"/>
      <c r="V196" s="537"/>
      <c r="W196" s="537"/>
      <c r="X196" s="537"/>
      <c r="Y196" s="537"/>
      <c r="Z196" s="537"/>
    </row>
    <row r="197" ht="15.75" customHeight="1">
      <c r="A197" s="537"/>
      <c r="B197" s="537"/>
      <c r="C197" s="537"/>
      <c r="D197" s="537"/>
      <c r="E197" s="537"/>
      <c r="F197" s="537"/>
      <c r="G197" s="537"/>
      <c r="H197" s="537"/>
      <c r="I197" s="537"/>
      <c r="J197" s="537"/>
      <c r="K197" s="537"/>
      <c r="L197" s="537"/>
      <c r="M197" s="537"/>
      <c r="N197" s="537"/>
      <c r="O197" s="537"/>
      <c r="P197" s="537"/>
      <c r="Q197" s="537"/>
      <c r="R197" s="537"/>
      <c r="S197" s="537"/>
      <c r="T197" s="537"/>
      <c r="U197" s="537"/>
      <c r="V197" s="537"/>
      <c r="W197" s="537"/>
      <c r="X197" s="537"/>
      <c r="Y197" s="537"/>
      <c r="Z197" s="537"/>
    </row>
    <row r="198" ht="15.75" customHeight="1">
      <c r="A198" s="537"/>
      <c r="B198" s="537"/>
      <c r="C198" s="537"/>
      <c r="D198" s="537"/>
      <c r="E198" s="537"/>
      <c r="F198" s="537"/>
      <c r="G198" s="537"/>
      <c r="H198" s="537"/>
      <c r="I198" s="537"/>
      <c r="J198" s="537"/>
      <c r="K198" s="537"/>
      <c r="L198" s="537"/>
      <c r="M198" s="537"/>
      <c r="N198" s="537"/>
      <c r="O198" s="537"/>
      <c r="P198" s="537"/>
      <c r="Q198" s="537"/>
      <c r="R198" s="537"/>
      <c r="S198" s="537"/>
      <c r="T198" s="537"/>
      <c r="U198" s="537"/>
      <c r="V198" s="537"/>
      <c r="W198" s="537"/>
      <c r="X198" s="537"/>
      <c r="Y198" s="537"/>
      <c r="Z198" s="537"/>
    </row>
    <row r="199" ht="15.75" customHeight="1">
      <c r="A199" s="537"/>
      <c r="B199" s="537"/>
      <c r="C199" s="537"/>
      <c r="D199" s="537"/>
      <c r="E199" s="537"/>
      <c r="F199" s="537"/>
      <c r="G199" s="537"/>
      <c r="H199" s="537"/>
      <c r="I199" s="537"/>
      <c r="J199" s="537"/>
      <c r="K199" s="537"/>
      <c r="L199" s="537"/>
      <c r="M199" s="537"/>
      <c r="N199" s="537"/>
      <c r="O199" s="537"/>
      <c r="P199" s="537"/>
      <c r="Q199" s="537"/>
      <c r="R199" s="537"/>
      <c r="S199" s="537"/>
      <c r="T199" s="537"/>
      <c r="U199" s="537"/>
      <c r="V199" s="537"/>
      <c r="W199" s="537"/>
      <c r="X199" s="537"/>
      <c r="Y199" s="537"/>
      <c r="Z199" s="537"/>
    </row>
    <row r="200" ht="15.75" customHeight="1">
      <c r="A200" s="537"/>
      <c r="B200" s="537"/>
      <c r="C200" s="537"/>
      <c r="D200" s="537"/>
      <c r="E200" s="537"/>
      <c r="F200" s="537"/>
      <c r="G200" s="537"/>
      <c r="H200" s="537"/>
      <c r="I200" s="537"/>
      <c r="J200" s="537"/>
      <c r="K200" s="537"/>
      <c r="L200" s="537"/>
      <c r="M200" s="537"/>
      <c r="N200" s="537"/>
      <c r="O200" s="537"/>
      <c r="P200" s="537"/>
      <c r="Q200" s="537"/>
      <c r="R200" s="537"/>
      <c r="S200" s="537"/>
      <c r="T200" s="537"/>
      <c r="U200" s="537"/>
      <c r="V200" s="537"/>
      <c r="W200" s="537"/>
      <c r="X200" s="537"/>
      <c r="Y200" s="537"/>
      <c r="Z200" s="537"/>
    </row>
    <row r="201" ht="15.75" customHeight="1">
      <c r="A201" s="537"/>
      <c r="B201" s="537"/>
      <c r="C201" s="537"/>
      <c r="D201" s="537"/>
      <c r="E201" s="537"/>
      <c r="F201" s="537"/>
      <c r="G201" s="537"/>
      <c r="H201" s="537"/>
      <c r="I201" s="537"/>
      <c r="J201" s="537"/>
      <c r="K201" s="537"/>
      <c r="L201" s="537"/>
      <c r="M201" s="537"/>
      <c r="N201" s="537"/>
      <c r="O201" s="537"/>
      <c r="P201" s="537"/>
      <c r="Q201" s="537"/>
      <c r="R201" s="537"/>
      <c r="S201" s="537"/>
      <c r="T201" s="537"/>
      <c r="U201" s="537"/>
      <c r="V201" s="537"/>
      <c r="W201" s="537"/>
      <c r="X201" s="537"/>
      <c r="Y201" s="537"/>
      <c r="Z201" s="537"/>
    </row>
    <row r="202" ht="15.75" customHeight="1">
      <c r="A202" s="537"/>
      <c r="B202" s="537"/>
      <c r="C202" s="537"/>
      <c r="D202" s="537"/>
      <c r="E202" s="537"/>
      <c r="F202" s="537"/>
      <c r="G202" s="537"/>
      <c r="H202" s="537"/>
      <c r="I202" s="537"/>
      <c r="J202" s="537"/>
      <c r="K202" s="537"/>
      <c r="L202" s="537"/>
      <c r="M202" s="537"/>
      <c r="N202" s="537"/>
      <c r="O202" s="537"/>
      <c r="P202" s="537"/>
      <c r="Q202" s="537"/>
      <c r="R202" s="537"/>
      <c r="S202" s="537"/>
      <c r="T202" s="537"/>
      <c r="U202" s="537"/>
      <c r="V202" s="537"/>
      <c r="W202" s="537"/>
      <c r="X202" s="537"/>
      <c r="Y202" s="537"/>
      <c r="Z202" s="537"/>
    </row>
    <row r="203" ht="15.75" customHeight="1">
      <c r="A203" s="537"/>
      <c r="B203" s="537"/>
      <c r="C203" s="537"/>
      <c r="D203" s="537"/>
      <c r="E203" s="537"/>
      <c r="F203" s="537"/>
      <c r="G203" s="537"/>
      <c r="H203" s="537"/>
      <c r="I203" s="537"/>
      <c r="J203" s="537"/>
      <c r="K203" s="537"/>
      <c r="L203" s="537"/>
      <c r="M203" s="537"/>
      <c r="N203" s="537"/>
      <c r="O203" s="537"/>
      <c r="P203" s="537"/>
      <c r="Q203" s="537"/>
      <c r="R203" s="537"/>
      <c r="S203" s="537"/>
      <c r="T203" s="537"/>
      <c r="U203" s="537"/>
      <c r="V203" s="537"/>
      <c r="W203" s="537"/>
      <c r="X203" s="537"/>
      <c r="Y203" s="537"/>
      <c r="Z203" s="537"/>
    </row>
    <row r="204" ht="15.75" customHeight="1">
      <c r="A204" s="537"/>
      <c r="B204" s="537"/>
      <c r="C204" s="537"/>
      <c r="D204" s="537"/>
      <c r="E204" s="537"/>
      <c r="F204" s="537"/>
      <c r="G204" s="537"/>
      <c r="H204" s="537"/>
      <c r="I204" s="537"/>
      <c r="J204" s="537"/>
      <c r="K204" s="537"/>
      <c r="L204" s="537"/>
      <c r="M204" s="537"/>
      <c r="N204" s="537"/>
      <c r="O204" s="537"/>
      <c r="P204" s="537"/>
      <c r="Q204" s="537"/>
      <c r="R204" s="537"/>
      <c r="S204" s="537"/>
      <c r="T204" s="537"/>
      <c r="U204" s="537"/>
      <c r="V204" s="537"/>
      <c r="W204" s="537"/>
      <c r="X204" s="537"/>
      <c r="Y204" s="537"/>
      <c r="Z204" s="537"/>
    </row>
    <row r="205" ht="15.75" customHeight="1">
      <c r="A205" s="537"/>
      <c r="B205" s="537"/>
      <c r="C205" s="537"/>
      <c r="D205" s="537"/>
      <c r="E205" s="537"/>
      <c r="F205" s="537"/>
      <c r="G205" s="537"/>
      <c r="H205" s="537"/>
      <c r="I205" s="537"/>
      <c r="J205" s="537"/>
      <c r="K205" s="537"/>
      <c r="L205" s="537"/>
      <c r="M205" s="537"/>
      <c r="N205" s="537"/>
      <c r="O205" s="537"/>
      <c r="P205" s="537"/>
      <c r="Q205" s="537"/>
      <c r="R205" s="537"/>
      <c r="S205" s="537"/>
      <c r="T205" s="537"/>
      <c r="U205" s="537"/>
      <c r="V205" s="537"/>
      <c r="W205" s="537"/>
      <c r="X205" s="537"/>
      <c r="Y205" s="537"/>
      <c r="Z205" s="537"/>
    </row>
    <row r="206" ht="15.75" customHeight="1">
      <c r="A206" s="537"/>
      <c r="B206" s="537"/>
      <c r="C206" s="537"/>
      <c r="D206" s="537"/>
      <c r="E206" s="537"/>
      <c r="F206" s="537"/>
      <c r="G206" s="537"/>
      <c r="H206" s="537"/>
      <c r="I206" s="537"/>
      <c r="J206" s="537"/>
      <c r="K206" s="537"/>
      <c r="L206" s="537"/>
      <c r="M206" s="537"/>
      <c r="N206" s="537"/>
      <c r="O206" s="537"/>
      <c r="P206" s="537"/>
      <c r="Q206" s="537"/>
      <c r="R206" s="537"/>
      <c r="S206" s="537"/>
      <c r="T206" s="537"/>
      <c r="U206" s="537"/>
      <c r="V206" s="537"/>
      <c r="W206" s="537"/>
      <c r="X206" s="537"/>
      <c r="Y206" s="537"/>
      <c r="Z206" s="537"/>
    </row>
    <row r="207" ht="15.75" customHeight="1">
      <c r="A207" s="537"/>
      <c r="B207" s="537"/>
      <c r="C207" s="537"/>
      <c r="D207" s="537"/>
      <c r="E207" s="537"/>
      <c r="F207" s="537"/>
      <c r="G207" s="537"/>
      <c r="H207" s="537"/>
      <c r="I207" s="537"/>
      <c r="J207" s="537"/>
      <c r="K207" s="537"/>
      <c r="L207" s="537"/>
      <c r="M207" s="537"/>
      <c r="N207" s="537"/>
      <c r="O207" s="537"/>
      <c r="P207" s="537"/>
      <c r="Q207" s="537"/>
      <c r="R207" s="537"/>
      <c r="S207" s="537"/>
      <c r="T207" s="537"/>
      <c r="U207" s="537"/>
      <c r="V207" s="537"/>
      <c r="W207" s="537"/>
      <c r="X207" s="537"/>
      <c r="Y207" s="537"/>
      <c r="Z207" s="537"/>
    </row>
    <row r="208" ht="15.75" customHeight="1">
      <c r="A208" s="537"/>
      <c r="B208" s="537"/>
      <c r="C208" s="537"/>
      <c r="D208" s="537"/>
      <c r="E208" s="537"/>
      <c r="F208" s="537"/>
      <c r="G208" s="537"/>
      <c r="H208" s="537"/>
      <c r="I208" s="537"/>
      <c r="J208" s="537"/>
      <c r="K208" s="537"/>
      <c r="L208" s="537"/>
      <c r="M208" s="537"/>
      <c r="N208" s="537"/>
      <c r="O208" s="537"/>
      <c r="P208" s="537"/>
      <c r="Q208" s="537"/>
      <c r="R208" s="537"/>
      <c r="S208" s="537"/>
      <c r="T208" s="537"/>
      <c r="U208" s="537"/>
      <c r="V208" s="537"/>
      <c r="W208" s="537"/>
      <c r="X208" s="537"/>
      <c r="Y208" s="537"/>
      <c r="Z208" s="537"/>
    </row>
    <row r="209" ht="15.75" customHeight="1">
      <c r="A209" s="537"/>
      <c r="B209" s="537"/>
      <c r="C209" s="537"/>
      <c r="D209" s="537"/>
      <c r="E209" s="537"/>
      <c r="F209" s="537"/>
      <c r="G209" s="537"/>
      <c r="H209" s="537"/>
      <c r="I209" s="537"/>
      <c r="J209" s="537"/>
      <c r="K209" s="537"/>
      <c r="L209" s="537"/>
      <c r="M209" s="537"/>
      <c r="N209" s="537"/>
      <c r="O209" s="537"/>
      <c r="P209" s="537"/>
      <c r="Q209" s="537"/>
      <c r="R209" s="537"/>
      <c r="S209" s="537"/>
      <c r="T209" s="537"/>
      <c r="U209" s="537"/>
      <c r="V209" s="537"/>
      <c r="W209" s="537"/>
      <c r="X209" s="537"/>
      <c r="Y209" s="537"/>
      <c r="Z209" s="537"/>
    </row>
    <row r="210" ht="15.75" customHeight="1">
      <c r="A210" s="537"/>
      <c r="B210" s="537"/>
      <c r="C210" s="537"/>
      <c r="D210" s="537"/>
      <c r="E210" s="537"/>
      <c r="F210" s="537"/>
      <c r="G210" s="537"/>
      <c r="H210" s="537"/>
      <c r="I210" s="537"/>
      <c r="J210" s="537"/>
      <c r="K210" s="537"/>
      <c r="L210" s="537"/>
      <c r="M210" s="537"/>
      <c r="N210" s="537"/>
      <c r="O210" s="537"/>
      <c r="P210" s="537"/>
      <c r="Q210" s="537"/>
      <c r="R210" s="537"/>
      <c r="S210" s="537"/>
      <c r="T210" s="537"/>
      <c r="U210" s="537"/>
      <c r="V210" s="537"/>
      <c r="W210" s="537"/>
      <c r="X210" s="537"/>
      <c r="Y210" s="537"/>
      <c r="Z210" s="537"/>
    </row>
    <row r="211" ht="15.75" customHeight="1">
      <c r="A211" s="537"/>
      <c r="B211" s="537"/>
      <c r="C211" s="537"/>
      <c r="D211" s="537"/>
      <c r="E211" s="537"/>
      <c r="F211" s="537"/>
      <c r="G211" s="537"/>
      <c r="H211" s="537"/>
      <c r="I211" s="537"/>
      <c r="J211" s="537"/>
      <c r="K211" s="537"/>
      <c r="L211" s="537"/>
      <c r="M211" s="537"/>
      <c r="N211" s="537"/>
      <c r="O211" s="537"/>
      <c r="P211" s="537"/>
      <c r="Q211" s="537"/>
      <c r="R211" s="537"/>
      <c r="S211" s="537"/>
      <c r="T211" s="537"/>
      <c r="U211" s="537"/>
      <c r="V211" s="537"/>
      <c r="W211" s="537"/>
      <c r="X211" s="537"/>
      <c r="Y211" s="537"/>
      <c r="Z211" s="537"/>
    </row>
    <row r="212" ht="15.75" customHeight="1">
      <c r="A212" s="537"/>
      <c r="B212" s="537"/>
      <c r="C212" s="537"/>
      <c r="D212" s="537"/>
      <c r="E212" s="537"/>
      <c r="F212" s="537"/>
      <c r="G212" s="537"/>
      <c r="H212" s="537"/>
      <c r="I212" s="537"/>
      <c r="J212" s="537"/>
      <c r="K212" s="537"/>
      <c r="L212" s="537"/>
      <c r="M212" s="537"/>
      <c r="N212" s="537"/>
      <c r="O212" s="537"/>
      <c r="P212" s="537"/>
      <c r="Q212" s="537"/>
      <c r="R212" s="537"/>
      <c r="S212" s="537"/>
      <c r="T212" s="537"/>
      <c r="U212" s="537"/>
      <c r="V212" s="537"/>
      <c r="W212" s="537"/>
      <c r="X212" s="537"/>
      <c r="Y212" s="537"/>
      <c r="Z212" s="537"/>
    </row>
    <row r="213" ht="15.75" customHeight="1">
      <c r="A213" s="537"/>
      <c r="B213" s="537"/>
      <c r="C213" s="537"/>
      <c r="D213" s="537"/>
      <c r="E213" s="537"/>
      <c r="F213" s="537"/>
      <c r="G213" s="537"/>
      <c r="H213" s="537"/>
      <c r="I213" s="537"/>
      <c r="J213" s="537"/>
      <c r="K213" s="537"/>
      <c r="L213" s="537"/>
      <c r="M213" s="537"/>
      <c r="N213" s="537"/>
      <c r="O213" s="537"/>
      <c r="P213" s="537"/>
      <c r="Q213" s="537"/>
      <c r="R213" s="537"/>
      <c r="S213" s="537"/>
      <c r="T213" s="537"/>
      <c r="U213" s="537"/>
      <c r="V213" s="537"/>
      <c r="W213" s="537"/>
      <c r="X213" s="537"/>
      <c r="Y213" s="537"/>
      <c r="Z213" s="537"/>
    </row>
    <row r="214" ht="15.75" customHeight="1">
      <c r="A214" s="537"/>
      <c r="B214" s="537"/>
      <c r="C214" s="537"/>
      <c r="D214" s="537"/>
      <c r="E214" s="537"/>
      <c r="F214" s="537"/>
      <c r="G214" s="537"/>
      <c r="H214" s="537"/>
      <c r="I214" s="537"/>
      <c r="J214" s="537"/>
      <c r="K214" s="537"/>
      <c r="L214" s="537"/>
      <c r="M214" s="537"/>
      <c r="N214" s="537"/>
      <c r="O214" s="537"/>
      <c r="P214" s="537"/>
      <c r="Q214" s="537"/>
      <c r="R214" s="537"/>
      <c r="S214" s="537"/>
      <c r="T214" s="537"/>
      <c r="U214" s="537"/>
      <c r="V214" s="537"/>
      <c r="W214" s="537"/>
      <c r="X214" s="537"/>
      <c r="Y214" s="537"/>
      <c r="Z214" s="537"/>
    </row>
    <row r="215" ht="15.75" customHeight="1">
      <c r="A215" s="537"/>
      <c r="B215" s="537"/>
      <c r="C215" s="537"/>
      <c r="D215" s="537"/>
      <c r="E215" s="537"/>
      <c r="F215" s="537"/>
      <c r="G215" s="537"/>
      <c r="H215" s="537"/>
      <c r="I215" s="537"/>
      <c r="J215" s="537"/>
      <c r="K215" s="537"/>
      <c r="L215" s="537"/>
      <c r="M215" s="537"/>
      <c r="N215" s="537"/>
      <c r="O215" s="537"/>
      <c r="P215" s="537"/>
      <c r="Q215" s="537"/>
      <c r="R215" s="537"/>
      <c r="S215" s="537"/>
      <c r="T215" s="537"/>
      <c r="U215" s="537"/>
      <c r="V215" s="537"/>
      <c r="W215" s="537"/>
      <c r="X215" s="537"/>
      <c r="Y215" s="537"/>
      <c r="Z215" s="537"/>
    </row>
    <row r="216" ht="15.75" customHeight="1">
      <c r="A216" s="537"/>
      <c r="B216" s="537"/>
      <c r="C216" s="537"/>
      <c r="D216" s="537"/>
      <c r="E216" s="537"/>
      <c r="F216" s="537"/>
      <c r="G216" s="537"/>
      <c r="H216" s="537"/>
      <c r="I216" s="537"/>
      <c r="J216" s="537"/>
      <c r="K216" s="537"/>
      <c r="L216" s="537"/>
      <c r="M216" s="537"/>
      <c r="N216" s="537"/>
      <c r="O216" s="537"/>
      <c r="P216" s="537"/>
      <c r="Q216" s="537"/>
      <c r="R216" s="537"/>
      <c r="S216" s="537"/>
      <c r="T216" s="537"/>
      <c r="U216" s="537"/>
      <c r="V216" s="537"/>
      <c r="W216" s="537"/>
      <c r="X216" s="537"/>
      <c r="Y216" s="537"/>
      <c r="Z216" s="537"/>
    </row>
    <row r="217" ht="15.75" customHeight="1">
      <c r="A217" s="537"/>
      <c r="B217" s="537"/>
      <c r="C217" s="537"/>
      <c r="D217" s="537"/>
      <c r="E217" s="537"/>
      <c r="F217" s="537"/>
      <c r="G217" s="537"/>
      <c r="H217" s="537"/>
      <c r="I217" s="537"/>
      <c r="J217" s="537"/>
      <c r="K217" s="537"/>
      <c r="L217" s="537"/>
      <c r="M217" s="537"/>
      <c r="N217" s="537"/>
      <c r="O217" s="537"/>
      <c r="P217" s="537"/>
      <c r="Q217" s="537"/>
      <c r="R217" s="537"/>
      <c r="S217" s="537"/>
      <c r="T217" s="537"/>
      <c r="U217" s="537"/>
      <c r="V217" s="537"/>
      <c r="W217" s="537"/>
      <c r="X217" s="537"/>
      <c r="Y217" s="537"/>
      <c r="Z217" s="537"/>
    </row>
    <row r="218" ht="15.75" customHeight="1">
      <c r="A218" s="537"/>
      <c r="B218" s="537"/>
      <c r="C218" s="537"/>
      <c r="D218" s="537"/>
      <c r="E218" s="537"/>
      <c r="F218" s="537"/>
      <c r="G218" s="537"/>
      <c r="H218" s="537"/>
      <c r="I218" s="537"/>
      <c r="J218" s="537"/>
      <c r="K218" s="537"/>
      <c r="L218" s="537"/>
      <c r="M218" s="537"/>
      <c r="N218" s="537"/>
      <c r="O218" s="537"/>
      <c r="P218" s="537"/>
      <c r="Q218" s="537"/>
      <c r="R218" s="537"/>
      <c r="S218" s="537"/>
      <c r="T218" s="537"/>
      <c r="U218" s="537"/>
      <c r="V218" s="537"/>
      <c r="W218" s="537"/>
      <c r="X218" s="537"/>
      <c r="Y218" s="537"/>
      <c r="Z218" s="537"/>
    </row>
    <row r="219" ht="15.75" customHeight="1">
      <c r="A219" s="537"/>
      <c r="B219" s="537"/>
      <c r="C219" s="537"/>
      <c r="D219" s="537"/>
      <c r="E219" s="537"/>
      <c r="F219" s="537"/>
      <c r="G219" s="537"/>
      <c r="H219" s="537"/>
      <c r="I219" s="537"/>
      <c r="J219" s="537"/>
      <c r="K219" s="537"/>
      <c r="L219" s="537"/>
      <c r="M219" s="537"/>
      <c r="N219" s="537"/>
      <c r="O219" s="537"/>
      <c r="P219" s="537"/>
      <c r="Q219" s="537"/>
      <c r="R219" s="537"/>
      <c r="S219" s="537"/>
      <c r="T219" s="537"/>
      <c r="U219" s="537"/>
      <c r="V219" s="537"/>
      <c r="W219" s="537"/>
      <c r="X219" s="537"/>
      <c r="Y219" s="537"/>
      <c r="Z219" s="537"/>
    </row>
    <row r="220" ht="15.75" customHeight="1">
      <c r="A220" s="537"/>
      <c r="B220" s="537"/>
      <c r="C220" s="537"/>
      <c r="D220" s="537"/>
      <c r="E220" s="537"/>
      <c r="F220" s="537"/>
      <c r="G220" s="537"/>
      <c r="H220" s="537"/>
      <c r="I220" s="537"/>
      <c r="J220" s="537"/>
      <c r="K220" s="537"/>
      <c r="L220" s="537"/>
      <c r="M220" s="537"/>
      <c r="N220" s="537"/>
      <c r="O220" s="537"/>
      <c r="P220" s="537"/>
      <c r="Q220" s="537"/>
      <c r="R220" s="537"/>
      <c r="S220" s="537"/>
      <c r="T220" s="537"/>
      <c r="U220" s="537"/>
      <c r="V220" s="537"/>
      <c r="W220" s="537"/>
      <c r="X220" s="537"/>
      <c r="Y220" s="537"/>
      <c r="Z220" s="537"/>
    </row>
    <row r="221" ht="15.75" customHeight="1">
      <c r="A221" s="537"/>
      <c r="B221" s="537"/>
      <c r="C221" s="537"/>
      <c r="D221" s="537"/>
      <c r="E221" s="537"/>
      <c r="F221" s="537"/>
      <c r="G221" s="537"/>
      <c r="H221" s="537"/>
      <c r="I221" s="537"/>
      <c r="J221" s="537"/>
      <c r="K221" s="537"/>
      <c r="L221" s="537"/>
      <c r="M221" s="537"/>
      <c r="N221" s="537"/>
      <c r="O221" s="537"/>
      <c r="P221" s="537"/>
      <c r="Q221" s="537"/>
      <c r="R221" s="537"/>
      <c r="S221" s="537"/>
      <c r="T221" s="537"/>
      <c r="U221" s="537"/>
      <c r="V221" s="537"/>
      <c r="W221" s="537"/>
      <c r="X221" s="537"/>
      <c r="Y221" s="537"/>
      <c r="Z221" s="537"/>
    </row>
    <row r="222" ht="15.75" customHeight="1">
      <c r="A222" s="537"/>
      <c r="B222" s="537"/>
      <c r="C222" s="537"/>
      <c r="D222" s="537"/>
      <c r="E222" s="537"/>
      <c r="F222" s="537"/>
      <c r="G222" s="537"/>
      <c r="H222" s="537"/>
      <c r="I222" s="537"/>
      <c r="J222" s="537"/>
      <c r="K222" s="537"/>
      <c r="L222" s="537"/>
      <c r="M222" s="537"/>
      <c r="N222" s="537"/>
      <c r="O222" s="537"/>
      <c r="P222" s="537"/>
      <c r="Q222" s="537"/>
      <c r="R222" s="537"/>
      <c r="S222" s="537"/>
      <c r="T222" s="537"/>
      <c r="U222" s="537"/>
      <c r="V222" s="537"/>
      <c r="W222" s="537"/>
      <c r="X222" s="537"/>
      <c r="Y222" s="537"/>
      <c r="Z222" s="537"/>
    </row>
    <row r="223" ht="15.75" customHeight="1">
      <c r="A223" s="537"/>
      <c r="B223" s="537"/>
      <c r="C223" s="537"/>
      <c r="D223" s="537"/>
      <c r="E223" s="537"/>
      <c r="F223" s="537"/>
      <c r="G223" s="537"/>
      <c r="H223" s="537"/>
      <c r="I223" s="537"/>
      <c r="J223" s="537"/>
      <c r="K223" s="537"/>
      <c r="L223" s="537"/>
      <c r="M223" s="537"/>
      <c r="N223" s="537"/>
      <c r="O223" s="537"/>
      <c r="P223" s="537"/>
      <c r="Q223" s="537"/>
      <c r="R223" s="537"/>
      <c r="S223" s="537"/>
      <c r="T223" s="537"/>
      <c r="U223" s="537"/>
      <c r="V223" s="537"/>
      <c r="W223" s="537"/>
      <c r="X223" s="537"/>
      <c r="Y223" s="537"/>
      <c r="Z223" s="537"/>
    </row>
    <row r="224" ht="15.75" customHeight="1">
      <c r="A224" s="537"/>
      <c r="B224" s="537"/>
      <c r="C224" s="537"/>
      <c r="D224" s="537"/>
      <c r="E224" s="537"/>
      <c r="F224" s="537"/>
      <c r="G224" s="537"/>
      <c r="H224" s="537"/>
      <c r="I224" s="537"/>
      <c r="J224" s="537"/>
      <c r="K224" s="537"/>
      <c r="L224" s="537"/>
      <c r="M224" s="537"/>
      <c r="N224" s="537"/>
      <c r="O224" s="537"/>
      <c r="P224" s="537"/>
      <c r="Q224" s="537"/>
      <c r="R224" s="537"/>
      <c r="S224" s="537"/>
      <c r="T224" s="537"/>
      <c r="U224" s="537"/>
      <c r="V224" s="537"/>
      <c r="W224" s="537"/>
      <c r="X224" s="537"/>
      <c r="Y224" s="537"/>
      <c r="Z224" s="537"/>
    </row>
    <row r="225" ht="15.75" customHeight="1">
      <c r="A225" s="537"/>
      <c r="B225" s="537"/>
      <c r="C225" s="537"/>
      <c r="D225" s="537"/>
      <c r="E225" s="537"/>
      <c r="F225" s="537"/>
      <c r="G225" s="537"/>
      <c r="H225" s="537"/>
      <c r="I225" s="537"/>
      <c r="J225" s="537"/>
      <c r="K225" s="537"/>
      <c r="L225" s="537"/>
      <c r="M225" s="537"/>
      <c r="N225" s="537"/>
      <c r="O225" s="537"/>
      <c r="P225" s="537"/>
      <c r="Q225" s="537"/>
      <c r="R225" s="537"/>
      <c r="S225" s="537"/>
      <c r="T225" s="537"/>
      <c r="U225" s="537"/>
      <c r="V225" s="537"/>
      <c r="W225" s="537"/>
      <c r="X225" s="537"/>
      <c r="Y225" s="537"/>
      <c r="Z225" s="537"/>
    </row>
    <row r="226" ht="15.75" customHeight="1">
      <c r="A226" s="537"/>
      <c r="B226" s="537"/>
      <c r="C226" s="537"/>
      <c r="D226" s="537"/>
      <c r="E226" s="537"/>
      <c r="F226" s="537"/>
      <c r="G226" s="537"/>
      <c r="H226" s="537"/>
      <c r="I226" s="537"/>
      <c r="J226" s="537"/>
      <c r="K226" s="537"/>
      <c r="L226" s="537"/>
      <c r="M226" s="537"/>
      <c r="N226" s="537"/>
      <c r="O226" s="537"/>
      <c r="P226" s="537"/>
      <c r="Q226" s="537"/>
      <c r="R226" s="537"/>
      <c r="S226" s="537"/>
      <c r="T226" s="537"/>
      <c r="U226" s="537"/>
      <c r="V226" s="537"/>
      <c r="W226" s="537"/>
      <c r="X226" s="537"/>
      <c r="Y226" s="537"/>
      <c r="Z226" s="537"/>
    </row>
    <row r="227" ht="15.75" customHeight="1">
      <c r="A227" s="537"/>
      <c r="B227" s="537"/>
      <c r="C227" s="537"/>
      <c r="D227" s="537"/>
      <c r="E227" s="537"/>
      <c r="F227" s="537"/>
      <c r="G227" s="537"/>
      <c r="H227" s="537"/>
      <c r="I227" s="537"/>
      <c r="J227" s="537"/>
      <c r="K227" s="537"/>
      <c r="L227" s="537"/>
      <c r="M227" s="537"/>
      <c r="N227" s="537"/>
      <c r="O227" s="537"/>
      <c r="P227" s="537"/>
      <c r="Q227" s="537"/>
      <c r="R227" s="537"/>
      <c r="S227" s="537"/>
      <c r="T227" s="537"/>
      <c r="U227" s="537"/>
      <c r="V227" s="537"/>
      <c r="W227" s="537"/>
      <c r="X227" s="537"/>
      <c r="Y227" s="537"/>
      <c r="Z227" s="537"/>
    </row>
    <row r="228" ht="15.75" customHeight="1">
      <c r="A228" s="537"/>
      <c r="B228" s="537"/>
      <c r="C228" s="537"/>
      <c r="D228" s="537"/>
      <c r="E228" s="537"/>
      <c r="F228" s="537"/>
      <c r="G228" s="537"/>
      <c r="H228" s="537"/>
      <c r="I228" s="537"/>
      <c r="J228" s="537"/>
      <c r="K228" s="537"/>
      <c r="L228" s="537"/>
      <c r="M228" s="537"/>
      <c r="N228" s="537"/>
      <c r="O228" s="537"/>
      <c r="P228" s="537"/>
      <c r="Q228" s="537"/>
      <c r="R228" s="537"/>
      <c r="S228" s="537"/>
      <c r="T228" s="537"/>
      <c r="U228" s="537"/>
      <c r="V228" s="537"/>
      <c r="W228" s="537"/>
      <c r="X228" s="537"/>
      <c r="Y228" s="537"/>
      <c r="Z228" s="537"/>
    </row>
    <row r="229" ht="15.75" customHeight="1">
      <c r="A229" s="537"/>
      <c r="B229" s="537"/>
      <c r="C229" s="537"/>
      <c r="D229" s="537"/>
      <c r="E229" s="537"/>
      <c r="F229" s="537"/>
      <c r="G229" s="537"/>
      <c r="H229" s="537"/>
      <c r="I229" s="537"/>
      <c r="J229" s="537"/>
      <c r="K229" s="537"/>
      <c r="L229" s="537"/>
      <c r="M229" s="537"/>
      <c r="N229" s="537"/>
      <c r="O229" s="537"/>
      <c r="P229" s="537"/>
      <c r="Q229" s="537"/>
      <c r="R229" s="537"/>
      <c r="S229" s="537"/>
      <c r="T229" s="537"/>
      <c r="U229" s="537"/>
      <c r="V229" s="537"/>
      <c r="W229" s="537"/>
      <c r="X229" s="537"/>
      <c r="Y229" s="537"/>
      <c r="Z229" s="537"/>
    </row>
    <row r="230" ht="15.75" customHeight="1">
      <c r="A230" s="537"/>
      <c r="B230" s="537"/>
      <c r="C230" s="537"/>
      <c r="D230" s="537"/>
      <c r="E230" s="537"/>
      <c r="F230" s="537"/>
      <c r="G230" s="537"/>
      <c r="H230" s="537"/>
      <c r="I230" s="537"/>
      <c r="J230" s="537"/>
      <c r="K230" s="537"/>
      <c r="L230" s="537"/>
      <c r="M230" s="537"/>
      <c r="N230" s="537"/>
      <c r="O230" s="537"/>
      <c r="P230" s="537"/>
      <c r="Q230" s="537"/>
      <c r="R230" s="537"/>
      <c r="S230" s="537"/>
      <c r="T230" s="537"/>
      <c r="U230" s="537"/>
      <c r="V230" s="537"/>
      <c r="W230" s="537"/>
      <c r="X230" s="537"/>
      <c r="Y230" s="537"/>
      <c r="Z230" s="537"/>
    </row>
    <row r="231" ht="15.75" customHeight="1">
      <c r="A231" s="537"/>
      <c r="B231" s="537"/>
      <c r="C231" s="537"/>
      <c r="D231" s="537"/>
      <c r="E231" s="537"/>
      <c r="F231" s="537"/>
      <c r="G231" s="537"/>
      <c r="H231" s="537"/>
      <c r="I231" s="537"/>
      <c r="J231" s="537"/>
      <c r="K231" s="537"/>
      <c r="L231" s="537"/>
      <c r="M231" s="537"/>
      <c r="N231" s="537"/>
      <c r="O231" s="537"/>
      <c r="P231" s="537"/>
      <c r="Q231" s="537"/>
      <c r="R231" s="537"/>
      <c r="S231" s="537"/>
      <c r="T231" s="537"/>
      <c r="U231" s="537"/>
      <c r="V231" s="537"/>
      <c r="W231" s="537"/>
      <c r="X231" s="537"/>
      <c r="Y231" s="537"/>
      <c r="Z231" s="537"/>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11"/>
    <hyperlink r:id="rId2" location=":~:text=Typical%20cost%20to%20repair%20potholes,also%20affect%20the%20repair%20cost." ref="E15"/>
    <hyperlink r:id="rId3" ref="E17"/>
    <hyperlink r:id="rId4" ref="E18"/>
    <hyperlink r:id="rId5" ref="E19"/>
  </hyperlinks>
  <drawing r:id="rId6"/>
</worksheet>
</file>